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31785" yWindow="1575" windowWidth="21600" windowHeight="11385" activeTab="5"/>
  </bookViews>
  <sheets>
    <sheet name="Appendix B.1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state="hidden" r:id="rId10"/>
    <sheet name="Table 3 PNC Wind_2038" sheetId="92" state="hidden" r:id="rId11"/>
    <sheet name="Table 3 WV Wind_2026" sheetId="84" state="hidden" r:id="rId12"/>
    <sheet name="Table 3 YK WindwS_2029" sheetId="95" state="hidden" r:id="rId13"/>
    <sheet name="Table 3 WYE Wind_2029" sheetId="43" state="hidden" r:id="rId14"/>
    <sheet name="Table 3 WYE_DJ Wind_2028" sheetId="82" state="hidden" r:id="rId15"/>
    <sheet name="Table 3 PV wS SOR_2028" sheetId="87" state="hidden" r:id="rId16"/>
    <sheet name="Table 3 PV wS SOR_2030" sheetId="88" state="hidden" r:id="rId17"/>
    <sheet name="Table 3 PV wS YK_2029" sheetId="89" state="hidden" r:id="rId18"/>
    <sheet name="Table 3 PV wS UTN_2031" sheetId="90" state="hidden" r:id="rId19"/>
    <sheet name="Table 3 PV wS UTS_2032" sheetId="91" state="hidden" r:id="rId20"/>
    <sheet name="Table 3 SmNuc 345MW (NTN) 2028" sheetId="86" state="hidden" r:id="rId21"/>
    <sheet name="Table 3 NonE 206MW (UTN) 2031" sheetId="68" r:id="rId22"/>
    <sheet name="Table 3 NonE 206MW (Hg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[9]Market_Price!#REF!</definedName>
    <definedName name="MidC_Flat">[9]Market_Price!#REF!</definedName>
    <definedName name="OR_AC_price" localSheetId="0">#REF!</definedName>
    <definedName name="OR_AC_price">#REF!</definedName>
    <definedName name="_xlnm.Print_Area" localSheetId="0">'Appendix B.1'!$A$1:$L$34</definedName>
    <definedName name="_xlnm.Print_Area" localSheetId="1">'Table 1'!$A$1:$H$58</definedName>
    <definedName name="_xlnm.Print_Area" localSheetId="2">'Table 2'!$B$1:$P$36</definedName>
    <definedName name="_xlnm.Print_Area" localSheetId="22">'Table 3 NonE 206MW (Hgtn)'!$A$1:$M$74</definedName>
    <definedName name="_xlnm.Print_Area" localSheetId="21">'Table 3 NonE 206MW (UTN) 2031'!$A$1:$M$75</definedName>
    <definedName name="_xlnm.Print_Area" localSheetId="9">'Table 3 PNC Wind_2026'!$A$1:$O$64</definedName>
    <definedName name="_xlnm.Print_Area" localSheetId="10">'Table 3 PNC Wind_2038'!$A$1:$N$64</definedName>
    <definedName name="_xlnm.Print_Area" localSheetId="7">'Table 3 PV wS Borah_2026'!$A$1:$N$64</definedName>
    <definedName name="_xlnm.Print_Area" localSheetId="15">'Table 3 PV wS SOR_2028'!$A$1:$N$74</definedName>
    <definedName name="_xlnm.Print_Area" localSheetId="16">'Table 3 PV wS SOR_2030'!$A$1:$N$64</definedName>
    <definedName name="_xlnm.Print_Area" localSheetId="18">'Table 3 PV wS UTN_2031'!$A$1:$N$64</definedName>
    <definedName name="_xlnm.Print_Area" localSheetId="19">'Table 3 PV wS UTS_2032'!$A$1:$N$64</definedName>
    <definedName name="_xlnm.Print_Area" localSheetId="17">'Table 3 PV wS YK_2029'!$A$1:$N$64</definedName>
    <definedName name="_xlnm.Print_Area" localSheetId="20">'Table 3 SmNuc 345MW (NTN) 2028'!$A$1:$M$86</definedName>
    <definedName name="_xlnm.Print_Area" localSheetId="8">'Table 3 StdBat  DJ_2029'!$A$1:$L$64</definedName>
    <definedName name="_xlnm.Print_Area" localSheetId="6">'Table 3 TransCost'!$A$1:$BD$50</definedName>
    <definedName name="_xlnm.Print_Area" localSheetId="11">'Table 3 WV Wind_2026'!$A$1:$O$64</definedName>
    <definedName name="_xlnm.Print_Area" localSheetId="13">'Table 3 WYE Wind_2029'!$A$1:$N$64</definedName>
    <definedName name="_xlnm.Print_Area" localSheetId="14">'Table 3 WYE_DJ Wind_2028'!$A$1:$N$64</definedName>
    <definedName name="_xlnm.Print_Area" localSheetId="12">'Table 3 YK WindwS_2029'!$A$1:$O$64</definedName>
    <definedName name="_xlnm.Print_Area" localSheetId="3">'Table 4'!$A$1:$F$44</definedName>
    <definedName name="_xlnm.Print_Area" localSheetId="5">'Table 5'!$A$1:$S$272</definedName>
    <definedName name="_xlnm.Print_Area" localSheetId="4">Table3ACsummary!$A$1:$M$50</definedName>
    <definedName name="_xlnm.Print_Titles" localSheetId="2">'Table 2'!$1:$9</definedName>
    <definedName name="_xlnm.Print_Titles" localSheetId="22">'Table 3 NonE 206MW (Hgtn)'!$1:$6</definedName>
    <definedName name="_xlnm.Print_Titles" localSheetId="21">'Table 3 NonE 206MW (UTN) 2031'!$1:$6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'[10]Table 10'!$B$46</definedName>
    <definedName name="Solar_Fixed_integr_cost">'[10]Table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'[10]Table 10'!$B$45</definedName>
    <definedName name="Solar_Tracking_integr_cost">'[10]Table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>'Table 5'!$M$7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96" l="1"/>
  <c r="G9" i="96"/>
  <c r="H26" i="96"/>
  <c r="H9" i="96"/>
  <c r="F26" i="96"/>
  <c r="F9" i="96"/>
  <c r="B32" i="96" l="1"/>
  <c r="B10" i="96"/>
  <c r="B11" i="96" l="1"/>
  <c r="G10" i="96"/>
  <c r="F10" i="96"/>
  <c r="H10" i="96"/>
  <c r="B12" i="96"/>
  <c r="G12" i="96" l="1"/>
  <c r="H12" i="96"/>
  <c r="F12" i="96"/>
  <c r="G11" i="96"/>
  <c r="H11" i="96"/>
  <c r="F11" i="96"/>
  <c r="B13" i="96"/>
  <c r="H13" i="96" l="1"/>
  <c r="F13" i="96"/>
  <c r="G13" i="96"/>
  <c r="B14" i="96"/>
  <c r="G14" i="96" l="1"/>
  <c r="H14" i="96"/>
  <c r="F14" i="96"/>
  <c r="B15" i="96"/>
  <c r="G15" i="96" l="1"/>
  <c r="H15" i="96"/>
  <c r="F15" i="96"/>
  <c r="B16" i="96"/>
  <c r="G16" i="96" l="1"/>
  <c r="H16" i="96"/>
  <c r="F16" i="96"/>
  <c r="B17" i="96"/>
  <c r="H17" i="96" l="1"/>
  <c r="F17" i="96"/>
  <c r="G17" i="96"/>
  <c r="B18" i="96"/>
  <c r="H18" i="96" l="1"/>
  <c r="G18" i="96"/>
  <c r="F18" i="96"/>
  <c r="B19" i="96"/>
  <c r="G19" i="96" l="1"/>
  <c r="H19" i="96"/>
  <c r="F19" i="96"/>
  <c r="B20" i="96"/>
  <c r="G20" i="96" l="1"/>
  <c r="H20" i="96"/>
  <c r="F20" i="96"/>
  <c r="B21" i="96"/>
  <c r="H21" i="96" l="1"/>
  <c r="F21" i="96"/>
  <c r="G21" i="96"/>
  <c r="B22" i="96"/>
  <c r="G22" i="96" l="1"/>
  <c r="F22" i="96"/>
  <c r="H22" i="96"/>
  <c r="B23" i="96"/>
  <c r="G23" i="96" l="1"/>
  <c r="H23" i="96"/>
  <c r="F23" i="96"/>
  <c r="B33" i="96"/>
  <c r="AA9" i="47" l="1"/>
  <c r="AF9" i="47"/>
  <c r="M276" i="31"/>
  <c r="M275" i="31"/>
  <c r="M274" i="31"/>
  <c r="M273" i="31"/>
  <c r="M272" i="31"/>
  <c r="M271" i="31"/>
  <c r="M270" i="31"/>
  <c r="M269" i="31"/>
  <c r="M268" i="31"/>
  <c r="M267" i="31"/>
  <c r="M266" i="31"/>
  <c r="M265" i="31"/>
  <c r="M264" i="31"/>
  <c r="M263" i="31"/>
  <c r="M262" i="31"/>
  <c r="M261" i="31"/>
  <c r="M260" i="31"/>
  <c r="M259" i="31"/>
  <c r="M258" i="31"/>
  <c r="M257" i="31"/>
  <c r="M256" i="31"/>
  <c r="M255" i="31"/>
  <c r="M254" i="31"/>
  <c r="M253" i="31"/>
  <c r="M252" i="3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E32" i="92" l="1"/>
  <c r="C32" i="92"/>
  <c r="E27" i="91"/>
  <c r="E26" i="91"/>
  <c r="C56" i="91"/>
  <c r="C55" i="91"/>
  <c r="C56" i="90" l="1"/>
  <c r="C55" i="90"/>
  <c r="E23" i="89"/>
  <c r="E24" i="89" s="1"/>
  <c r="C56" i="89"/>
  <c r="C55" i="89"/>
  <c r="H22" i="82"/>
  <c r="H23" i="82" s="1"/>
  <c r="H24" i="82" s="1"/>
  <c r="E22" i="82"/>
  <c r="E23" i="82"/>
  <c r="E24" i="82" s="1"/>
  <c r="C56" i="82"/>
  <c r="C55" i="82"/>
  <c r="H24" i="43"/>
  <c r="E23" i="43"/>
  <c r="E24" i="43" s="1"/>
  <c r="C56" i="43"/>
  <c r="C55" i="43"/>
  <c r="BJ17" i="47"/>
  <c r="E23" i="95"/>
  <c r="E24" i="95"/>
  <c r="C56" i="95"/>
  <c r="C55" i="95"/>
  <c r="C55" i="84"/>
  <c r="C56" i="84"/>
  <c r="C56" i="92"/>
  <c r="C55" i="92"/>
  <c r="C55" i="83"/>
  <c r="E31" i="85" l="1"/>
  <c r="C31" i="85"/>
  <c r="F26" i="68" l="1"/>
  <c r="F27" i="68" s="1"/>
  <c r="C25" i="68"/>
  <c r="C64" i="85" l="1"/>
  <c r="A56" i="25" l="1"/>
  <c r="A52" i="25"/>
  <c r="R5" i="31"/>
  <c r="Q5" i="31" s="1"/>
  <c r="P5" i="31" s="1"/>
  <c r="D23" i="95" l="1"/>
  <c r="D24" i="95" s="1"/>
  <c r="B60" i="95"/>
  <c r="D49" i="95"/>
  <c r="C49" i="95"/>
  <c r="D48" i="95"/>
  <c r="C48" i="95"/>
  <c r="D47" i="95"/>
  <c r="C47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D46" i="95" l="1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D22" i="82"/>
  <c r="D23" i="43"/>
  <c r="D32" i="92"/>
  <c r="D26" i="91"/>
  <c r="D23" i="89"/>
  <c r="E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D27" i="91" l="1"/>
  <c r="D24" i="43"/>
  <c r="G22" i="82"/>
  <c r="J22" i="82" s="1"/>
  <c r="K22" i="82" s="1"/>
  <c r="D23" i="82"/>
  <c r="L22" i="82"/>
  <c r="D24" i="89"/>
  <c r="B3" i="94"/>
  <c r="C52" i="94" s="1"/>
  <c r="B9" i="94" s="1"/>
  <c r="B22" i="95"/>
  <c r="D23" i="94"/>
  <c r="D24" i="94" s="1"/>
  <c r="D25" i="94" s="1"/>
  <c r="K25" i="94" s="1"/>
  <c r="G23" i="82" l="1"/>
  <c r="J23" i="82" s="1"/>
  <c r="K23" i="82" s="1"/>
  <c r="L23" i="82"/>
  <c r="D24" i="82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G24" i="82" l="1"/>
  <c r="J24" i="82" s="1"/>
  <c r="K24" i="82" s="1"/>
  <c r="L24" i="82"/>
  <c r="D27" i="94"/>
  <c r="G26" i="94"/>
  <c r="I26" i="94" s="1"/>
  <c r="J26" i="94" s="1"/>
  <c r="K26" i="94"/>
  <c r="B24" i="95"/>
  <c r="K27" i="94" l="1"/>
  <c r="D28" i="94"/>
  <c r="G27" i="94"/>
  <c r="I27" i="94" s="1"/>
  <c r="J27" i="94" s="1"/>
  <c r="B25" i="95"/>
  <c r="D25" i="95"/>
  <c r="K28" i="94" l="1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8"/>
  <c r="C55" i="88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33" i="92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D25" i="90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B26" i="92"/>
  <c r="D28" i="91"/>
  <c r="D27" i="90"/>
  <c r="D27" i="89"/>
  <c r="D25" i="88"/>
  <c r="B19" i="91" l="1"/>
  <c r="B27" i="92"/>
  <c r="D29" i="91"/>
  <c r="D28" i="90"/>
  <c r="D28" i="89"/>
  <c r="D26" i="88"/>
  <c r="B20" i="91" l="1"/>
  <c r="B28" i="92"/>
  <c r="D30" i="91"/>
  <c r="D29" i="90"/>
  <c r="D29" i="89"/>
  <c r="D27" i="88"/>
  <c r="B21" i="91" l="1"/>
  <c r="B29" i="92"/>
  <c r="D31" i="91"/>
  <c r="D30" i="90"/>
  <c r="D30" i="89"/>
  <c r="D28" i="88"/>
  <c r="B22" i="91" l="1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32" i="85" l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E25" i="82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5" i="43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41" i="85" l="1"/>
  <c r="D31" i="85"/>
  <c r="D32" i="85" s="1"/>
  <c r="D33" i="85" s="1"/>
  <c r="D34" i="85" s="1"/>
  <c r="D35" i="85" s="1"/>
  <c r="D36" i="85" s="1"/>
  <c r="J27" i="85"/>
  <c r="J28" i="85" s="1"/>
  <c r="J29" i="85" s="1"/>
  <c r="J30" i="85" s="1"/>
  <c r="J31" i="85" s="1"/>
  <c r="J32" i="85" s="1"/>
  <c r="J33" i="85" s="1"/>
  <c r="J34" i="85" s="1"/>
  <c r="J35" i="85" s="1"/>
  <c r="J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H59" i="85"/>
  <c r="D42" i="85" s="1"/>
  <c r="D72" i="85"/>
  <c r="K59" i="85" l="1"/>
  <c r="C82" i="86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H23" i="86" l="1"/>
  <c r="I23" i="86" s="1"/>
  <c r="L23" i="86" s="1"/>
  <c r="K28" i="86"/>
  <c r="H24" i="86" l="1"/>
  <c r="I24" i="86" s="1"/>
  <c r="L24" i="86" s="1"/>
  <c r="K29" i="86"/>
  <c r="H25" i="86" l="1"/>
  <c r="I25" i="86" s="1"/>
  <c r="L25" i="86" s="1"/>
  <c r="K30" i="86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D25" i="68"/>
  <c r="D26" i="68" s="1"/>
  <c r="D27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l="1"/>
  <c r="H25" i="68"/>
  <c r="B12" i="83"/>
  <c r="B13" i="83" s="1"/>
  <c r="B14" i="83" s="1"/>
  <c r="B15" i="83" s="1"/>
  <c r="B16" i="83" s="1"/>
  <c r="B17" i="83" s="1"/>
  <c r="B18" i="83" s="1"/>
  <c r="B19" i="83" s="1"/>
  <c r="B20" i="83" s="1"/>
  <c r="B21" i="83"/>
  <c r="G27" i="68" l="1"/>
  <c r="G28" i="68" s="1"/>
  <c r="G29" i="68" s="1"/>
  <c r="G30" i="68" s="1"/>
  <c r="G31" i="68" s="1"/>
  <c r="G32" i="68" s="1"/>
  <c r="G33" i="68" s="1"/>
  <c r="G34" i="68" s="1"/>
  <c r="G35" i="68" s="1"/>
  <c r="G36" i="68" s="1"/>
  <c r="H26" i="68"/>
  <c r="B22" i="83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5" i="82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J10" i="47"/>
  <c r="BJ11" i="47" s="1"/>
  <c r="BJ12" i="47" s="1"/>
  <c r="BJ9" i="47"/>
  <c r="BE11" i="47"/>
  <c r="AZ16" i="47"/>
  <c r="AU24" i="47"/>
  <c r="AP24" i="47"/>
  <c r="AF17" i="47"/>
  <c r="V11" i="47"/>
  <c r="V9" i="47"/>
  <c r="M13" i="47" l="1"/>
  <c r="M12" i="47"/>
  <c r="M11" i="47"/>
  <c r="M18" i="47"/>
  <c r="M10" i="47"/>
  <c r="M17" i="47"/>
  <c r="M16" i="47"/>
  <c r="M15" i="47"/>
  <c r="M14" i="47"/>
  <c r="AL12" i="47"/>
  <c r="AL11" i="47"/>
  <c r="AL10" i="47"/>
  <c r="AB12" i="47"/>
  <c r="AB11" i="47"/>
  <c r="AB10" i="47"/>
  <c r="BK11" i="47"/>
  <c r="BM11" i="47" s="1"/>
  <c r="BK10" i="47"/>
  <c r="BM10" i="47" s="1"/>
  <c r="BK15" i="47"/>
  <c r="BK14" i="47"/>
  <c r="BK13" i="47"/>
  <c r="BK12" i="47"/>
  <c r="BM12" i="47" s="1"/>
  <c r="BF12" i="47"/>
  <c r="BF11" i="47"/>
  <c r="BF10" i="47"/>
  <c r="W19" i="47"/>
  <c r="W11" i="47"/>
  <c r="W26" i="47"/>
  <c r="W18" i="47"/>
  <c r="W10" i="47"/>
  <c r="W25" i="47"/>
  <c r="W17" i="47"/>
  <c r="W24" i="47"/>
  <c r="W16" i="47"/>
  <c r="W23" i="47"/>
  <c r="W15" i="47"/>
  <c r="W22" i="47"/>
  <c r="W14" i="47"/>
  <c r="W21" i="47"/>
  <c r="W13" i="47"/>
  <c r="W20" i="47"/>
  <c r="W12" i="47"/>
  <c r="AQ14" i="47"/>
  <c r="AQ13" i="47"/>
  <c r="AQ12" i="47"/>
  <c r="AQ11" i="47"/>
  <c r="AQ10" i="47"/>
  <c r="R19" i="47"/>
  <c r="R11" i="47"/>
  <c r="R18" i="47"/>
  <c r="R10" i="47"/>
  <c r="R17" i="47"/>
  <c r="R16" i="47"/>
  <c r="R23" i="47"/>
  <c r="R15" i="47"/>
  <c r="R22" i="47"/>
  <c r="R14" i="47"/>
  <c r="R21" i="47"/>
  <c r="R13" i="47"/>
  <c r="R20" i="47"/>
  <c r="R12" i="47"/>
  <c r="BA10" i="47"/>
  <c r="AV10" i="47"/>
  <c r="AV17" i="47"/>
  <c r="AV16" i="47"/>
  <c r="AV15" i="47"/>
  <c r="AV14" i="47"/>
  <c r="AV13" i="47"/>
  <c r="AV12" i="47"/>
  <c r="AV11" i="47"/>
  <c r="AG20" i="47"/>
  <c r="AG12" i="47"/>
  <c r="AG19" i="47"/>
  <c r="AG11" i="47"/>
  <c r="AG18" i="47"/>
  <c r="AG10" i="47"/>
  <c r="AG17" i="47"/>
  <c r="AG16" i="47"/>
  <c r="AG23" i="47"/>
  <c r="AG15" i="47"/>
  <c r="AG22" i="47"/>
  <c r="AG14" i="47"/>
  <c r="AG21" i="47"/>
  <c r="AG13" i="47"/>
  <c r="B22" i="82"/>
  <c r="B23" i="82" s="1"/>
  <c r="B24" i="82" s="1"/>
  <c r="B25" i="82" s="1"/>
  <c r="BL39" i="47"/>
  <c r="BK16" i="47" s="1"/>
  <c r="BK17" i="47" s="1"/>
  <c r="BK18" i="47" s="1"/>
  <c r="BK19" i="47" s="1"/>
  <c r="BK20" i="47" s="1"/>
  <c r="BK21" i="47" s="1"/>
  <c r="BK22" i="47" s="1"/>
  <c r="BK23" i="47" s="1"/>
  <c r="BK24" i="47" s="1"/>
  <c r="BK25" i="47" s="1"/>
  <c r="BK26" i="47" s="1"/>
  <c r="BK27" i="47" s="1"/>
  <c r="BK28" i="47" s="1"/>
  <c r="BK29" i="47" s="1"/>
  <c r="BK30" i="47" s="1"/>
  <c r="BK31" i="47" s="1"/>
  <c r="BK32" i="47" s="1"/>
  <c r="BJ14" i="47"/>
  <c r="BJ15" i="47" s="1"/>
  <c r="BJ16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C60" i="89" l="1"/>
  <c r="F23" i="89" s="1"/>
  <c r="C60" i="95"/>
  <c r="F23" i="95" s="1"/>
  <c r="B26" i="82"/>
  <c r="BM13" i="47"/>
  <c r="H16" i="47" l="1"/>
  <c r="H15" i="47"/>
  <c r="H14" i="47"/>
  <c r="H13" i="47"/>
  <c r="H12" i="47"/>
  <c r="H19" i="47"/>
  <c r="H11" i="47"/>
  <c r="H18" i="47"/>
  <c r="H10" i="47"/>
  <c r="H17" i="47"/>
  <c r="F24" i="89"/>
  <c r="F25" i="89" s="1"/>
  <c r="K25" i="89" s="1"/>
  <c r="K23" i="89"/>
  <c r="G23" i="89"/>
  <c r="I23" i="89" s="1"/>
  <c r="J23" i="89" s="1"/>
  <c r="F24" i="95"/>
  <c r="F25" i="95" s="1"/>
  <c r="G23" i="95"/>
  <c r="J23" i="95" s="1"/>
  <c r="K23" i="95" s="1"/>
  <c r="L23" i="95"/>
  <c r="B27" i="82"/>
  <c r="BM14" i="47"/>
  <c r="C11" i="47" l="1"/>
  <c r="C10" i="47"/>
  <c r="K24" i="89"/>
  <c r="G24" i="89"/>
  <c r="I24" i="89" s="1"/>
  <c r="J24" i="89" s="1"/>
  <c r="G25" i="89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5" i="43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AX32" i="25"/>
  <c r="AT32" i="25"/>
  <c r="AP32" i="25"/>
  <c r="AL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5" i="82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D28" i="68" l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A11" i="47" s="1"/>
  <c r="BA12" i="47" s="1"/>
  <c r="BA13" i="47" s="1"/>
  <c r="BA14" i="47" s="1"/>
  <c r="BA15" i="47" s="1"/>
  <c r="BA16" i="47" s="1"/>
  <c r="BA17" i="47" s="1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BA32" i="47" s="1"/>
  <c r="BG39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60" i="84" l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BF13" i="47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F32" i="47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AS10" i="47"/>
  <c r="BC10" i="47"/>
  <c r="O10" i="47"/>
  <c r="AX10" i="47"/>
  <c r="AW39" i="47"/>
  <c r="AV18" i="47" s="1"/>
  <c r="AV19" i="47" s="1"/>
  <c r="AV20" i="47" s="1"/>
  <c r="AV21" i="47" s="1"/>
  <c r="AV22" i="47" s="1"/>
  <c r="AV23" i="47" s="1"/>
  <c r="AV24" i="47" s="1"/>
  <c r="AV25" i="47" s="1"/>
  <c r="AV26" i="47" s="1"/>
  <c r="AV27" i="47" s="1"/>
  <c r="AV28" i="47" s="1"/>
  <c r="AV29" i="47" s="1"/>
  <c r="AV30" i="47" s="1"/>
  <c r="AV31" i="47" s="1"/>
  <c r="AV32" i="47" s="1"/>
  <c r="AR39" i="47"/>
  <c r="AQ15" i="47" s="1"/>
  <c r="AQ16" i="47" s="1"/>
  <c r="AQ17" i="47" s="1"/>
  <c r="AQ18" i="47" s="1"/>
  <c r="AQ19" i="47" s="1"/>
  <c r="AQ20" i="47" s="1"/>
  <c r="AQ21" i="47" s="1"/>
  <c r="AQ22" i="47" s="1"/>
  <c r="AQ23" i="47" s="1"/>
  <c r="AQ24" i="47" s="1"/>
  <c r="AQ25" i="47" s="1"/>
  <c r="AQ26" i="47" s="1"/>
  <c r="AQ27" i="47" s="1"/>
  <c r="AQ28" i="47" s="1"/>
  <c r="AQ29" i="47" s="1"/>
  <c r="AQ30" i="47" s="1"/>
  <c r="AQ31" i="47" s="1"/>
  <c r="AQ32" i="47" s="1"/>
  <c r="N39" i="47"/>
  <c r="M19" i="47" s="1"/>
  <c r="M20" i="47" s="1"/>
  <c r="M21" i="47" s="1"/>
  <c r="M22" i="47" s="1"/>
  <c r="M23" i="47" s="1"/>
  <c r="M24" i="47" s="1"/>
  <c r="M25" i="47" s="1"/>
  <c r="M26" i="47" s="1"/>
  <c r="M27" i="47" s="1"/>
  <c r="M28" i="47" s="1"/>
  <c r="M29" i="47" s="1"/>
  <c r="M30" i="47" s="1"/>
  <c r="M31" i="47" s="1"/>
  <c r="M32" i="47" s="1"/>
  <c r="AM39" i="47"/>
  <c r="AL13" i="47" s="1"/>
  <c r="AL14" i="47" s="1"/>
  <c r="AL15" i="47" s="1"/>
  <c r="AL16" i="47" s="1"/>
  <c r="AL17" i="47" s="1"/>
  <c r="AL18" i="47" s="1"/>
  <c r="AL19" i="47" s="1"/>
  <c r="AL20" i="47" s="1"/>
  <c r="AL21" i="47" s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L32" i="47" s="1"/>
  <c r="G20" i="84" l="1"/>
  <c r="J20" i="84" s="1"/>
  <c r="K20" i="84" s="1"/>
  <c r="L20" i="84"/>
  <c r="C60" i="88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C73" i="68"/>
  <c r="E25" i="68" s="1"/>
  <c r="M25" i="68" s="1"/>
  <c r="E32" i="85"/>
  <c r="E33" i="85" s="1"/>
  <c r="E34" i="85" s="1"/>
  <c r="E35" i="85" s="1"/>
  <c r="E36" i="85" s="1"/>
  <c r="L21" i="84"/>
  <c r="G21" i="84"/>
  <c r="J21" i="84" s="1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E26" i="68" l="1"/>
  <c r="M26" i="68" s="1"/>
  <c r="I25" i="68"/>
  <c r="G20" i="83"/>
  <c r="J20" i="83" s="1"/>
  <c r="K20" i="83" s="1"/>
  <c r="L20" i="83"/>
  <c r="F26" i="90"/>
  <c r="K25" i="90"/>
  <c r="G25" i="90"/>
  <c r="I25" i="90" s="1"/>
  <c r="J25" i="90" s="1"/>
  <c r="F27" i="92"/>
  <c r="F22" i="87"/>
  <c r="F25" i="88"/>
  <c r="G24" i="88"/>
  <c r="I24" i="88" s="1"/>
  <c r="J24" i="88" s="1"/>
  <c r="K24" i="88"/>
  <c r="K21" i="84"/>
  <c r="M27" i="86"/>
  <c r="I27" i="86"/>
  <c r="L27" i="86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Y10" i="47"/>
  <c r="J10" i="47"/>
  <c r="X39" i="47"/>
  <c r="W27" i="47" s="1"/>
  <c r="W28" i="47" s="1"/>
  <c r="W29" i="47" s="1"/>
  <c r="W30" i="47" s="1"/>
  <c r="W31" i="47" s="1"/>
  <c r="W32" i="47" s="1"/>
  <c r="AH39" i="47"/>
  <c r="AG24" i="47" s="1"/>
  <c r="AG25" i="47" s="1"/>
  <c r="AG26" i="47" s="1"/>
  <c r="AG27" i="47" s="1"/>
  <c r="AG28" i="47" s="1"/>
  <c r="AG29" i="47" s="1"/>
  <c r="AG30" i="47" s="1"/>
  <c r="AG31" i="47" s="1"/>
  <c r="AG32" i="47" s="1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R24" i="47" s="1"/>
  <c r="R25" i="47" s="1"/>
  <c r="R26" i="47" s="1"/>
  <c r="R27" i="47" s="1"/>
  <c r="R28" i="47" s="1"/>
  <c r="R29" i="47" s="1"/>
  <c r="R30" i="47" s="1"/>
  <c r="R31" i="47" s="1"/>
  <c r="R32" i="47" s="1"/>
  <c r="AC39" i="47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B32" i="47" s="1"/>
  <c r="I39" i="47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l="1"/>
  <c r="F19" i="43" s="1"/>
  <c r="F20" i="43" s="1"/>
  <c r="F21" i="43" s="1"/>
  <c r="F22" i="43" s="1"/>
  <c r="F23" i="43" s="1"/>
  <c r="G23" i="43" s="1"/>
  <c r="J23" i="43" s="1"/>
  <c r="K23" i="43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60" i="91"/>
  <c r="F26" i="91" s="1"/>
  <c r="H20" i="47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2" i="47" s="1"/>
  <c r="E27" i="68"/>
  <c r="E28" i="68" s="1"/>
  <c r="E29" i="68" s="1"/>
  <c r="E30" i="68" s="1"/>
  <c r="E31" i="68" s="1"/>
  <c r="E32" i="68" s="1"/>
  <c r="E33" i="68" s="1"/>
  <c r="E34" i="68" s="1"/>
  <c r="E35" i="68" s="1"/>
  <c r="E36" i="68" s="1"/>
  <c r="I26" i="68"/>
  <c r="F26" i="88"/>
  <c r="G25" i="88"/>
  <c r="I25" i="88" s="1"/>
  <c r="J25" i="88" s="1"/>
  <c r="K25" i="88"/>
  <c r="G22" i="87"/>
  <c r="I22" i="87" s="1"/>
  <c r="J22" i="87" s="1"/>
  <c r="K22" i="87"/>
  <c r="F28" i="92"/>
  <c r="F23" i="87"/>
  <c r="F27" i="90"/>
  <c r="G26" i="90"/>
  <c r="I26" i="90" s="1"/>
  <c r="J26" i="90" s="1"/>
  <c r="K26" i="90"/>
  <c r="K22" i="84"/>
  <c r="K21" i="83"/>
  <c r="I28" i="86"/>
  <c r="L28" i="86" s="1"/>
  <c r="M28" i="86"/>
  <c r="L23" i="84"/>
  <c r="G23" i="84"/>
  <c r="J23" i="84" s="1"/>
  <c r="L22" i="83"/>
  <c r="G22" i="83"/>
  <c r="J22" i="83" s="1"/>
  <c r="AD10" i="47"/>
  <c r="C60" i="6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L23" i="43" l="1"/>
  <c r="F24" i="43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7" i="91"/>
  <c r="K26" i="91"/>
  <c r="G26" i="91"/>
  <c r="I26" i="91" s="1"/>
  <c r="J26" i="91" s="1"/>
  <c r="F28" i="90"/>
  <c r="K27" i="90"/>
  <c r="G27" i="90"/>
  <c r="I27" i="90" s="1"/>
  <c r="J27" i="90" s="1"/>
  <c r="F29" i="92"/>
  <c r="F24" i="87"/>
  <c r="G23" i="87"/>
  <c r="I23" i="87" s="1"/>
  <c r="J23" i="87" s="1"/>
  <c r="K23" i="87"/>
  <c r="F27" i="88"/>
  <c r="G26" i="88"/>
  <c r="I26" i="88" s="1"/>
  <c r="J26" i="88" s="1"/>
  <c r="K26" i="88"/>
  <c r="K23" i="84"/>
  <c r="K22" i="83"/>
  <c r="M29" i="86"/>
  <c r="I29" i="86"/>
  <c r="L29" i="86" s="1"/>
  <c r="L23" i="83"/>
  <c r="G23" i="83"/>
  <c r="J23" i="83" s="1"/>
  <c r="L24" i="84"/>
  <c r="G24" i="84"/>
  <c r="J24" i="84" s="1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91" l="1"/>
  <c r="K27" i="91"/>
  <c r="G27" i="91"/>
  <c r="I27" i="91" s="1"/>
  <c r="J27" i="91" s="1"/>
  <c r="F28" i="88"/>
  <c r="G27" i="88"/>
  <c r="I27" i="88" s="1"/>
  <c r="J27" i="88" s="1"/>
  <c r="K27" i="88"/>
  <c r="F30" i="92"/>
  <c r="F25" i="87"/>
  <c r="G24" i="87"/>
  <c r="I24" i="87" s="1"/>
  <c r="J24" i="87" s="1"/>
  <c r="K24" i="87"/>
  <c r="F29" i="90"/>
  <c r="G28" i="90"/>
  <c r="I28" i="90" s="1"/>
  <c r="J28" i="90" s="1"/>
  <c r="K28" i="90"/>
  <c r="K24" i="84"/>
  <c r="K23" i="83"/>
  <c r="M30" i="86"/>
  <c r="I30" i="86"/>
  <c r="L30" i="86" s="1"/>
  <c r="L25" i="84"/>
  <c r="G25" i="84"/>
  <c r="J25" i="84" s="1"/>
  <c r="G24" i="83"/>
  <c r="J24" i="83" s="1"/>
  <c r="L24" i="83"/>
  <c r="F29" i="91" l="1"/>
  <c r="K28" i="91"/>
  <c r="G28" i="91"/>
  <c r="I28" i="91" s="1"/>
  <c r="J28" i="91" s="1"/>
  <c r="F30" i="90"/>
  <c r="G29" i="90"/>
  <c r="I29" i="90" s="1"/>
  <c r="J29" i="90" s="1"/>
  <c r="K29" i="90"/>
  <c r="F31" i="92"/>
  <c r="F26" i="87"/>
  <c r="G25" i="87"/>
  <c r="I25" i="87" s="1"/>
  <c r="J25" i="87" s="1"/>
  <c r="K25" i="87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F30" i="91" l="1"/>
  <c r="G29" i="91"/>
  <c r="I29" i="91" s="1"/>
  <c r="J29" i="91" s="1"/>
  <c r="K29" i="91"/>
  <c r="F30" i="88"/>
  <c r="G29" i="88"/>
  <c r="I29" i="88" s="1"/>
  <c r="J29" i="88" s="1"/>
  <c r="K29" i="88"/>
  <c r="F32" i="92"/>
  <c r="F27" i="87"/>
  <c r="K26" i="87"/>
  <c r="G26" i="87"/>
  <c r="I26" i="87" s="1"/>
  <c r="J26" i="87" s="1"/>
  <c r="F31" i="90"/>
  <c r="G30" i="90"/>
  <c r="I30" i="90" s="1"/>
  <c r="J30" i="90" s="1"/>
  <c r="K30" i="90"/>
  <c r="K26" i="84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1" i="91" l="1"/>
  <c r="G30" i="91"/>
  <c r="I30" i="91" s="1"/>
  <c r="J30" i="91" s="1"/>
  <c r="K30" i="91"/>
  <c r="F32" i="90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1" i="88"/>
  <c r="G30" i="88"/>
  <c r="I30" i="88" s="1"/>
  <c r="J30" i="88" s="1"/>
  <c r="K30" i="88"/>
  <c r="K27" i="84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91" l="1"/>
  <c r="G31" i="91"/>
  <c r="I31" i="91" s="1"/>
  <c r="J31" i="91" s="1"/>
  <c r="K31" i="91"/>
  <c r="F32" i="88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3" i="90"/>
  <c r="G32" i="90"/>
  <c r="I32" i="90" s="1"/>
  <c r="J32" i="90" s="1"/>
  <c r="K32" i="90"/>
  <c r="K28" i="84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G32" i="91" l="1"/>
  <c r="I32" i="91" s="1"/>
  <c r="J32" i="91" s="1"/>
  <c r="K32" i="91"/>
  <c r="F33" i="91"/>
  <c r="F34" i="90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3" i="88"/>
  <c r="G32" i="88"/>
  <c r="I32" i="88" s="1"/>
  <c r="J32" i="88" s="1"/>
  <c r="K32" i="88"/>
  <c r="K29" i="84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91" l="1"/>
  <c r="K33" i="91"/>
  <c r="G33" i="91"/>
  <c r="I33" i="91" s="1"/>
  <c r="J33" i="91" s="1"/>
  <c r="F34" i="88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5" i="90"/>
  <c r="G34" i="90"/>
  <c r="I34" i="90" s="1"/>
  <c r="J34" i="90" s="1"/>
  <c r="K34" i="90"/>
  <c r="K30" i="84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5" i="91" l="1"/>
  <c r="K34" i="91"/>
  <c r="G34" i="91"/>
  <c r="I34" i="91" s="1"/>
  <c r="J34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K30" i="83"/>
  <c r="L31" i="83"/>
  <c r="G31" i="83"/>
  <c r="J31" i="83" s="1"/>
  <c r="L32" i="84"/>
  <c r="G32" i="84"/>
  <c r="J32" i="84" s="1"/>
  <c r="K35" i="91" l="1"/>
  <c r="F36" i="91"/>
  <c r="G35" i="91"/>
  <c r="I35" i="91" s="1"/>
  <c r="J35" i="91" s="1"/>
  <c r="G37" i="92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K32" i="84"/>
  <c r="K31" i="83"/>
  <c r="L33" i="84"/>
  <c r="G33" i="84"/>
  <c r="J33" i="84" s="1"/>
  <c r="G32" i="83"/>
  <c r="J32" i="83" s="1"/>
  <c r="L32" i="83"/>
  <c r="F37" i="91" l="1"/>
  <c r="K36" i="91"/>
  <c r="G36" i="91"/>
  <c r="I36" i="91" s="1"/>
  <c r="J36" i="91" s="1"/>
  <c r="G37" i="90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K32" i="83"/>
  <c r="L33" i="83"/>
  <c r="G33" i="83"/>
  <c r="J33" i="83" s="1"/>
  <c r="L34" i="84"/>
  <c r="G34" i="84"/>
  <c r="J34" i="84" s="1"/>
  <c r="G37" i="91" l="1"/>
  <c r="I37" i="91" s="1"/>
  <c r="J37" i="91" s="1"/>
  <c r="K37" i="91"/>
  <c r="F35" i="87"/>
  <c r="G34" i="87"/>
  <c r="I34" i="87" s="1"/>
  <c r="J34" i="87" s="1"/>
  <c r="K34" i="87"/>
  <c r="G37" i="88"/>
  <c r="I37" i="88" s="1"/>
  <c r="J37" i="88" s="1"/>
  <c r="K37" i="88"/>
  <c r="K34" i="84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K25" i="68" l="1"/>
  <c r="L25" i="68" s="1"/>
  <c r="K26" i="68"/>
  <c r="L26" i="68" s="1"/>
  <c r="B17" i="68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X11" i="47" l="1"/>
  <c r="BC11" i="47"/>
  <c r="BH11" i="47"/>
  <c r="AS11" i="47"/>
  <c r="O11" i="47"/>
  <c r="J11" i="47"/>
  <c r="B12" i="47"/>
  <c r="O12" i="47" l="1"/>
  <c r="AX12" i="47"/>
  <c r="BC12" i="47"/>
  <c r="AS12" i="47"/>
  <c r="B13" i="47"/>
  <c r="E10" i="47"/>
  <c r="AX13" i="47" l="1"/>
  <c r="O13" i="47"/>
  <c r="AS13" i="47"/>
  <c r="BC13" i="47"/>
  <c r="B14" i="47"/>
  <c r="BC14" i="47" l="1"/>
  <c r="AS14" i="47"/>
  <c r="O14" i="47"/>
  <c r="AX14" i="47"/>
  <c r="B15" i="47"/>
  <c r="AS15" i="47" l="1"/>
  <c r="AX15" i="47"/>
  <c r="O15" i="47"/>
  <c r="B16" i="47"/>
  <c r="C10" i="25"/>
  <c r="O16" i="47" l="1"/>
  <c r="AX16" i="47"/>
  <c r="B17" i="47"/>
  <c r="AX17" i="47" l="1"/>
  <c r="O17" i="47"/>
  <c r="B18" i="47"/>
  <c r="AX18" i="47" l="1"/>
  <c r="B19" i="47"/>
  <c r="AI11" i="47"/>
  <c r="AS16" i="47" l="1"/>
  <c r="BC15" i="47"/>
  <c r="BC16" i="47"/>
  <c r="B20" i="47"/>
  <c r="AN11" i="47"/>
  <c r="AI12" i="47"/>
  <c r="Y11" i="47"/>
  <c r="D46" i="43"/>
  <c r="C49" i="43"/>
  <c r="C48" i="43"/>
  <c r="C47" i="43"/>
  <c r="C46" i="43"/>
  <c r="C45" i="43"/>
  <c r="AS17" i="47" l="1"/>
  <c r="B21" i="47"/>
  <c r="AN12" i="47"/>
  <c r="AI13" i="47"/>
  <c r="J12" i="47"/>
  <c r="D47" i="43"/>
  <c r="B3" i="43"/>
  <c r="C52" i="43" s="1"/>
  <c r="B9" i="43" s="1"/>
  <c r="BM18" i="47" l="1"/>
  <c r="B22" i="47"/>
  <c r="AN13" i="47"/>
  <c r="AI14" i="47"/>
  <c r="J13" i="47"/>
  <c r="AS18" i="47" l="1"/>
  <c r="B23" i="47"/>
  <c r="AN14" i="47"/>
  <c r="AI15" i="47"/>
  <c r="J14" i="47"/>
  <c r="B14" i="43"/>
  <c r="AS19" i="47" l="1"/>
  <c r="B24" i="47"/>
  <c r="AN15" i="47"/>
  <c r="AI16" i="47"/>
  <c r="J15" i="47"/>
  <c r="B15" i="43"/>
  <c r="AS20" i="47" l="1"/>
  <c r="BM19" i="47"/>
  <c r="AX19" i="47"/>
  <c r="B25" i="47"/>
  <c r="O18" i="47"/>
  <c r="AN16" i="47"/>
  <c r="AI17" i="47"/>
  <c r="J16" i="47"/>
  <c r="B16" i="43"/>
  <c r="BM20" i="47" l="1"/>
  <c r="AX20" i="47"/>
  <c r="B26" i="47"/>
  <c r="O19" i="47"/>
  <c r="AN17" i="47"/>
  <c r="J17" i="47"/>
  <c r="B17" i="43"/>
  <c r="BM21" i="47" l="1"/>
  <c r="AX21" i="47"/>
  <c r="B27" i="47"/>
  <c r="AN18" i="47"/>
  <c r="B18" i="43"/>
  <c r="AX22" i="47" l="1"/>
  <c r="BM22" i="47"/>
  <c r="B28" i="47"/>
  <c r="AN19" i="47"/>
  <c r="B19" i="43"/>
  <c r="BM23" i="47" l="1"/>
  <c r="AX23" i="47"/>
  <c r="AX24" i="47"/>
  <c r="B29" i="47"/>
  <c r="AS21" i="47"/>
  <c r="AN20" i="47"/>
  <c r="B20" i="43"/>
  <c r="BM24" i="47" l="1"/>
  <c r="B30" i="47"/>
  <c r="AS22" i="47"/>
  <c r="B21" i="43"/>
  <c r="BM25" i="47" l="1"/>
  <c r="B31" i="47"/>
  <c r="AS23" i="47"/>
  <c r="B22" i="43"/>
  <c r="BM26" i="47" l="1"/>
  <c r="B32" i="47"/>
  <c r="B23" i="43"/>
  <c r="BM27" i="47" l="1"/>
  <c r="AS24" i="47"/>
  <c r="B24" i="43"/>
  <c r="BM28" i="47" l="1"/>
  <c r="B25" i="43"/>
  <c r="BM29" i="47" l="1"/>
  <c r="B26" i="43"/>
  <c r="BM30" i="47" l="1"/>
  <c r="AN31" i="47"/>
  <c r="AD31" i="47"/>
  <c r="E11" i="47"/>
  <c r="B27" i="43"/>
  <c r="BM31" i="47" l="1"/>
  <c r="BM32" i="47"/>
  <c r="O20" i="47"/>
  <c r="AD32" i="47"/>
  <c r="AI18" i="47"/>
  <c r="AN32" i="47"/>
  <c r="AI31" i="47"/>
  <c r="AI32" i="47"/>
  <c r="BH31" i="47"/>
  <c r="BH32" i="47"/>
  <c r="AX31" i="47"/>
  <c r="AX32" i="47"/>
  <c r="AS31" i="47"/>
  <c r="AS32" i="47"/>
  <c r="BC31" i="47"/>
  <c r="BC32" i="47"/>
  <c r="BC17" i="47"/>
  <c r="BH12" i="47"/>
  <c r="AN21" i="47"/>
  <c r="AS25" i="47"/>
  <c r="AX25" i="47"/>
  <c r="AI19" i="47"/>
  <c r="Y12" i="47"/>
  <c r="J18" i="47"/>
  <c r="T11" i="47"/>
  <c r="AD11" i="47"/>
  <c r="B28" i="43"/>
  <c r="O21" i="47" l="1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O22" i="47" l="1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O23" i="47" l="1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O24" i="47" l="1"/>
  <c r="BC21" i="47"/>
  <c r="BH16" i="47"/>
  <c r="AN25" i="47"/>
  <c r="AX29" i="47"/>
  <c r="AS29" i="47"/>
  <c r="AI23" i="47"/>
  <c r="Y16" i="47"/>
  <c r="J22" i="47"/>
  <c r="T15" i="47"/>
  <c r="AD15" i="47"/>
  <c r="E16" i="47"/>
  <c r="O25" i="47" l="1"/>
  <c r="BH17" i="47"/>
  <c r="BC22" i="47"/>
  <c r="AN26" i="47"/>
  <c r="AS30" i="47"/>
  <c r="AX30" i="47"/>
  <c r="AI24" i="47"/>
  <c r="J23" i="47"/>
  <c r="Y17" i="47"/>
  <c r="AD16" i="47"/>
  <c r="T16" i="47"/>
  <c r="E17" i="47"/>
  <c r="O26" i="47" l="1"/>
  <c r="BC23" i="47"/>
  <c r="BH18" i="47"/>
  <c r="AN27" i="47"/>
  <c r="AI25" i="47"/>
  <c r="Y18" i="47"/>
  <c r="J24" i="47"/>
  <c r="T17" i="47"/>
  <c r="AD17" i="47"/>
  <c r="E18" i="47"/>
  <c r="O27" i="47" l="1"/>
  <c r="BH19" i="47"/>
  <c r="BC24" i="47"/>
  <c r="AN28" i="47"/>
  <c r="AI26" i="47"/>
  <c r="J25" i="47"/>
  <c r="Y19" i="47"/>
  <c r="AD18" i="47"/>
  <c r="T18" i="47"/>
  <c r="E19" i="47"/>
  <c r="O28" i="47" l="1"/>
  <c r="BC25" i="47"/>
  <c r="BH20" i="47"/>
  <c r="AN29" i="47"/>
  <c r="AI27" i="47"/>
  <c r="J26" i="47"/>
  <c r="Y20" i="47"/>
  <c r="T19" i="47"/>
  <c r="AD19" i="47"/>
  <c r="E20" i="47"/>
  <c r="O29" i="47" l="1"/>
  <c r="BH21" i="47"/>
  <c r="BC26" i="47"/>
  <c r="AN30" i="47"/>
  <c r="AI28" i="47"/>
  <c r="Y21" i="47"/>
  <c r="J27" i="47"/>
  <c r="T20" i="47"/>
  <c r="AD20" i="47"/>
  <c r="E21" i="47"/>
  <c r="O30" i="47" l="1"/>
  <c r="BC27" i="47"/>
  <c r="BH22" i="47"/>
  <c r="AI29" i="47"/>
  <c r="J28" i="47"/>
  <c r="Y22" i="47"/>
  <c r="T21" i="47"/>
  <c r="AD21" i="47"/>
  <c r="E22" i="47"/>
  <c r="O32" i="47" l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50" i="31"/>
  <c r="I170" i="31" l="1"/>
  <c r="I62" i="31"/>
  <c r="I148" i="31"/>
  <c r="I268" i="31" s="1"/>
  <c r="I40" i="31"/>
  <c r="I159" i="3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Q31" i="25" l="1"/>
  <c r="AM31" i="25"/>
  <c r="AL31" i="25"/>
  <c r="AN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B32" i="25" l="1"/>
  <c r="AZ32" i="25"/>
  <c r="BA32" i="25"/>
  <c r="BM32" i="25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A33" i="25" l="1"/>
  <c r="BB33" i="25"/>
  <c r="AZ33" i="25"/>
  <c r="BM33" i="25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A34" i="25" l="1"/>
  <c r="BB34" i="25"/>
  <c r="AZ34" i="25"/>
  <c r="BM34" i="25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L24" i="43" l="1"/>
  <c r="L25" i="43" l="1"/>
  <c r="G24" i="43"/>
  <c r="L26" i="43" l="1"/>
  <c r="G25" i="43"/>
  <c r="BK21" i="25" l="1"/>
  <c r="L27" i="43"/>
  <c r="G26" i="43"/>
  <c r="L28" i="43" l="1"/>
  <c r="BK22" i="25" s="1"/>
  <c r="G27" i="43"/>
  <c r="L29" i="43" l="1"/>
  <c r="BK23" i="25" s="1"/>
  <c r="G28" i="43"/>
  <c r="J28" i="43" s="1"/>
  <c r="L30" i="43" l="1"/>
  <c r="BK24" i="25" s="1"/>
  <c r="G29" i="43"/>
  <c r="J29" i="43" s="1"/>
  <c r="B21" i="77"/>
  <c r="K28" i="43"/>
  <c r="L31" i="43" l="1"/>
  <c r="BK25" i="25" s="1"/>
  <c r="G30" i="43"/>
  <c r="J30" i="43" s="1"/>
  <c r="B22" i="77"/>
  <c r="K29" i="43"/>
  <c r="L32" i="43" l="1"/>
  <c r="BK26" i="25" s="1"/>
  <c r="G31" i="43"/>
  <c r="J31" i="43" s="1"/>
  <c r="B23" i="77"/>
  <c r="K30" i="43"/>
  <c r="BK27" i="25" l="1"/>
  <c r="L33" i="43"/>
  <c r="G32" i="43"/>
  <c r="J32" i="43" s="1"/>
  <c r="B24" i="77"/>
  <c r="K31" i="43"/>
  <c r="G33" i="43" l="1"/>
  <c r="L34" i="43"/>
  <c r="BK28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L35" i="43"/>
  <c r="BK29" i="25" s="1"/>
  <c r="J34" i="43" l="1"/>
  <c r="K34" i="43" s="1"/>
  <c r="G35" i="43"/>
  <c r="L36" i="43"/>
  <c r="BK30" i="25" s="1"/>
  <c r="J35" i="43" l="1"/>
  <c r="K35" i="43" s="1"/>
  <c r="G36" i="43"/>
  <c r="L37" i="43"/>
  <c r="BK32" i="25" s="1"/>
  <c r="BK31" i="25" l="1"/>
  <c r="BK33" i="25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CU20" i="25" l="1"/>
  <c r="CY20" i="25" s="1"/>
  <c r="C20" i="25" s="1"/>
  <c r="CU21" i="25" l="1"/>
  <c r="CY21" i="25" s="1"/>
  <c r="C21" i="25" s="1"/>
  <c r="CU22" i="25" l="1"/>
  <c r="CY22" i="25" s="1"/>
  <c r="C22" i="25" s="1"/>
  <c r="CU23" i="25" l="1"/>
  <c r="CY23" i="25" s="1"/>
  <c r="C23" i="25" s="1"/>
  <c r="CU24" i="25"/>
  <c r="CY24" i="25" s="1"/>
  <c r="C24" i="25" s="1"/>
  <c r="CU26" i="25" l="1"/>
  <c r="CY26" i="25" s="1"/>
  <c r="C26" i="25" s="1"/>
  <c r="CU25" i="25"/>
  <c r="CY25" i="25" s="1"/>
  <c r="C25" i="25" s="1"/>
  <c r="CU27" i="25" l="1"/>
  <c r="CY27" i="25" s="1"/>
  <c r="C27" i="25" s="1"/>
  <c r="CU29" i="25" l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O38" i="31" l="1"/>
  <c r="N38" i="31"/>
  <c r="R38" i="31" l="1"/>
  <c r="M38" i="31" l="1"/>
  <c r="P38" i="31" l="1"/>
  <c r="Q38" i="31"/>
  <c r="G57" i="25" l="1"/>
  <c r="E57" i="25"/>
  <c r="G53" i="25"/>
  <c r="E53" i="25"/>
  <c r="K196" i="31" l="1"/>
  <c r="D196" i="31"/>
  <c r="D141" i="31"/>
  <c r="K141" i="31"/>
  <c r="D236" i="31"/>
  <c r="K236" i="31"/>
  <c r="D151" i="31"/>
  <c r="K151" i="31"/>
  <c r="K138" i="31"/>
  <c r="D138" i="31"/>
  <c r="D227" i="31"/>
  <c r="K227" i="31"/>
  <c r="D144" i="31"/>
  <c r="K144" i="31"/>
  <c r="K139" i="31"/>
  <c r="D139" i="31"/>
  <c r="K134" i="31"/>
  <c r="D134" i="31"/>
  <c r="D147" i="31"/>
  <c r="K147" i="31"/>
  <c r="D167" i="31"/>
  <c r="K167" i="31"/>
  <c r="K238" i="31"/>
  <c r="D238" i="31"/>
  <c r="D178" i="31"/>
  <c r="K178" i="31"/>
  <c r="D170" i="31"/>
  <c r="K170" i="31"/>
  <c r="D209" i="31"/>
  <c r="K209" i="31"/>
  <c r="K199" i="31"/>
  <c r="D199" i="31"/>
  <c r="K195" i="31"/>
  <c r="D195" i="31"/>
  <c r="K205" i="31"/>
  <c r="D205" i="31"/>
  <c r="O32" i="31"/>
  <c r="K162" i="31"/>
  <c r="D162" i="31"/>
  <c r="D219" i="31"/>
  <c r="K219" i="31"/>
  <c r="K135" i="31"/>
  <c r="D135" i="31"/>
  <c r="D188" i="31"/>
  <c r="K188" i="31"/>
  <c r="D212" i="31"/>
  <c r="K212" i="31"/>
  <c r="D182" i="31"/>
  <c r="K182" i="31"/>
  <c r="D137" i="31"/>
  <c r="K137" i="31"/>
  <c r="D204" i="31"/>
  <c r="K204" i="31"/>
  <c r="D175" i="31"/>
  <c r="K175" i="31"/>
  <c r="K159" i="31"/>
  <c r="D159" i="31"/>
  <c r="D152" i="31"/>
  <c r="K152" i="31"/>
  <c r="D142" i="31"/>
  <c r="K142" i="31"/>
  <c r="D200" i="31"/>
  <c r="K200" i="31"/>
  <c r="K210" i="31"/>
  <c r="D210" i="31"/>
  <c r="K153" i="31"/>
  <c r="D153" i="31"/>
  <c r="D213" i="31"/>
  <c r="K213" i="31"/>
  <c r="K224" i="31"/>
  <c r="D224" i="31"/>
  <c r="D232" i="31"/>
  <c r="K232" i="31"/>
  <c r="D140" i="31"/>
  <c r="K140" i="31"/>
  <c r="K173" i="31"/>
  <c r="D173" i="31"/>
  <c r="K169" i="31"/>
  <c r="O29" i="31"/>
  <c r="D169" i="31"/>
  <c r="O34" i="31"/>
  <c r="K229" i="31"/>
  <c r="D229" i="31"/>
  <c r="D225" i="31"/>
  <c r="K225" i="31"/>
  <c r="D218" i="31"/>
  <c r="K218" i="31"/>
  <c r="D206" i="31"/>
  <c r="K206" i="31"/>
  <c r="D146" i="31"/>
  <c r="K146" i="31"/>
  <c r="D211" i="31"/>
  <c r="K211" i="31"/>
  <c r="D154" i="31"/>
  <c r="K154" i="31"/>
  <c r="D183" i="31"/>
  <c r="K183" i="31"/>
  <c r="K193" i="31"/>
  <c r="O31" i="31"/>
  <c r="D193" i="31"/>
  <c r="K187" i="31"/>
  <c r="D187" i="31"/>
  <c r="K228" i="31"/>
  <c r="D228" i="31"/>
  <c r="K201" i="31"/>
  <c r="D201" i="31"/>
  <c r="K235" i="31"/>
  <c r="D235" i="31"/>
  <c r="K203" i="31"/>
  <c r="D203" i="31"/>
  <c r="D233" i="31"/>
  <c r="K233" i="31"/>
  <c r="D221" i="31"/>
  <c r="K221" i="31"/>
  <c r="K237" i="31"/>
  <c r="D237" i="31"/>
  <c r="K184" i="31"/>
  <c r="D184" i="31"/>
  <c r="K234" i="31"/>
  <c r="D234" i="31"/>
  <c r="K163" i="31"/>
  <c r="D163" i="31"/>
  <c r="D143" i="31"/>
  <c r="K143" i="31"/>
  <c r="K220" i="31"/>
  <c r="D220" i="31"/>
  <c r="D217" i="31"/>
  <c r="O33" i="31"/>
  <c r="K217" i="31"/>
  <c r="K149" i="31"/>
  <c r="D149" i="31"/>
  <c r="K172" i="31"/>
  <c r="D172" i="31"/>
  <c r="K214" i="31"/>
  <c r="D214" i="31"/>
  <c r="D202" i="31"/>
  <c r="K202" i="31"/>
  <c r="K215" i="31"/>
  <c r="D215" i="31"/>
  <c r="K177" i="31"/>
  <c r="D177" i="31"/>
  <c r="D192" i="31"/>
  <c r="K192" i="31"/>
  <c r="D145" i="31"/>
  <c r="O27" i="31"/>
  <c r="K145" i="31"/>
  <c r="K148" i="31"/>
  <c r="D148" i="31"/>
  <c r="K207" i="31"/>
  <c r="D207" i="31"/>
  <c r="K150" i="31"/>
  <c r="D150" i="31"/>
  <c r="D185" i="31"/>
  <c r="K185" i="31"/>
  <c r="K239" i="31"/>
  <c r="D239" i="31"/>
  <c r="E239" i="31" s="1"/>
  <c r="G239" i="31" s="1"/>
  <c r="D179" i="31"/>
  <c r="K179" i="31"/>
  <c r="D166" i="31"/>
  <c r="K166" i="31"/>
  <c r="D197" i="31"/>
  <c r="K197" i="31"/>
  <c r="K222" i="31"/>
  <c r="D222" i="31"/>
  <c r="D240" i="31"/>
  <c r="K240" i="31"/>
  <c r="K136" i="31"/>
  <c r="D136" i="31"/>
  <c r="K216" i="31"/>
  <c r="D216" i="31"/>
  <c r="K208" i="31"/>
  <c r="D208" i="31"/>
  <c r="K176" i="31"/>
  <c r="D176" i="31"/>
  <c r="K164" i="31"/>
  <c r="D164" i="31"/>
  <c r="D226" i="31"/>
  <c r="K226" i="31"/>
  <c r="D190" i="31"/>
  <c r="K190" i="31"/>
  <c r="K161" i="31"/>
  <c r="D161" i="31"/>
  <c r="D223" i="31"/>
  <c r="K223" i="31"/>
  <c r="K191" i="31"/>
  <c r="D191" i="31"/>
  <c r="D231" i="31"/>
  <c r="K231" i="31"/>
  <c r="D174" i="31"/>
  <c r="K174" i="31"/>
  <c r="D158" i="31"/>
  <c r="K158" i="31"/>
  <c r="K168" i="31"/>
  <c r="D168" i="31"/>
  <c r="K165" i="31"/>
  <c r="D165" i="31"/>
  <c r="K133" i="31"/>
  <c r="D133" i="31"/>
  <c r="O26" i="31"/>
  <c r="D155" i="31"/>
  <c r="K155" i="31"/>
  <c r="D230" i="31"/>
  <c r="K230" i="31"/>
  <c r="D181" i="31"/>
  <c r="K181" i="31"/>
  <c r="O30" i="31"/>
  <c r="K194" i="31"/>
  <c r="D194" i="31"/>
  <c r="K157" i="31"/>
  <c r="D157" i="31"/>
  <c r="O28" i="31"/>
  <c r="D156" i="31"/>
  <c r="K156" i="31"/>
  <c r="D198" i="31"/>
  <c r="K198" i="31"/>
  <c r="D160" i="31"/>
  <c r="K160" i="31"/>
  <c r="K189" i="31"/>
  <c r="D189" i="31"/>
  <c r="K180" i="31"/>
  <c r="D180" i="31"/>
  <c r="K171" i="31"/>
  <c r="D171" i="31"/>
  <c r="D186" i="31"/>
  <c r="K186" i="31"/>
  <c r="N26" i="31" l="1"/>
  <c r="E236" i="31"/>
  <c r="G236" i="31" s="1"/>
  <c r="E233" i="31"/>
  <c r="G233" i="31" s="1"/>
  <c r="N30" i="31"/>
  <c r="R30" i="31" s="1"/>
  <c r="E240" i="31"/>
  <c r="G240" i="31" s="1"/>
  <c r="E237" i="31"/>
  <c r="G237" i="31" s="1"/>
  <c r="E231" i="31"/>
  <c r="G231" i="31" s="1"/>
  <c r="N33" i="31"/>
  <c r="R33" i="31" s="1"/>
  <c r="E235" i="31"/>
  <c r="G235" i="31" s="1"/>
  <c r="E229" i="31"/>
  <c r="G229" i="31" s="1"/>
  <c r="M34" i="31"/>
  <c r="E234" i="31"/>
  <c r="G234" i="31" s="1"/>
  <c r="K245" i="31"/>
  <c r="C245" i="31" s="1"/>
  <c r="N32" i="31"/>
  <c r="R32" i="31" s="1"/>
  <c r="K250" i="31"/>
  <c r="C250" i="31" s="1"/>
  <c r="N28" i="31"/>
  <c r="R28" i="31" s="1"/>
  <c r="E230" i="31"/>
  <c r="G230" i="31" s="1"/>
  <c r="R26" i="31"/>
  <c r="K243" i="31"/>
  <c r="C243" i="31" s="1"/>
  <c r="K252" i="31"/>
  <c r="C252" i="31" s="1"/>
  <c r="N27" i="31"/>
  <c r="R27" i="31" s="1"/>
  <c r="K246" i="31"/>
  <c r="C246" i="31" s="1"/>
  <c r="K249" i="31"/>
  <c r="C249" i="31" s="1"/>
  <c r="K247" i="31"/>
  <c r="C247" i="31" s="1"/>
  <c r="N31" i="31"/>
  <c r="R31" i="31" s="1"/>
  <c r="K241" i="31"/>
  <c r="C241" i="31" s="1"/>
  <c r="D242" i="31"/>
  <c r="O35" i="31"/>
  <c r="D241" i="31"/>
  <c r="N29" i="31"/>
  <c r="R29" i="31" s="1"/>
  <c r="E232" i="31"/>
  <c r="G232" i="31" s="1"/>
  <c r="K248" i="31"/>
  <c r="C248" i="31" s="1"/>
  <c r="K242" i="31"/>
  <c r="C242" i="31" s="1"/>
  <c r="K251" i="31"/>
  <c r="C251" i="31" s="1"/>
  <c r="N34" i="31"/>
  <c r="R34" i="31" s="1"/>
  <c r="K244" i="31"/>
  <c r="C244" i="31" s="1"/>
  <c r="E238" i="31"/>
  <c r="G238" i="31" s="1"/>
  <c r="E242" i="31" l="1"/>
  <c r="G242" i="31" s="1"/>
  <c r="D244" i="31"/>
  <c r="D247" i="31"/>
  <c r="E247" i="31" s="1"/>
  <c r="G247" i="31" s="1"/>
  <c r="E244" i="31"/>
  <c r="G244" i="31" s="1"/>
  <c r="D249" i="31"/>
  <c r="E249" i="31" s="1"/>
  <c r="G249" i="31" s="1"/>
  <c r="K258" i="31"/>
  <c r="C258" i="31" s="1"/>
  <c r="D250" i="31"/>
  <c r="E250" i="31" s="1"/>
  <c r="G250" i="31" s="1"/>
  <c r="D245" i="31"/>
  <c r="E245" i="31" s="1"/>
  <c r="G245" i="31" s="1"/>
  <c r="P34" i="31"/>
  <c r="Q34" i="31"/>
  <c r="D251" i="31"/>
  <c r="E251" i="31" s="1"/>
  <c r="G251" i="31" s="1"/>
  <c r="K260" i="31"/>
  <c r="C260" i="31" s="1"/>
  <c r="K264" i="31"/>
  <c r="C264" i="31" s="1"/>
  <c r="K262" i="31"/>
  <c r="C262" i="31" s="1"/>
  <c r="K257" i="31"/>
  <c r="C257" i="31" s="1"/>
  <c r="K263" i="31"/>
  <c r="C263" i="31" s="1"/>
  <c r="K254" i="31"/>
  <c r="C254" i="31" s="1"/>
  <c r="K253" i="31"/>
  <c r="C253" i="31" s="1"/>
  <c r="D253" i="31"/>
  <c r="O36" i="31"/>
  <c r="K259" i="31"/>
  <c r="C259" i="31" s="1"/>
  <c r="K261" i="31"/>
  <c r="C261" i="31" s="1"/>
  <c r="D243" i="31"/>
  <c r="E243" i="31" s="1"/>
  <c r="G243" i="31" s="1"/>
  <c r="K256" i="31"/>
  <c r="C256" i="31" s="1"/>
  <c r="D248" i="31"/>
  <c r="E248" i="31" s="1"/>
  <c r="G248" i="31" s="1"/>
  <c r="M35" i="31"/>
  <c r="E241" i="31"/>
  <c r="G241" i="31" s="1"/>
  <c r="D246" i="31"/>
  <c r="E246" i="31" s="1"/>
  <c r="G246" i="31" s="1"/>
  <c r="D252" i="31"/>
  <c r="E252" i="31" s="1"/>
  <c r="G252" i="31" s="1"/>
  <c r="K255" i="31"/>
  <c r="C255" i="31" s="1"/>
  <c r="D257" i="31" l="1"/>
  <c r="E257" i="31" s="1"/>
  <c r="G257" i="31" s="1"/>
  <c r="D267" i="31"/>
  <c r="K267" i="31"/>
  <c r="C267" i="31" s="1"/>
  <c r="Q35" i="31"/>
  <c r="D254" i="31"/>
  <c r="E254" i="31" s="1"/>
  <c r="G254" i="31" s="1"/>
  <c r="D264" i="31"/>
  <c r="E264" i="31" s="1"/>
  <c r="G264" i="31" s="1"/>
  <c r="K270" i="31"/>
  <c r="C270" i="31" s="1"/>
  <c r="D270" i="31"/>
  <c r="D259" i="31"/>
  <c r="E259" i="31" s="1"/>
  <c r="G259" i="31" s="1"/>
  <c r="K275" i="31"/>
  <c r="C275" i="31" s="1"/>
  <c r="D275" i="31"/>
  <c r="D262" i="31"/>
  <c r="E262" i="31" s="1"/>
  <c r="G262" i="31" s="1"/>
  <c r="D276" i="31"/>
  <c r="K276" i="31"/>
  <c r="C276" i="31" s="1"/>
  <c r="K272" i="31"/>
  <c r="C272" i="31" s="1"/>
  <c r="D272" i="31"/>
  <c r="D256" i="31"/>
  <c r="E256" i="31" s="1"/>
  <c r="G256" i="31" s="1"/>
  <c r="D261" i="31"/>
  <c r="E261" i="31" s="1"/>
  <c r="G261" i="31" s="1"/>
  <c r="K271" i="31"/>
  <c r="C271" i="31" s="1"/>
  <c r="D271" i="31"/>
  <c r="E253" i="31"/>
  <c r="G253" i="31" s="1"/>
  <c r="M36" i="31"/>
  <c r="K266" i="31"/>
  <c r="C266" i="31" s="1"/>
  <c r="D266" i="31"/>
  <c r="D274" i="31"/>
  <c r="K274" i="31"/>
  <c r="C274" i="31" s="1"/>
  <c r="D268" i="31"/>
  <c r="K268" i="31"/>
  <c r="C268" i="31" s="1"/>
  <c r="K273" i="31"/>
  <c r="C273" i="31" s="1"/>
  <c r="D273" i="31"/>
  <c r="D255" i="31"/>
  <c r="E255" i="31" s="1"/>
  <c r="G255" i="31" s="1"/>
  <c r="D265" i="31"/>
  <c r="K265" i="31"/>
  <c r="C265" i="31" s="1"/>
  <c r="O37" i="31"/>
  <c r="D263" i="31"/>
  <c r="E263" i="31" s="1"/>
  <c r="G263" i="31" s="1"/>
  <c r="K269" i="31"/>
  <c r="C269" i="31" s="1"/>
  <c r="D269" i="31"/>
  <c r="D260" i="31"/>
  <c r="E260" i="31" s="1"/>
  <c r="G260" i="31" s="1"/>
  <c r="D258" i="31"/>
  <c r="E258" i="31" s="1"/>
  <c r="G258" i="31" s="1"/>
  <c r="N35" i="31"/>
  <c r="R35" i="31" s="1"/>
  <c r="E274" i="31" l="1"/>
  <c r="G274" i="31" s="1"/>
  <c r="E276" i="31"/>
  <c r="G276" i="31" s="1"/>
  <c r="E275" i="31"/>
  <c r="G275" i="31" s="1"/>
  <c r="E267" i="31"/>
  <c r="G267" i="31" s="1"/>
  <c r="E270" i="31"/>
  <c r="G270" i="31" s="1"/>
  <c r="E273" i="31"/>
  <c r="G273" i="31" s="1"/>
  <c r="M37" i="31"/>
  <c r="E265" i="31"/>
  <c r="G265" i="31" s="1"/>
  <c r="Q36" i="31"/>
  <c r="P35" i="31"/>
  <c r="E269" i="31"/>
  <c r="G269" i="31" s="1"/>
  <c r="N37" i="31"/>
  <c r="R37" i="31" s="1"/>
  <c r="E268" i="31"/>
  <c r="G268" i="31" s="1"/>
  <c r="N36" i="31"/>
  <c r="R36" i="31" s="1"/>
  <c r="E266" i="31"/>
  <c r="G266" i="31" s="1"/>
  <c r="E271" i="31"/>
  <c r="G271" i="31" s="1"/>
  <c r="E272" i="31"/>
  <c r="G272" i="31" s="1"/>
  <c r="P36" i="31" l="1"/>
  <c r="P37" i="31"/>
  <c r="Q37" i="31"/>
  <c r="E161" i="31" l="1"/>
  <c r="G161" i="31" s="1"/>
  <c r="E152" i="31"/>
  <c r="G152" i="31" s="1"/>
  <c r="E206" i="31"/>
  <c r="G206" i="31" s="1"/>
  <c r="E219" i="31"/>
  <c r="G219" i="31" s="1"/>
  <c r="E213" i="31"/>
  <c r="G213" i="31" s="1"/>
  <c r="E221" i="31"/>
  <c r="G221" i="31" s="1"/>
  <c r="E218" i="31"/>
  <c r="G218" i="31" s="1"/>
  <c r="E171" i="31"/>
  <c r="G171" i="31" s="1"/>
  <c r="E147" i="31"/>
  <c r="G147" i="31" s="1"/>
  <c r="E197" i="31"/>
  <c r="G197" i="31" s="1"/>
  <c r="E183" i="31"/>
  <c r="G183" i="31" s="1"/>
  <c r="E194" i="31"/>
  <c r="G194" i="31" s="1"/>
  <c r="E170" i="31"/>
  <c r="G170" i="31" s="1"/>
  <c r="E227" i="31"/>
  <c r="G227" i="31" s="1"/>
  <c r="E223" i="31"/>
  <c r="G223" i="31" s="1"/>
  <c r="E187" i="31"/>
  <c r="G187" i="31" s="1"/>
  <c r="E224" i="31"/>
  <c r="G224" i="31" s="1"/>
  <c r="E188" i="31"/>
  <c r="G188" i="31" s="1"/>
  <c r="E202" i="31"/>
  <c r="G202" i="31" s="1"/>
  <c r="E195" i="31"/>
  <c r="G195" i="31" s="1"/>
  <c r="E150" i="31"/>
  <c r="G150" i="31" s="1"/>
  <c r="E178" i="31"/>
  <c r="G178" i="31" s="1"/>
  <c r="E211" i="31"/>
  <c r="G211" i="31" s="1"/>
  <c r="E228" i="31"/>
  <c r="G228" i="31" s="1"/>
  <c r="E172" i="31"/>
  <c r="G172" i="31" s="1"/>
  <c r="E222" i="31"/>
  <c r="G222" i="31" s="1"/>
  <c r="E191" i="31"/>
  <c r="G191" i="31" s="1"/>
  <c r="E158" i="31"/>
  <c r="G158" i="31" s="1"/>
  <c r="E144" i="31"/>
  <c r="G144" i="31" s="1"/>
  <c r="E207" i="31"/>
  <c r="G207" i="31" s="1"/>
  <c r="E186" i="31"/>
  <c r="G186" i="31" s="1"/>
  <c r="E162" i="31"/>
  <c r="G162" i="31" s="1"/>
  <c r="E198" i="31"/>
  <c r="G198" i="31" s="1"/>
  <c r="E184" i="31"/>
  <c r="G184" i="31" s="1"/>
  <c r="E156" i="31"/>
  <c r="G156" i="31" s="1"/>
  <c r="E199" i="31"/>
  <c r="G199" i="31" s="1"/>
  <c r="E177" i="31"/>
  <c r="G177" i="31" s="1"/>
  <c r="E149" i="31"/>
  <c r="G149" i="31" s="1"/>
  <c r="E225" i="31"/>
  <c r="G225" i="31" s="1"/>
  <c r="E173" i="31"/>
  <c r="G173" i="31" s="1"/>
  <c r="E135" i="31"/>
  <c r="G135" i="31" s="1"/>
  <c r="E163" i="31"/>
  <c r="G163" i="31" s="1"/>
  <c r="E164" i="31"/>
  <c r="G164" i="31" s="1"/>
  <c r="E166" i="31"/>
  <c r="G166" i="31" s="1"/>
  <c r="E146" i="31"/>
  <c r="G146" i="31" s="1"/>
  <c r="E139" i="31"/>
  <c r="G139" i="31" s="1"/>
  <c r="E137" i="31"/>
  <c r="G137" i="31" s="1"/>
  <c r="E201" i="31"/>
  <c r="G201" i="31" s="1"/>
  <c r="E140" i="31"/>
  <c r="G140" i="31" s="1"/>
  <c r="E167" i="31"/>
  <c r="G167" i="31" s="1"/>
  <c r="E214" i="31"/>
  <c r="G214" i="31" s="1"/>
  <c r="E159" i="31"/>
  <c r="G159" i="31" s="1"/>
  <c r="E151" i="31"/>
  <c r="G151" i="31" s="1"/>
  <c r="E165" i="31"/>
  <c r="G165" i="31" s="1"/>
  <c r="E209" i="31"/>
  <c r="G209" i="31" s="1"/>
  <c r="E200" i="31"/>
  <c r="G200" i="31" s="1"/>
  <c r="E176" i="31"/>
  <c r="G176" i="31" s="1"/>
  <c r="E160" i="31"/>
  <c r="G160" i="31" s="1"/>
  <c r="E226" i="31"/>
  <c r="G226" i="31" s="1"/>
  <c r="E215" i="31"/>
  <c r="G215" i="31" s="1"/>
  <c r="E189" i="31"/>
  <c r="G189" i="31" s="1"/>
  <c r="E182" i="31"/>
  <c r="G182" i="31" s="1"/>
  <c r="E196" i="31"/>
  <c r="G196" i="31" s="1"/>
  <c r="E148" i="31"/>
  <c r="G148" i="31" s="1"/>
  <c r="E190" i="31"/>
  <c r="G190" i="31" s="1"/>
  <c r="E179" i="31"/>
  <c r="G179" i="31" s="1"/>
  <c r="E208" i="31"/>
  <c r="G208" i="31" s="1"/>
  <c r="E175" i="31"/>
  <c r="G175" i="31" s="1"/>
  <c r="E153" i="31"/>
  <c r="G153" i="31" s="1"/>
  <c r="E136" i="31"/>
  <c r="G136" i="31" s="1"/>
  <c r="E220" i="31"/>
  <c r="G220" i="31" s="1"/>
  <c r="E174" i="31"/>
  <c r="G174" i="31" s="1"/>
  <c r="E154" i="31"/>
  <c r="G154" i="31" s="1"/>
  <c r="E212" i="31"/>
  <c r="G212" i="31" s="1"/>
  <c r="E134" i="31"/>
  <c r="G134" i="31" s="1"/>
  <c r="E155" i="31"/>
  <c r="G155" i="31" s="1"/>
  <c r="E203" i="31"/>
  <c r="G203" i="31" s="1"/>
  <c r="E210" i="31"/>
  <c r="G210" i="31" s="1"/>
  <c r="E185" i="31"/>
  <c r="G185" i="31" s="1"/>
  <c r="E180" i="31" l="1"/>
  <c r="G180" i="31" s="1"/>
  <c r="E168" i="31"/>
  <c r="G168" i="31" s="1"/>
  <c r="E216" i="31"/>
  <c r="G216" i="31" s="1"/>
  <c r="E204" i="31"/>
  <c r="G204" i="31" s="1"/>
  <c r="E192" i="31"/>
  <c r="G192" i="31" s="1"/>
  <c r="E141" i="31"/>
  <c r="G141" i="31" s="1"/>
  <c r="E143" i="31"/>
  <c r="G143" i="31" s="1"/>
  <c r="E142" i="31"/>
  <c r="G142" i="31" s="1"/>
  <c r="E138" i="31"/>
  <c r="G138" i="31" s="1"/>
  <c r="M26" i="31" l="1"/>
  <c r="E133" i="31"/>
  <c r="G133" i="31" s="1"/>
  <c r="E205" i="31"/>
  <c r="G205" i="31" s="1"/>
  <c r="M32" i="31"/>
  <c r="E181" i="31"/>
  <c r="G181" i="31" s="1"/>
  <c r="M30" i="31"/>
  <c r="M29" i="31" l="1"/>
  <c r="E169" i="31"/>
  <c r="G169" i="31" s="1"/>
  <c r="E217" i="31"/>
  <c r="G217" i="31" s="1"/>
  <c r="M33" i="31"/>
  <c r="P32" i="31"/>
  <c r="Q32" i="31"/>
  <c r="P26" i="31"/>
  <c r="Q26" i="31"/>
  <c r="E193" i="31"/>
  <c r="G193" i="31" s="1"/>
  <c r="M31" i="31"/>
  <c r="M28" i="31"/>
  <c r="E157" i="31"/>
  <c r="G157" i="31" s="1"/>
  <c r="M27" i="31"/>
  <c r="E145" i="31"/>
  <c r="G145" i="31" s="1"/>
  <c r="P30" i="31"/>
  <c r="Q30" i="31"/>
  <c r="Q33" i="31" l="1"/>
  <c r="P33" i="31"/>
  <c r="Q28" i="31"/>
  <c r="P28" i="31"/>
  <c r="P31" i="31"/>
  <c r="Q31" i="31"/>
  <c r="Q27" i="31"/>
  <c r="P27" i="31"/>
  <c r="Q29" i="31"/>
  <c r="P29" i="31"/>
  <c r="F9" i="31"/>
  <c r="K21" i="31" l="1"/>
  <c r="D21" i="31"/>
  <c r="K116" i="31"/>
  <c r="D116" i="31"/>
  <c r="K31" i="31"/>
  <c r="D31" i="31"/>
  <c r="D107" i="31"/>
  <c r="K107" i="31"/>
  <c r="K24" i="31"/>
  <c r="D24" i="31"/>
  <c r="K19" i="31"/>
  <c r="D19" i="31"/>
  <c r="K14" i="31"/>
  <c r="D14" i="31"/>
  <c r="K27" i="31"/>
  <c r="D27" i="31"/>
  <c r="D47" i="31"/>
  <c r="K47" i="31"/>
  <c r="D126" i="31"/>
  <c r="K126" i="31"/>
  <c r="K118" i="31"/>
  <c r="D118" i="31"/>
  <c r="O25" i="31"/>
  <c r="D121" i="31"/>
  <c r="K121" i="31"/>
  <c r="K130" i="31"/>
  <c r="D130" i="31"/>
  <c r="D58" i="31"/>
  <c r="K58" i="31"/>
  <c r="D50" i="31"/>
  <c r="K50" i="31"/>
  <c r="D89" i="31"/>
  <c r="K89" i="31"/>
  <c r="K79" i="31"/>
  <c r="D79" i="31"/>
  <c r="D75" i="31"/>
  <c r="K75" i="31"/>
  <c r="K85" i="31"/>
  <c r="O22" i="31"/>
  <c r="D85" i="31"/>
  <c r="D42" i="31"/>
  <c r="K42" i="31"/>
  <c r="D99" i="31"/>
  <c r="K99" i="31"/>
  <c r="K15" i="31"/>
  <c r="D15" i="31"/>
  <c r="D68" i="31"/>
  <c r="K68" i="31"/>
  <c r="D92" i="31"/>
  <c r="K92" i="31"/>
  <c r="D62" i="31"/>
  <c r="K62" i="31"/>
  <c r="K17" i="31"/>
  <c r="D17" i="31"/>
  <c r="K84" i="31"/>
  <c r="D84" i="31"/>
  <c r="D18" i="31"/>
  <c r="K18" i="31"/>
  <c r="D55" i="31"/>
  <c r="K55" i="31"/>
  <c r="D127" i="31"/>
  <c r="K127" i="31"/>
  <c r="D39" i="31"/>
  <c r="K39" i="31"/>
  <c r="K32" i="31"/>
  <c r="D32" i="31"/>
  <c r="K22" i="31"/>
  <c r="D22" i="31"/>
  <c r="K80" i="31"/>
  <c r="D80" i="31"/>
  <c r="D90" i="31"/>
  <c r="K90" i="31"/>
  <c r="D33" i="31"/>
  <c r="K33" i="31"/>
  <c r="K93" i="31"/>
  <c r="D93" i="31"/>
  <c r="D104" i="31"/>
  <c r="K104" i="31"/>
  <c r="K112" i="31"/>
  <c r="D112" i="31"/>
  <c r="D20" i="31"/>
  <c r="K20" i="31"/>
  <c r="D53" i="31"/>
  <c r="K53" i="31"/>
  <c r="O19" i="31"/>
  <c r="K49" i="31"/>
  <c r="D49" i="31"/>
  <c r="K109" i="31"/>
  <c r="O24" i="31"/>
  <c r="D109" i="31"/>
  <c r="K105" i="31"/>
  <c r="D105" i="31"/>
  <c r="K98" i="31"/>
  <c r="D98" i="31"/>
  <c r="D86" i="31"/>
  <c r="K86" i="31"/>
  <c r="K26" i="31"/>
  <c r="D26" i="31"/>
  <c r="D91" i="31"/>
  <c r="K91" i="31"/>
  <c r="D34" i="31"/>
  <c r="K34" i="31"/>
  <c r="K63" i="31"/>
  <c r="D63" i="31"/>
  <c r="K73" i="31"/>
  <c r="O21" i="31"/>
  <c r="D73" i="31"/>
  <c r="K67" i="31"/>
  <c r="D67" i="31"/>
  <c r="D108" i="31"/>
  <c r="K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K114" i="31"/>
  <c r="D114" i="31"/>
  <c r="D43" i="31"/>
  <c r="K43" i="31"/>
  <c r="K23" i="31"/>
  <c r="D23" i="31"/>
  <c r="D125" i="31"/>
  <c r="K125" i="31"/>
  <c r="D100" i="31"/>
  <c r="K100" i="31"/>
  <c r="K97" i="31"/>
  <c r="D97" i="31"/>
  <c r="O23" i="31"/>
  <c r="D29" i="31"/>
  <c r="K29" i="31"/>
  <c r="K102" i="31"/>
  <c r="D102" i="31"/>
  <c r="K128" i="31"/>
  <c r="D128" i="31"/>
  <c r="D129" i="31"/>
  <c r="K129" i="31"/>
  <c r="K94" i="31"/>
  <c r="D94" i="31"/>
  <c r="D82" i="31"/>
  <c r="K82" i="31"/>
  <c r="K95" i="31"/>
  <c r="D95" i="31"/>
  <c r="D57" i="31"/>
  <c r="K57" i="31"/>
  <c r="D72" i="31"/>
  <c r="K72" i="31"/>
  <c r="O17" i="31"/>
  <c r="D25" i="31"/>
  <c r="D12" i="31"/>
  <c r="G12" i="31" s="1"/>
  <c r="K25" i="31"/>
  <c r="D28" i="31"/>
  <c r="K28" i="31"/>
  <c r="D87" i="31"/>
  <c r="K87" i="31"/>
  <c r="K132" i="31"/>
  <c r="D132" i="31"/>
  <c r="D30" i="31"/>
  <c r="K30" i="31"/>
  <c r="K65" i="31"/>
  <c r="D65" i="31"/>
  <c r="D119" i="31"/>
  <c r="K119" i="31"/>
  <c r="K59" i="31"/>
  <c r="D59" i="31"/>
  <c r="D76" i="31"/>
  <c r="K76" i="31"/>
  <c r="K46" i="31"/>
  <c r="D46" i="31"/>
  <c r="K77" i="31"/>
  <c r="D77" i="31"/>
  <c r="D52" i="31"/>
  <c r="K52" i="31"/>
  <c r="K120" i="31"/>
  <c r="D120" i="31"/>
  <c r="D16" i="31"/>
  <c r="K16" i="31"/>
  <c r="K96" i="31"/>
  <c r="D96" i="31"/>
  <c r="K88" i="31"/>
  <c r="D88" i="31"/>
  <c r="K56" i="31"/>
  <c r="D56" i="31"/>
  <c r="K44" i="31"/>
  <c r="D44" i="31"/>
  <c r="K106" i="31"/>
  <c r="D106" i="31"/>
  <c r="D70" i="31"/>
  <c r="K70" i="31"/>
  <c r="D41" i="31"/>
  <c r="K41" i="31"/>
  <c r="K103" i="31"/>
  <c r="D103" i="31"/>
  <c r="K122" i="31"/>
  <c r="D122" i="31"/>
  <c r="D71" i="31"/>
  <c r="K71" i="31"/>
  <c r="D111" i="31"/>
  <c r="K111" i="31"/>
  <c r="K54" i="31"/>
  <c r="D54" i="31"/>
  <c r="K38" i="31"/>
  <c r="D38" i="31"/>
  <c r="D48" i="31"/>
  <c r="K48" i="31"/>
  <c r="D124" i="31"/>
  <c r="K124" i="31"/>
  <c r="D45" i="31"/>
  <c r="K45" i="31"/>
  <c r="D13" i="31"/>
  <c r="K13" i="31"/>
  <c r="O16" i="31"/>
  <c r="D35" i="31"/>
  <c r="K35" i="31"/>
  <c r="D110" i="31"/>
  <c r="K110" i="31"/>
  <c r="D131" i="31"/>
  <c r="K131" i="31"/>
  <c r="O20" i="31"/>
  <c r="K61" i="31"/>
  <c r="D61" i="31"/>
  <c r="D74" i="31"/>
  <c r="K74" i="31"/>
  <c r="K37" i="31"/>
  <c r="O18" i="31"/>
  <c r="D37" i="31"/>
  <c r="N18" i="31" s="1"/>
  <c r="K36" i="31"/>
  <c r="D36" i="31"/>
  <c r="D78" i="31"/>
  <c r="K78" i="31"/>
  <c r="D40" i="31"/>
  <c r="K40" i="31"/>
  <c r="D69" i="31"/>
  <c r="K69" i="31"/>
  <c r="K60" i="31"/>
  <c r="D60" i="31"/>
  <c r="D51" i="31"/>
  <c r="K51" i="31"/>
  <c r="K66" i="31"/>
  <c r="D66" i="31"/>
  <c r="D123" i="31"/>
  <c r="K123" i="31"/>
  <c r="D9" i="31"/>
  <c r="R18" i="31" l="1"/>
  <c r="N23" i="31"/>
  <c r="R23" i="31" s="1"/>
  <c r="N20" i="31"/>
  <c r="R20" i="31" s="1"/>
  <c r="N17" i="31"/>
  <c r="R17" i="31" s="1"/>
  <c r="N22" i="31"/>
  <c r="R22" i="31" s="1"/>
  <c r="N21" i="31"/>
  <c r="R21" i="31" s="1"/>
  <c r="K4" i="31"/>
  <c r="K5" i="31"/>
  <c r="N24" i="31"/>
  <c r="R24" i="31" s="1"/>
  <c r="N25" i="31"/>
  <c r="R25" i="31" s="1"/>
  <c r="N16" i="31"/>
  <c r="R16" i="31" s="1"/>
  <c r="N19" i="31"/>
  <c r="R19" i="31" s="1"/>
  <c r="K6" i="31" l="1"/>
  <c r="B5" i="31" s="1"/>
  <c r="M7" i="31"/>
  <c r="K3" i="25"/>
  <c r="B5" i="25" l="1"/>
  <c r="C57" i="25"/>
  <c r="G9" i="25"/>
  <c r="C53" i="25"/>
  <c r="C49" i="25"/>
  <c r="G26" i="25"/>
  <c r="E28" i="25"/>
  <c r="G30" i="25"/>
  <c r="G24" i="25"/>
  <c r="E30" i="25"/>
  <c r="G23" i="25"/>
  <c r="E29" i="25"/>
  <c r="G31" i="25"/>
  <c r="G28" i="25"/>
  <c r="G32" i="25"/>
  <c r="E32" i="25"/>
  <c r="G33" i="25"/>
  <c r="G29" i="25"/>
  <c r="G34" i="25"/>
  <c r="G27" i="25"/>
  <c r="E31" i="25"/>
  <c r="E33" i="25"/>
  <c r="E23" i="25"/>
  <c r="E34" i="25"/>
  <c r="E26" i="25"/>
  <c r="E24" i="25"/>
  <c r="E25" i="25"/>
  <c r="E27" i="25"/>
  <c r="G25" i="25"/>
  <c r="C20" i="96" l="1"/>
  <c r="I20" i="96" s="1"/>
  <c r="C21" i="96"/>
  <c r="I21" i="96" s="1"/>
  <c r="C19" i="96"/>
  <c r="I19" i="96" s="1"/>
  <c r="C22" i="96"/>
  <c r="I22" i="96" s="1"/>
  <c r="C23" i="96"/>
  <c r="I23" i="96" s="1"/>
  <c r="B4" i="31"/>
  <c r="B5" i="28"/>
  <c r="B5" i="66"/>
  <c r="E41" i="31" l="1"/>
  <c r="G41" i="31" s="1"/>
  <c r="E32" i="31"/>
  <c r="G32" i="31" s="1"/>
  <c r="E112" i="31"/>
  <c r="G112" i="31" s="1"/>
  <c r="E86" i="31"/>
  <c r="G86" i="31" s="1"/>
  <c r="E99" i="31"/>
  <c r="G99" i="31" s="1"/>
  <c r="E93" i="31"/>
  <c r="G93" i="31" s="1"/>
  <c r="E101" i="31"/>
  <c r="G101" i="31" s="1"/>
  <c r="E98" i="31"/>
  <c r="G98" i="31" s="1"/>
  <c r="E51" i="31"/>
  <c r="G51" i="31" s="1"/>
  <c r="E27" i="31"/>
  <c r="G27" i="31" s="1"/>
  <c r="E77" i="31"/>
  <c r="G77" i="31" s="1"/>
  <c r="E63" i="31"/>
  <c r="G63" i="31" s="1"/>
  <c r="E74" i="31"/>
  <c r="G74" i="31" s="1"/>
  <c r="E50" i="31"/>
  <c r="G50" i="31" s="1"/>
  <c r="E107" i="31"/>
  <c r="G107" i="31" s="1"/>
  <c r="E103" i="31"/>
  <c r="G103" i="31" s="1"/>
  <c r="E67" i="31"/>
  <c r="G67" i="31" s="1"/>
  <c r="E104" i="31"/>
  <c r="G104" i="31" s="1"/>
  <c r="E68" i="31"/>
  <c r="G68" i="31" s="1"/>
  <c r="E82" i="31"/>
  <c r="G82" i="31" s="1"/>
  <c r="E75" i="31"/>
  <c r="G75" i="31" s="1"/>
  <c r="E30" i="31"/>
  <c r="G30" i="31" s="1"/>
  <c r="E111" i="31"/>
  <c r="G111" i="31" s="1"/>
  <c r="E58" i="31"/>
  <c r="G58" i="31" s="1"/>
  <c r="E118" i="31"/>
  <c r="G118" i="31" s="1"/>
  <c r="E91" i="31"/>
  <c r="G91" i="31" s="1"/>
  <c r="E108" i="31"/>
  <c r="G108" i="31" s="1"/>
  <c r="E52" i="31"/>
  <c r="G52" i="31" s="1"/>
  <c r="E102" i="31"/>
  <c r="G102" i="31" s="1"/>
  <c r="E71" i="31"/>
  <c r="G71" i="31" s="1"/>
  <c r="E38" i="31"/>
  <c r="G38" i="31" s="1"/>
  <c r="E24" i="31"/>
  <c r="G24" i="31" s="1"/>
  <c r="E87" i="31"/>
  <c r="G87" i="31" s="1"/>
  <c r="E66" i="31"/>
  <c r="G66" i="31" s="1"/>
  <c r="E42" i="31"/>
  <c r="G42" i="31" s="1"/>
  <c r="E78" i="31"/>
  <c r="G78" i="31" s="1"/>
  <c r="E115" i="31"/>
  <c r="G115" i="31" s="1"/>
  <c r="E64" i="31"/>
  <c r="G64" i="31" s="1"/>
  <c r="E36" i="31"/>
  <c r="G36" i="31" s="1"/>
  <c r="E79" i="31"/>
  <c r="G79" i="31" s="1"/>
  <c r="E57" i="31"/>
  <c r="G57" i="31" s="1"/>
  <c r="E114" i="31"/>
  <c r="G114" i="31" s="1"/>
  <c r="E117" i="31"/>
  <c r="G117" i="31" s="1"/>
  <c r="E29" i="31"/>
  <c r="G29" i="31" s="1"/>
  <c r="E105" i="31"/>
  <c r="G105" i="31" s="1"/>
  <c r="E53" i="31"/>
  <c r="G53" i="31" s="1"/>
  <c r="E15" i="31"/>
  <c r="G15" i="31" s="1"/>
  <c r="E43" i="31"/>
  <c r="G43" i="31" s="1"/>
  <c r="E44" i="31"/>
  <c r="G44" i="31" s="1"/>
  <c r="E46" i="31"/>
  <c r="G46" i="31" s="1"/>
  <c r="E26" i="31"/>
  <c r="G26" i="31" s="1"/>
  <c r="E19" i="31"/>
  <c r="G19" i="31" s="1"/>
  <c r="E17" i="31"/>
  <c r="G17" i="31" s="1"/>
  <c r="E81" i="31"/>
  <c r="G81" i="31" s="1"/>
  <c r="E20" i="31"/>
  <c r="G20" i="31" s="1"/>
  <c r="E47" i="31"/>
  <c r="G47" i="31" s="1"/>
  <c r="E94" i="31"/>
  <c r="G94" i="31" s="1"/>
  <c r="E39" i="31"/>
  <c r="G39" i="31" s="1"/>
  <c r="E116" i="31"/>
  <c r="G116" i="31" s="1"/>
  <c r="E31" i="31"/>
  <c r="G31" i="31" s="1"/>
  <c r="E45" i="31"/>
  <c r="G45" i="31" s="1"/>
  <c r="E89" i="31"/>
  <c r="G89" i="31" s="1"/>
  <c r="E80" i="31"/>
  <c r="G80" i="31" s="1"/>
  <c r="E56" i="31"/>
  <c r="G56" i="31" s="1"/>
  <c r="E40" i="31"/>
  <c r="G40" i="31" s="1"/>
  <c r="E106" i="31"/>
  <c r="G106" i="31" s="1"/>
  <c r="E95" i="31"/>
  <c r="G95" i="31" s="1"/>
  <c r="E69" i="31"/>
  <c r="G69" i="31" s="1"/>
  <c r="E62" i="31"/>
  <c r="G62" i="31" s="1"/>
  <c r="E76" i="31"/>
  <c r="G76" i="31" s="1"/>
  <c r="E119" i="31"/>
  <c r="G119" i="31" s="1"/>
  <c r="E28" i="31"/>
  <c r="G28" i="31" s="1"/>
  <c r="E70" i="31"/>
  <c r="G70" i="31" s="1"/>
  <c r="E59" i="31"/>
  <c r="G59" i="31" s="1"/>
  <c r="E88" i="31"/>
  <c r="G88" i="31" s="1"/>
  <c r="E113" i="31"/>
  <c r="G113" i="31" s="1"/>
  <c r="E55" i="31"/>
  <c r="G55" i="31" s="1"/>
  <c r="E33" i="31"/>
  <c r="G33" i="31" s="1"/>
  <c r="E16" i="31"/>
  <c r="G16" i="31" s="1"/>
  <c r="E100" i="31"/>
  <c r="G100" i="31" s="1"/>
  <c r="E120" i="31"/>
  <c r="G120" i="31" s="1"/>
  <c r="E54" i="31"/>
  <c r="G54" i="31" s="1"/>
  <c r="E110" i="31"/>
  <c r="G110" i="31" s="1"/>
  <c r="E34" i="31"/>
  <c r="G34" i="31" s="1"/>
  <c r="E92" i="31"/>
  <c r="G92" i="31" s="1"/>
  <c r="E14" i="31"/>
  <c r="G14" i="31" s="1"/>
  <c r="E35" i="31"/>
  <c r="G35" i="31" s="1"/>
  <c r="E83" i="31"/>
  <c r="G83" i="31" s="1"/>
  <c r="E90" i="31"/>
  <c r="G90" i="31" s="1"/>
  <c r="E65" i="31"/>
  <c r="G65" i="31" s="1"/>
  <c r="E60" i="31" l="1"/>
  <c r="G60" i="31" s="1"/>
  <c r="E48" i="31"/>
  <c r="G48" i="31" s="1"/>
  <c r="E96" i="31"/>
  <c r="G96" i="31" s="1"/>
  <c r="E84" i="31"/>
  <c r="G84" i="31" s="1"/>
  <c r="E72" i="31"/>
  <c r="G72" i="31" s="1"/>
  <c r="E21" i="31"/>
  <c r="G21" i="31" s="1"/>
  <c r="E23" i="31"/>
  <c r="G23" i="31" s="1"/>
  <c r="E22" i="31"/>
  <c r="G22" i="31" s="1"/>
  <c r="E18" i="31"/>
  <c r="G18" i="31" s="1"/>
  <c r="E132" i="31"/>
  <c r="G132" i="31" s="1"/>
  <c r="E123" i="31"/>
  <c r="G123" i="31" s="1"/>
  <c r="E129" i="31"/>
  <c r="G129" i="31" s="1"/>
  <c r="E128" i="31"/>
  <c r="G128" i="31" s="1"/>
  <c r="E122" i="31"/>
  <c r="G122" i="31" s="1"/>
  <c r="E131" i="31"/>
  <c r="G131" i="31" s="1"/>
  <c r="E125" i="31"/>
  <c r="G125" i="31" s="1"/>
  <c r="E130" i="31"/>
  <c r="G130" i="31" s="1"/>
  <c r="E126" i="31"/>
  <c r="G126" i="31" s="1"/>
  <c r="E127" i="31"/>
  <c r="G127" i="31" s="1"/>
  <c r="E124" i="31"/>
  <c r="G124" i="31" s="1"/>
  <c r="E19" i="25"/>
  <c r="E13" i="25"/>
  <c r="E17" i="25"/>
  <c r="M16" i="31" l="1"/>
  <c r="E13" i="31"/>
  <c r="M22" i="31"/>
  <c r="E85" i="31"/>
  <c r="E61" i="31"/>
  <c r="M20" i="31"/>
  <c r="E18" i="25"/>
  <c r="E16" i="25"/>
  <c r="C9" i="31"/>
  <c r="E21" i="25"/>
  <c r="G13" i="25"/>
  <c r="G19" i="25"/>
  <c r="E14" i="25"/>
  <c r="E15" i="25"/>
  <c r="G17" i="25"/>
  <c r="E22" i="25"/>
  <c r="E20" i="25"/>
  <c r="C13" i="96" l="1"/>
  <c r="I13" i="96" s="1"/>
  <c r="C15" i="96"/>
  <c r="I15" i="96" s="1"/>
  <c r="G9" i="31"/>
  <c r="G50" i="25" s="1"/>
  <c r="E50" i="25"/>
  <c r="C9" i="96"/>
  <c r="I9" i="96" s="1"/>
  <c r="M19" i="31"/>
  <c r="E49" i="31"/>
  <c r="G61" i="31"/>
  <c r="Q16" i="31"/>
  <c r="P16" i="31"/>
  <c r="E73" i="31"/>
  <c r="M21" i="31"/>
  <c r="M23" i="31"/>
  <c r="E97" i="31"/>
  <c r="G85" i="31"/>
  <c r="M18" i="31"/>
  <c r="E37" i="31"/>
  <c r="P22" i="31"/>
  <c r="Q22" i="31"/>
  <c r="E121" i="31"/>
  <c r="M25" i="31"/>
  <c r="M17" i="31"/>
  <c r="E25" i="31"/>
  <c r="E109" i="31"/>
  <c r="M24" i="31"/>
  <c r="Q20" i="31"/>
  <c r="P20" i="31"/>
  <c r="G13" i="31"/>
  <c r="G20" i="25"/>
  <c r="E9" i="31"/>
  <c r="G21" i="25"/>
  <c r="G15" i="25"/>
  <c r="G16" i="25"/>
  <c r="G14" i="25"/>
  <c r="G22" i="25"/>
  <c r="G18" i="25"/>
  <c r="C26" i="96" l="1"/>
  <c r="I26" i="96" s="1"/>
  <c r="I27" i="96" s="1"/>
  <c r="C17" i="96"/>
  <c r="I17" i="96" s="1"/>
  <c r="C18" i="96"/>
  <c r="I18" i="96" s="1"/>
  <c r="C10" i="96"/>
  <c r="I10" i="96" s="1"/>
  <c r="I75" i="25"/>
  <c r="C14" i="96"/>
  <c r="I14" i="96" s="1"/>
  <c r="C12" i="96"/>
  <c r="I12" i="96" s="1"/>
  <c r="C16" i="96"/>
  <c r="I16" i="96" s="1"/>
  <c r="C11" i="96"/>
  <c r="I11" i="96" s="1"/>
  <c r="G109" i="31"/>
  <c r="G121" i="31"/>
  <c r="P18" i="31"/>
  <c r="Q18" i="31"/>
  <c r="Q21" i="31"/>
  <c r="P21" i="31"/>
  <c r="G25" i="31"/>
  <c r="G73" i="31"/>
  <c r="G49" i="31"/>
  <c r="P17" i="31"/>
  <c r="Q17" i="31"/>
  <c r="G97" i="31"/>
  <c r="P19" i="31"/>
  <c r="Q19" i="31"/>
  <c r="P24" i="31"/>
  <c r="Q24" i="31"/>
  <c r="P25" i="31"/>
  <c r="Q25" i="31"/>
  <c r="G37" i="31"/>
  <c r="P23" i="31"/>
  <c r="Q23" i="31"/>
  <c r="D22" i="96" l="1"/>
  <c r="J22" i="96" s="1"/>
  <c r="D19" i="96"/>
  <c r="J19" i="96" s="1"/>
  <c r="D21" i="96"/>
  <c r="J21" i="96" s="1"/>
  <c r="D20" i="96"/>
  <c r="J20" i="96" s="1"/>
  <c r="D23" i="96"/>
  <c r="J23" i="96" s="1"/>
  <c r="D15" i="96" l="1"/>
  <c r="J15" i="96" s="1"/>
  <c r="D13" i="96"/>
  <c r="J13" i="96" s="1"/>
  <c r="D9" i="96"/>
  <c r="J9" i="96" s="1"/>
  <c r="D26" i="96"/>
  <c r="J26" i="96" s="1"/>
  <c r="J27" i="96" s="1"/>
  <c r="D17" i="96" l="1"/>
  <c r="J17" i="96" s="1"/>
  <c r="D18" i="96"/>
  <c r="J18" i="96" s="1"/>
  <c r="D11" i="96"/>
  <c r="J11" i="96" s="1"/>
  <c r="D10" i="96"/>
  <c r="J10" i="96" s="1"/>
  <c r="D16" i="96"/>
  <c r="J16" i="96" s="1"/>
  <c r="D14" i="96"/>
  <c r="J14" i="96" s="1"/>
  <c r="D12" i="96"/>
  <c r="J12" i="96" s="1"/>
  <c r="E13" i="96" l="1"/>
  <c r="K13" i="96" s="1"/>
  <c r="E15" i="96"/>
  <c r="K15" i="96" s="1"/>
  <c r="E9" i="96"/>
  <c r="K9" i="96" s="1"/>
  <c r="E17" i="96" l="1"/>
  <c r="K17" i="96" s="1"/>
  <c r="E10" i="96"/>
  <c r="K10" i="96" s="1"/>
  <c r="E12" i="96"/>
  <c r="K12" i="96" s="1"/>
  <c r="E14" i="96"/>
  <c r="K14" i="96" s="1"/>
  <c r="E16" i="96"/>
  <c r="K16" i="96" s="1"/>
  <c r="E11" i="96"/>
  <c r="K11" i="96" s="1"/>
  <c r="E18" i="96"/>
  <c r="K18" i="96" s="1"/>
  <c r="E19" i="96" l="1"/>
  <c r="K19" i="96" s="1"/>
  <c r="E23" i="96"/>
  <c r="K23" i="96" s="1"/>
  <c r="E20" i="96" l="1"/>
  <c r="K20" i="96" s="1"/>
  <c r="E22" i="96"/>
  <c r="K22" i="96" s="1"/>
  <c r="E21" i="96"/>
  <c r="K21" i="96" s="1"/>
  <c r="E26" i="96"/>
  <c r="K26" i="96" s="1"/>
  <c r="K27" i="96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<sst xmlns="http://schemas.openxmlformats.org/spreadsheetml/2006/main" count="1384" uniqueCount="259">
  <si>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</si>
  <si>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</si>
  <si>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</si>
  <si>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</si>
  <si>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</si>
  <si>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</si>
  <si>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</si>
  <si>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</si>
  <si>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</si>
  <si>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</si>
  <si>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</si>
  <si>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</si>
  <si>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</si>
  <si>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</si>
  <si>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</si>
  <si>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</si>
  <si>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</si>
  <si>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</si>
  <si>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</si>
  <si>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</si>
  <si>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</si>
  <si>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</si>
  <si>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</si>
  <si>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</si>
  <si>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</si>
  <si>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</si>
  <si>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</si>
  <si>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</si>
  <si>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</si>
  <si>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</si>
  <si>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</si>
  <si>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</si>
  <si>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</si>
  <si>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</si>
  <si>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</si>
  <si>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</si>
  <si>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</si>
  <si>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</si>
  <si>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</si>
  <si>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</si>
  <si>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</si>
  <si>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</si>
  <si>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</si>
  <si>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</si>
  <si>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</si>
  <si>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</si>
  <si>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</si>
  <si>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</si>
  <si>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</si>
  <si>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</si>
  <si>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</si>
  <si>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</si>
  <si>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</si>
  <si>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</si>
  <si>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</si>
  <si>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</si>
  <si>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</si>
  <si>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</si>
  <si>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</si>
  <si>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</si>
  <si>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</si>
  <si>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</si>
  <si>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</si>
  <si>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</si>
  <si>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</si>
  <si>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</si>
  <si>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</si>
  <si>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</si>
  <si>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</si>
  <si>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</si>
  <si>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</si>
  <si>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</si>
  <si>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</si>
  <si>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</si>
  <si>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</si>
  <si>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</si>
  <si>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</si>
  <si>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</si>
  <si>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</si>
  <si>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</si>
  <si>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</si>
  <si>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</si>
  <si>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</si>
  <si>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</si>
  <si>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</si>
  <si>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</si>
  <si>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</si>
  <si>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</si>
  <si>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</si>
  <si>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</si>
  <si>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</si>
  <si>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</si>
  <si>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</si>
  <si>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</si>
  <si>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</si>
  <si>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</si>
  <si>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</si>
  <si>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</si>
  <si>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</si>
  <si>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</si>
  <si>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</si>
  <si>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</si>
  <si>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</si>
  <si>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</si>
  <si>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</si>
  <si>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</si>
  <si>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</si>
  <si>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</si>
  <si>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</si>
  <si>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</si>
  <si>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</si>
  <si>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</si>
  <si>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</si>
  <si>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</si>
  <si>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</si>
  <si>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</si>
  <si>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</si>
  <si>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</si>
  <si>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</si>
  <si>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</si>
  <si>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</si>
  <si>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</si>
  <si>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</si>
  <si>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</si>
  <si>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</si>
  <si>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</si>
  <si>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</si>
  <si>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</si>
  <si>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</si>
  <si>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</si>
  <si>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</si>
  <si>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</si>
  <si>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</si>
  <si>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</si>
  <si>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</si>
  <si>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</si>
  <si>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</si>
  <si>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</si>
  <si>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</si>
  <si>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</si>
  <si>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</si>
  <si>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</si>
  <si>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</si>
  <si>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</si>
  <si>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</si>
  <si>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</si>
  <si>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</si>
  <si>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</si>
  <si>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Retail Revenue Requirement
($/kW-year, 2033$)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</si>
  <si>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</si>
  <si>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</si>
  <si>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</si>
  <si>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</si>
  <si>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</si>
  <si>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</si>
  <si>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Plant Costs  - 2021 IRP Update - Table 7.1 &amp; 7.2</t>
  </si>
  <si>
    <t>2020 $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</si>
  <si>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</si>
  <si>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</si>
  <si>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</si>
  <si>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</si>
  <si>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</si>
  <si>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</si>
  <si>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</si>
  <si>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</si>
  <si>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</si>
  <si>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</si>
  <si>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</si>
  <si>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</si>
  <si>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</si>
  <si>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</si>
  <si>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</si>
  <si>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</si>
  <si>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0% PTC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</si>
  <si>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</si>
  <si>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</si>
  <si>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</si>
  <si>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</si>
  <si>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</si>
  <si>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</si>
  <si>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 xml:space="preserve">2021 IRP Sm Adv Nuclear Resource Costs </t>
  </si>
  <si>
    <t>Sm Adv Nuclear - 196 MW- East Side Resource (5,050')</t>
  </si>
  <si>
    <t>2021 IRP Southern Oregon Solar with Storage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</si>
  <si>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</si>
  <si>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</si>
  <si>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</si>
  <si>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</si>
  <si>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</si>
  <si>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</si>
  <si>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</si>
  <si>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</si>
  <si>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</si>
  <si>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</si>
  <si>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</si>
  <si>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</si>
  <si>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</si>
  <si>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2030 $</t>
  </si>
  <si>
    <t>IRP21_BAT_WYE_DJ_Wyodak</t>
  </si>
  <si>
    <t>2029 $</t>
  </si>
  <si>
    <t>15 Year Starting 2025</t>
  </si>
  <si>
    <t>15 Year Starting 2024</t>
  </si>
  <si>
    <t>IRP21_UTN_Non_Emitting_2031_T</t>
  </si>
  <si>
    <t>IRP21_Huntington_Non_Emitting_2037_T</t>
  </si>
  <si>
    <t>2037 $</t>
  </si>
  <si>
    <t>2031 $</t>
  </si>
  <si>
    <t xml:space="preserve">Plant Costs  - 2021 IRP  - Table 7.1 &amp; 7.2 </t>
  </si>
  <si>
    <t xml:space="preserve">2021 IRP Update Non Emitting Huntington Peaker Resource Costs </t>
  </si>
  <si>
    <t xml:space="preserve">2021 IRP Update Non Emitting UTN Peaker Resource Costs </t>
  </si>
  <si>
    <t xml:space="preserve">Plant Costs  - 2021 IRP - Table 7.1 &amp; 7.2 </t>
  </si>
  <si>
    <t>2038$</t>
  </si>
  <si>
    <t>2029$</t>
  </si>
  <si>
    <t>Retail Revenue Requirement
($/kW-year, 2029$)</t>
  </si>
  <si>
    <t>2028$</t>
  </si>
  <si>
    <t>2032 $</t>
  </si>
  <si>
    <t>2021 IRP Update Transmission Costs</t>
  </si>
  <si>
    <t>Discount Rate - 2021 IRP Update</t>
  </si>
  <si>
    <t>2021 IRP Update</t>
  </si>
  <si>
    <t>2021 IRP Update Borah Solar with Storage</t>
  </si>
  <si>
    <t>2021 IRP Update Stand Alone Battery WY DJ</t>
  </si>
  <si>
    <t>2021 IRP Update Portland North Coast Wind Resource</t>
  </si>
  <si>
    <t>2021 IRP Update Wilamette Valley Resource</t>
  </si>
  <si>
    <t>2021 IRP Update Wyoming Wind Resource</t>
  </si>
  <si>
    <t>2021 IRP Update Wyoming DJ Wind Resource</t>
  </si>
  <si>
    <t>2021 IRP Update Southern Oregon Solar with Storage</t>
  </si>
  <si>
    <t>2021 IRP Update Yakima Solar with Storage</t>
  </si>
  <si>
    <t>2021 IRP Update UTN Solar with Storage</t>
  </si>
  <si>
    <t>2021 IRP Update UTS Solar with Storage</t>
  </si>
  <si>
    <t>15 Year</t>
  </si>
  <si>
    <t>Appendix B.1</t>
  </si>
  <si>
    <t>Avoided Cost Prices $/MWh</t>
  </si>
  <si>
    <t>Solar Tracking</t>
  </si>
  <si>
    <t>Thermal</t>
  </si>
  <si>
    <t>100% CF (2)</t>
  </si>
  <si>
    <t>Difference</t>
  </si>
  <si>
    <t>15-Year Levelized Prices (Nominal) @ 6.88% Discount Rate (1) (3)</t>
  </si>
  <si>
    <t>Footnotes:</t>
  </si>
  <si>
    <t>(1)   Discount Rate - 2021 IRP</t>
  </si>
  <si>
    <t>Thermal-Defer 2031 NonEmitPeaker</t>
  </si>
  <si>
    <t>32.25% CF (2)</t>
  </si>
  <si>
    <t>29.5% CF (2)</t>
  </si>
  <si>
    <t>UT 2022.Q2</t>
  </si>
  <si>
    <t>2023-2037</t>
  </si>
  <si>
    <t>UT 2022.Q3</t>
  </si>
  <si>
    <t>Utah 2022.Q3 Sch 38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</si>
  <si>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</si>
  <si>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</si>
  <si>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</si>
  <si>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</si>
  <si>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</si>
  <si>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</si>
  <si>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</si>
  <si>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</si>
  <si>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</si>
  <si>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</si>
  <si>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</si>
  <si>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</si>
  <si>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</si>
  <si>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</si>
  <si>
    <t>Utah 2022.Q3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</si>
</sst>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27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" fontId="5" fillId="0" borderId="0" xfId="6" applyNumberFormat="1" applyFont="1" applyFill="1" applyAlignment="1" applyProtection="1">
      <alignment horizontal="center"/>
      <protection locked="0"/>
    </xf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71" fontId="5" fillId="0" borderId="3" xfId="24" applyFont="1" applyFill="1" applyBorder="1"/>
    <xf numFmtId="171" fontId="5" fillId="0" borderId="4" xfId="24" applyFont="1" applyFill="1" applyBorder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5" fillId="0" borderId="0" xfId="24" applyFont="1" applyFill="1" applyAlignment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71" fontId="0" fillId="0" borderId="0" xfId="24" applyFont="1" applyFill="1"/>
    <xf numFmtId="172" fontId="5" fillId="0" borderId="0" xfId="2" applyNumberFormat="1" applyFont="1" applyFill="1"/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171" fontId="4" fillId="0" borderId="9" xfId="5" applyFont="1" applyFill="1" applyBorder="1" applyAlignment="1">
      <alignment horizontal="centerContinuous"/>
    </xf>
    <xf numFmtId="172" fontId="0" fillId="0" borderId="0" xfId="5" applyNumberFormat="1" applyFont="1" applyFill="1"/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171" fontId="6" fillId="0" borderId="0" xfId="24" applyFont="1" applyAlignment="1">
      <alignment horizontal="centerContinuous"/>
    </xf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3" fontId="5" fillId="0" borderId="0" xfId="24" applyNumberFormat="1" applyFont="1" applyFill="1" applyAlignment="1">
      <alignment horizontal="right"/>
    </xf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0" fillId="0" borderId="0" xfId="11" applyFont="1" applyAlignment="1">
      <alignment horizontal="center" wrapText="1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67" fontId="5" fillId="0" borderId="0" xfId="8" applyNumberFormat="1" applyFont="1" applyFill="1" applyBorder="1" applyAlignment="1">
      <alignment horizontal="center"/>
    </xf>
    <xf numFmtId="9" fontId="5" fillId="0" borderId="0" xfId="8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2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Book1" xfId="30"/>
    <cellStyle name="Normal_DRR AC Study - Utah Valley - 53 MW 90 CF (2.28.2005)" xfId="4"/>
    <cellStyle name="Normal_Exhibit GND-1 - 5.24.2005" xfId="31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1%20-%20UT%202022.Q2%20-%20AC%20Study%20NON-CONF%20Th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2%20-%20UT%202022.Q3%20-%20AC%20Study%20NON-CONF%20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Desktop\Staging\4_Appendix%20B.3%20-%20UT%202022.Q3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2%20-%20UT%202022.Q2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2\96%20-%20UT2022Q2%20-%20UT%20-%202022%20Sep\Sch%2038%20Filing\4_Appendix%20B.3%20-%20UT%202022.Q2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39.661349431756221</v>
          </cell>
          <cell r="F13">
            <v>0</v>
          </cell>
          <cell r="G13">
            <v>39.661349431756221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43.677097901141842</v>
          </cell>
          <cell r="F14">
            <v>0</v>
          </cell>
          <cell r="G14">
            <v>43.677097901141842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51.039208261675725</v>
          </cell>
          <cell r="F15">
            <v>0</v>
          </cell>
          <cell r="G15">
            <v>51.039208261675725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35.983243547654489</v>
          </cell>
          <cell r="F16">
            <v>0</v>
          </cell>
          <cell r="G16">
            <v>35.983243547654489</v>
          </cell>
        </row>
        <row r="17">
          <cell r="B17">
            <v>2026</v>
          </cell>
          <cell r="C17">
            <v>0</v>
          </cell>
          <cell r="D17">
            <v>0</v>
          </cell>
          <cell r="E17">
            <v>31.232710870269141</v>
          </cell>
          <cell r="F17">
            <v>0</v>
          </cell>
          <cell r="G17">
            <v>31.232710870269141</v>
          </cell>
        </row>
        <row r="18">
          <cell r="B18">
            <v>2027</v>
          </cell>
          <cell r="C18">
            <v>0</v>
          </cell>
          <cell r="D18">
            <v>0</v>
          </cell>
          <cell r="E18">
            <v>30.183005274472851</v>
          </cell>
          <cell r="F18">
            <v>0</v>
          </cell>
          <cell r="G18">
            <v>30.183005274472851</v>
          </cell>
        </row>
        <row r="19">
          <cell r="B19">
            <v>2028</v>
          </cell>
          <cell r="C19">
            <v>0</v>
          </cell>
          <cell r="D19">
            <v>0</v>
          </cell>
          <cell r="E19">
            <v>31.517496007369772</v>
          </cell>
          <cell r="F19">
            <v>0</v>
          </cell>
          <cell r="G19">
            <v>31.517496007369772</v>
          </cell>
        </row>
        <row r="20">
          <cell r="B20">
            <v>2029</v>
          </cell>
          <cell r="C20">
            <v>0</v>
          </cell>
          <cell r="D20">
            <v>0</v>
          </cell>
          <cell r="E20">
            <v>33.086971745608437</v>
          </cell>
          <cell r="F20">
            <v>0</v>
          </cell>
          <cell r="G20">
            <v>33.086971745608437</v>
          </cell>
        </row>
        <row r="21">
          <cell r="B21">
            <v>2030</v>
          </cell>
          <cell r="C21">
            <v>0</v>
          </cell>
          <cell r="D21">
            <v>0</v>
          </cell>
          <cell r="E21">
            <v>32.572555819430413</v>
          </cell>
          <cell r="F21">
            <v>0</v>
          </cell>
          <cell r="G21">
            <v>32.572555819430413</v>
          </cell>
        </row>
        <row r="22">
          <cell r="B22">
            <v>2031</v>
          </cell>
          <cell r="C22">
            <v>119.28815572074085</v>
          </cell>
          <cell r="D22">
            <v>0</v>
          </cell>
          <cell r="E22">
            <v>29.078169162988576</v>
          </cell>
          <cell r="F22">
            <v>0</v>
          </cell>
          <cell r="G22">
            <v>42.695538537502365</v>
          </cell>
        </row>
        <row r="23">
          <cell r="B23">
            <v>2032</v>
          </cell>
          <cell r="C23">
            <v>121.85224839400429</v>
          </cell>
          <cell r="D23">
            <v>0</v>
          </cell>
          <cell r="E23">
            <v>28.045427337234113</v>
          </cell>
          <cell r="F23">
            <v>0</v>
          </cell>
          <cell r="G23">
            <v>41.91749568809982</v>
          </cell>
        </row>
        <row r="24">
          <cell r="B24">
            <v>2033</v>
          </cell>
          <cell r="C24">
            <v>124.47537473233405</v>
          </cell>
          <cell r="D24">
            <v>0</v>
          </cell>
          <cell r="E24">
            <v>29.575938628891475</v>
          </cell>
          <cell r="F24">
            <v>0</v>
          </cell>
          <cell r="G24">
            <v>43.785456292399921</v>
          </cell>
        </row>
        <row r="25">
          <cell r="B25">
            <v>2034</v>
          </cell>
          <cell r="C25">
            <v>127.1627408993576</v>
          </cell>
          <cell r="D25">
            <v>0</v>
          </cell>
          <cell r="E25">
            <v>31.113384931997604</v>
          </cell>
          <cell r="F25">
            <v>0</v>
          </cell>
          <cell r="G25">
            <v>45.629679555211951</v>
          </cell>
        </row>
        <row r="26">
          <cell r="B26">
            <v>2035</v>
          </cell>
          <cell r="C26">
            <v>129.90364025695931</v>
          </cell>
          <cell r="D26">
            <v>0</v>
          </cell>
          <cell r="E26">
            <v>32.174686309530514</v>
          </cell>
          <cell r="F26">
            <v>0</v>
          </cell>
          <cell r="G26">
            <v>47.003868987265598</v>
          </cell>
        </row>
        <row r="27">
          <cell r="B27">
            <v>2036</v>
          </cell>
          <cell r="C27">
            <v>132.69807280513919</v>
          </cell>
          <cell r="D27">
            <v>0</v>
          </cell>
          <cell r="E27">
            <v>33.703414601698306</v>
          </cell>
          <cell r="F27">
            <v>0</v>
          </cell>
          <cell r="G27">
            <v>48.810207953831643</v>
          </cell>
        </row>
        <row r="28">
          <cell r="B28">
            <v>2037</v>
          </cell>
          <cell r="C28">
            <v>135.55674518201286</v>
          </cell>
          <cell r="D28">
            <v>0</v>
          </cell>
          <cell r="E28">
            <v>43.117520213931364</v>
          </cell>
          <cell r="F28">
            <v>0</v>
          </cell>
          <cell r="G28">
            <v>58.59203450411546</v>
          </cell>
        </row>
        <row r="29">
          <cell r="B29">
            <v>2038</v>
          </cell>
          <cell r="C29">
            <v>138.46895074946465</v>
          </cell>
          <cell r="D29">
            <v>0</v>
          </cell>
          <cell r="E29">
            <v>41.931633397603242</v>
          </cell>
          <cell r="F29">
            <v>0</v>
          </cell>
          <cell r="G29">
            <v>57.738591245715646</v>
          </cell>
        </row>
        <row r="30">
          <cell r="B30">
            <v>2039</v>
          </cell>
          <cell r="C30">
            <v>141.45610278372592</v>
          </cell>
          <cell r="D30">
            <v>0</v>
          </cell>
          <cell r="E30">
            <v>43.575586416480647</v>
          </cell>
          <cell r="F30">
            <v>0</v>
          </cell>
          <cell r="G30">
            <v>59.723543355262137</v>
          </cell>
        </row>
        <row r="31">
          <cell r="B31">
            <v>2040</v>
          </cell>
          <cell r="C31">
            <v>144.50749464668095</v>
          </cell>
          <cell r="D31">
            <v>0</v>
          </cell>
          <cell r="E31">
            <v>45.093931670995303</v>
          </cell>
          <cell r="F31">
            <v>0</v>
          </cell>
          <cell r="G31">
            <v>61.545149185417081</v>
          </cell>
        </row>
        <row r="32">
          <cell r="B32">
            <v>2041</v>
          </cell>
          <cell r="C32">
            <v>147.61241970021413</v>
          </cell>
          <cell r="D32">
            <v>0</v>
          </cell>
          <cell r="E32">
            <v>46.058099284698322</v>
          </cell>
          <cell r="F32">
            <v>0</v>
          </cell>
          <cell r="G32">
            <v>62.908832127188518</v>
          </cell>
        </row>
        <row r="33">
          <cell r="B33">
            <v>2042</v>
          </cell>
          <cell r="C33">
            <v>150.79229122055676</v>
          </cell>
          <cell r="D33">
            <v>0</v>
          </cell>
          <cell r="E33">
            <v>47.050651324283564</v>
          </cell>
          <cell r="F33">
            <v>0</v>
          </cell>
          <cell r="G33">
            <v>64.264383198776358</v>
          </cell>
        </row>
        <row r="34">
          <cell r="B34">
            <v>2043</v>
          </cell>
          <cell r="C34">
            <v>0</v>
          </cell>
          <cell r="D34">
            <v>0</v>
          </cell>
          <cell r="E34">
            <v>48.064592860321874</v>
          </cell>
          <cell r="F34">
            <v>0</v>
          </cell>
          <cell r="G34">
            <v>48.064592860321874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39.372424191956895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33.736977246979883</v>
          </cell>
          <cell r="G13">
            <v>33.736977246979883</v>
          </cell>
        </row>
        <row r="14">
          <cell r="B14">
            <v>2024</v>
          </cell>
          <cell r="C14">
            <v>0</v>
          </cell>
          <cell r="E14">
            <v>35.740065545578098</v>
          </cell>
          <cell r="G14">
            <v>35.740065545578098</v>
          </cell>
        </row>
        <row r="15">
          <cell r="B15">
            <v>2025</v>
          </cell>
          <cell r="C15">
            <v>0</v>
          </cell>
          <cell r="E15">
            <v>24.301774067614112</v>
          </cell>
          <cell r="G15">
            <v>24.301774067614112</v>
          </cell>
        </row>
        <row r="16">
          <cell r="B16">
            <v>2026</v>
          </cell>
          <cell r="C16">
            <v>39.689546807250096</v>
          </cell>
          <cell r="E16">
            <v>16.562561294123853</v>
          </cell>
          <cell r="G16">
            <v>30.897517871258241</v>
          </cell>
        </row>
        <row r="17">
          <cell r="B17">
            <v>2027</v>
          </cell>
          <cell r="C17">
            <v>40.545707930729279</v>
          </cell>
          <cell r="E17">
            <v>15.532891396521189</v>
          </cell>
          <cell r="G17">
            <v>30.250662662435591</v>
          </cell>
        </row>
        <row r="18">
          <cell r="B18">
            <v>2028</v>
          </cell>
          <cell r="C18">
            <v>41.420901674329279</v>
          </cell>
          <cell r="E18">
            <v>16.165260461784346</v>
          </cell>
          <cell r="G18">
            <v>31.235031910929585</v>
          </cell>
        </row>
        <row r="19">
          <cell r="B19">
            <v>2029</v>
          </cell>
          <cell r="C19">
            <v>42.312754658955477</v>
          </cell>
          <cell r="E19">
            <v>17.894713155662444</v>
          </cell>
          <cell r="G19">
            <v>33.408660050144157</v>
          </cell>
        </row>
        <row r="20">
          <cell r="B20">
            <v>2030</v>
          </cell>
          <cell r="C20">
            <v>43.224622076402099</v>
          </cell>
          <cell r="E20">
            <v>17.182235895400773</v>
          </cell>
          <cell r="G20">
            <v>33.110157889245642</v>
          </cell>
        </row>
        <row r="21">
          <cell r="B21">
            <v>2031</v>
          </cell>
          <cell r="C21">
            <v>44.156503926669124</v>
          </cell>
          <cell r="E21">
            <v>15.947127360420591</v>
          </cell>
          <cell r="G21">
            <v>32.300205550741836</v>
          </cell>
        </row>
        <row r="22">
          <cell r="B22">
            <v>2032</v>
          </cell>
          <cell r="C22">
            <v>45.108400209756596</v>
          </cell>
          <cell r="E22">
            <v>11.288491393347503</v>
          </cell>
          <cell r="G22">
            <v>28.032221566691174</v>
          </cell>
        </row>
        <row r="23">
          <cell r="B23">
            <v>2033</v>
          </cell>
          <cell r="C23">
            <v>46.080272019682837</v>
          </cell>
          <cell r="E23">
            <v>15.203148922435778</v>
          </cell>
          <cell r="G23">
            <v>32.440626131267308</v>
          </cell>
        </row>
        <row r="24">
          <cell r="B24">
            <v>2034</v>
          </cell>
          <cell r="C24">
            <v>47.073816405335783</v>
          </cell>
          <cell r="E24">
            <v>14.897380268503634</v>
          </cell>
          <cell r="G24">
            <v>32.595005645223218</v>
          </cell>
        </row>
        <row r="25">
          <cell r="B25">
            <v>2035</v>
          </cell>
          <cell r="C25">
            <v>48.087375223809161</v>
          </cell>
          <cell r="E25">
            <v>15.458566317561894</v>
          </cell>
          <cell r="G25">
            <v>33.628091569358574</v>
          </cell>
        </row>
        <row r="26">
          <cell r="B26">
            <v>2036</v>
          </cell>
          <cell r="C26">
            <v>49.12260661800925</v>
          </cell>
          <cell r="E26">
            <v>18.13037486866553</v>
          </cell>
          <cell r="G26">
            <v>36.733412847396792</v>
          </cell>
        </row>
        <row r="27">
          <cell r="B27">
            <v>2037</v>
          </cell>
          <cell r="C27">
            <v>50.181168730842352</v>
          </cell>
          <cell r="E27">
            <v>18.294925346481826</v>
          </cell>
          <cell r="G27">
            <v>37.446616157587343</v>
          </cell>
        </row>
        <row r="28">
          <cell r="B28">
            <v>2038</v>
          </cell>
          <cell r="C28">
            <v>51.261403419402157</v>
          </cell>
          <cell r="E28">
            <v>16.472813631552043</v>
          </cell>
          <cell r="G28">
            <v>36.135088558559865</v>
          </cell>
        </row>
        <row r="29">
          <cell r="B29">
            <v>2039</v>
          </cell>
          <cell r="C29">
            <v>52.366626969501262</v>
          </cell>
          <cell r="E29">
            <v>17.360405681148613</v>
          </cell>
          <cell r="G29">
            <v>37.547545370664068</v>
          </cell>
        </row>
        <row r="30">
          <cell r="B30">
            <v>2040</v>
          </cell>
          <cell r="C30">
            <v>53.495220144215011</v>
          </cell>
          <cell r="E30">
            <v>19.500562256768152</v>
          </cell>
          <cell r="G30">
            <v>40.169831695070613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#DIV/0!</v>
          </cell>
          <cell r="G32" t="e">
            <v>#DIV/0!</v>
          </cell>
        </row>
        <row r="33">
          <cell r="B33">
            <v>2043</v>
          </cell>
          <cell r="C33" t="e">
            <v>#N/A</v>
          </cell>
          <cell r="E33" t="e">
            <v>#DIV/0!</v>
          </cell>
          <cell r="G33" t="e">
            <v>#DIV/0!</v>
          </cell>
        </row>
        <row r="34">
          <cell r="B34">
            <v>2044</v>
          </cell>
          <cell r="C34" t="e">
            <v>#N/A</v>
          </cell>
          <cell r="E34" t="e">
            <v>#DIV/0!</v>
          </cell>
          <cell r="G34" t="e">
            <v>#DIV/0!</v>
          </cell>
        </row>
        <row r="50">
          <cell r="G50">
            <v>32.007326554480372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 refreshError="1"/>
      <sheetData sheetId="1">
        <row r="13">
          <cell r="B13">
            <v>2023</v>
          </cell>
          <cell r="C13">
            <v>0</v>
          </cell>
          <cell r="E13">
            <v>49.250659483649656</v>
          </cell>
          <cell r="G13">
            <v>49.250659483649656</v>
          </cell>
        </row>
        <row r="14">
          <cell r="B14">
            <v>2024</v>
          </cell>
          <cell r="C14">
            <v>0</v>
          </cell>
          <cell r="E14">
            <v>55.71243250749248</v>
          </cell>
          <cell r="G14">
            <v>55.71243250749248</v>
          </cell>
        </row>
        <row r="15">
          <cell r="B15">
            <v>2025</v>
          </cell>
          <cell r="C15">
            <v>0</v>
          </cell>
          <cell r="E15">
            <v>41.166183399705055</v>
          </cell>
          <cell r="G15">
            <v>41.166183399705055</v>
          </cell>
        </row>
        <row r="16">
          <cell r="B16">
            <v>2026</v>
          </cell>
          <cell r="C16">
            <v>87.983796211214241</v>
          </cell>
          <cell r="E16">
            <v>1.2617227834510385</v>
          </cell>
          <cell r="G16">
            <v>35.36073129280355</v>
          </cell>
        </row>
        <row r="17">
          <cell r="B17">
            <v>2027</v>
          </cell>
          <cell r="C17">
            <v>89.879736661290622</v>
          </cell>
          <cell r="E17">
            <v>-1.033668530693364</v>
          </cell>
          <cell r="G17">
            <v>33.800130841571907</v>
          </cell>
        </row>
        <row r="18">
          <cell r="B18">
            <v>2028</v>
          </cell>
          <cell r="C18">
            <v>91.813078636275478</v>
          </cell>
          <cell r="E18">
            <v>-1.9596216119878465</v>
          </cell>
          <cell r="G18">
            <v>33.515961154232564</v>
          </cell>
        </row>
        <row r="19">
          <cell r="B19">
            <v>2029</v>
          </cell>
          <cell r="C19">
            <v>93.796935484715974</v>
          </cell>
          <cell r="E19">
            <v>-1.2863899474469391</v>
          </cell>
          <cell r="G19">
            <v>35.065559377022645</v>
          </cell>
        </row>
        <row r="20">
          <cell r="B20">
            <v>2030</v>
          </cell>
          <cell r="C20">
            <v>95.817530422942426</v>
          </cell>
          <cell r="E20">
            <v>-2.4727953938231075</v>
          </cell>
          <cell r="G20">
            <v>34.662255898958179</v>
          </cell>
        </row>
        <row r="21">
          <cell r="B21">
            <v>2031</v>
          </cell>
          <cell r="C21">
            <v>97.879455712178043</v>
          </cell>
          <cell r="E21">
            <v>-2.6602472902285959</v>
          </cell>
          <cell r="G21">
            <v>35.273923965670775</v>
          </cell>
        </row>
        <row r="22">
          <cell r="B22">
            <v>2032</v>
          </cell>
          <cell r="C22">
            <v>99.987303613646077</v>
          </cell>
          <cell r="E22">
            <v>-5.4617018594306259</v>
          </cell>
          <cell r="G22">
            <v>33.172313224294527</v>
          </cell>
        </row>
        <row r="23">
          <cell r="B23">
            <v>2033</v>
          </cell>
          <cell r="C23">
            <v>102.14107412734651</v>
          </cell>
          <cell r="E23">
            <v>-4.5276260163754083</v>
          </cell>
          <cell r="G23">
            <v>35.058178481781361</v>
          </cell>
        </row>
        <row r="24">
          <cell r="B24">
            <v>2034</v>
          </cell>
          <cell r="C24">
            <v>104.34535951450263</v>
          </cell>
          <cell r="E24">
            <v>-5.6774505099800647</v>
          </cell>
          <cell r="G24">
            <v>34.76264704451674</v>
          </cell>
        </row>
        <row r="25">
          <cell r="B25">
            <v>2035</v>
          </cell>
          <cell r="C25">
            <v>106.59097525266793</v>
          </cell>
          <cell r="E25">
            <v>-5.6109695749751065</v>
          </cell>
          <cell r="G25">
            <v>35.699439030668145</v>
          </cell>
        </row>
        <row r="26">
          <cell r="B26">
            <v>2036</v>
          </cell>
          <cell r="C26">
            <v>108.8871058642889</v>
          </cell>
          <cell r="E26">
            <v>10.389039422102012</v>
          </cell>
          <cell r="G26">
            <v>52.461842051514928</v>
          </cell>
        </row>
        <row r="27">
          <cell r="B27">
            <v>2037</v>
          </cell>
          <cell r="C27">
            <v>111.23375134936551</v>
          </cell>
          <cell r="E27">
            <v>10.050320868842107</v>
          </cell>
          <cell r="G27">
            <v>53.160084224401565</v>
          </cell>
        </row>
        <row r="28">
          <cell r="B28">
            <v>2038</v>
          </cell>
          <cell r="C28">
            <v>113.63091170789778</v>
          </cell>
          <cell r="E28">
            <v>15.288592972509734</v>
          </cell>
          <cell r="G28">
            <v>59.327400026838987</v>
          </cell>
        </row>
        <row r="29">
          <cell r="B29">
            <v>2039</v>
          </cell>
          <cell r="C29">
            <v>116.07858693988571</v>
          </cell>
          <cell r="E29">
            <v>10.814712421230203</v>
          </cell>
          <cell r="G29">
            <v>55.80214072353705</v>
          </cell>
        </row>
        <row r="30">
          <cell r="B30">
            <v>2040</v>
          </cell>
          <cell r="C30">
            <v>118.57677704532932</v>
          </cell>
          <cell r="E30">
            <v>12.079821392075923</v>
          </cell>
          <cell r="G30">
            <v>57.896608397856824</v>
          </cell>
        </row>
        <row r="31">
          <cell r="B31">
            <v>2041</v>
          </cell>
          <cell r="C31" t="e">
            <v>#N/A</v>
          </cell>
          <cell r="E31" t="e">
            <v>#DIV/0!</v>
          </cell>
          <cell r="G31" t="e">
            <v>#DIV/0!</v>
          </cell>
        </row>
        <row r="32">
          <cell r="B32">
            <v>2042</v>
          </cell>
          <cell r="C32" t="e">
            <v>#N/A</v>
          </cell>
          <cell r="E32" t="e">
            <v>#VALUE!</v>
          </cell>
          <cell r="G32" t="e">
            <v>#VALUE!</v>
          </cell>
        </row>
        <row r="33">
          <cell r="B33">
            <v>2043</v>
          </cell>
          <cell r="C33" t="e">
            <v>#N/A</v>
          </cell>
          <cell r="E33" t="e">
            <v>#VALUE!</v>
          </cell>
          <cell r="G33" t="e">
            <v>#VALUE!</v>
          </cell>
        </row>
        <row r="34">
          <cell r="B34">
            <v>2044</v>
          </cell>
          <cell r="C34" t="e">
            <v>#N/A</v>
          </cell>
          <cell r="E34" t="e">
            <v>#VALUE!</v>
          </cell>
          <cell r="G34" t="e">
            <v>#VALUE!</v>
          </cell>
        </row>
        <row r="50">
          <cell r="G50">
            <v>40.18233694491861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26.84019718094812</v>
          </cell>
          <cell r="F13">
            <v>0</v>
          </cell>
          <cell r="G13">
            <v>26.84019718094812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26.87700384200679</v>
          </cell>
          <cell r="F14">
            <v>0</v>
          </cell>
          <cell r="G14">
            <v>26.87700384200679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29.395003657602821</v>
          </cell>
          <cell r="F15">
            <v>0</v>
          </cell>
          <cell r="G15">
            <v>29.395003657602821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19.082724612446036</v>
          </cell>
          <cell r="F16">
            <v>0</v>
          </cell>
          <cell r="G16">
            <v>19.082724612446036</v>
          </cell>
        </row>
        <row r="17">
          <cell r="B17">
            <v>2026</v>
          </cell>
          <cell r="C17">
            <v>39.689546807250096</v>
          </cell>
          <cell r="D17">
            <v>0</v>
          </cell>
          <cell r="E17">
            <v>11.307411546546058</v>
          </cell>
          <cell r="F17">
            <v>0</v>
          </cell>
          <cell r="G17">
            <v>25.642368123680445</v>
          </cell>
        </row>
        <row r="18">
          <cell r="B18">
            <v>2027</v>
          </cell>
          <cell r="C18">
            <v>40.545707930729279</v>
          </cell>
          <cell r="D18">
            <v>0</v>
          </cell>
          <cell r="E18">
            <v>11.611747952832131</v>
          </cell>
          <cell r="F18">
            <v>0</v>
          </cell>
          <cell r="G18">
            <v>26.329519218746533</v>
          </cell>
        </row>
        <row r="19">
          <cell r="B19">
            <v>2028</v>
          </cell>
          <cell r="C19">
            <v>41.420901674329279</v>
          </cell>
          <cell r="D19">
            <v>0</v>
          </cell>
          <cell r="E19">
            <v>12.438877720416935</v>
          </cell>
          <cell r="F19">
            <v>0</v>
          </cell>
          <cell r="G19">
            <v>27.508649169562172</v>
          </cell>
        </row>
        <row r="20">
          <cell r="B20">
            <v>2029</v>
          </cell>
          <cell r="C20">
            <v>42.312754658955477</v>
          </cell>
          <cell r="D20">
            <v>0</v>
          </cell>
          <cell r="E20">
            <v>14.262124329277734</v>
          </cell>
          <cell r="F20">
            <v>0</v>
          </cell>
          <cell r="G20">
            <v>29.776071223759448</v>
          </cell>
        </row>
        <row r="21">
          <cell r="B21">
            <v>2030</v>
          </cell>
          <cell r="C21">
            <v>43.224622076402099</v>
          </cell>
          <cell r="D21">
            <v>0</v>
          </cell>
          <cell r="E21">
            <v>13.64585262796122</v>
          </cell>
          <cell r="F21">
            <v>0</v>
          </cell>
          <cell r="G21">
            <v>29.573774621806091</v>
          </cell>
        </row>
        <row r="22">
          <cell r="B22">
            <v>2031</v>
          </cell>
          <cell r="C22">
            <v>44.156503926669124</v>
          </cell>
          <cell r="D22">
            <v>0</v>
          </cell>
          <cell r="E22">
            <v>14.200041111245554</v>
          </cell>
          <cell r="F22">
            <v>0</v>
          </cell>
          <cell r="G22">
            <v>30.553119301566799</v>
          </cell>
        </row>
        <row r="23">
          <cell r="B23">
            <v>2032</v>
          </cell>
          <cell r="C23">
            <v>45.108400209756596</v>
          </cell>
          <cell r="D23">
            <v>0</v>
          </cell>
          <cell r="E23">
            <v>9.4142290303287215</v>
          </cell>
          <cell r="F23">
            <v>0</v>
          </cell>
          <cell r="G23">
            <v>26.157959203672391</v>
          </cell>
        </row>
        <row r="24">
          <cell r="B24">
            <v>2033</v>
          </cell>
          <cell r="C24">
            <v>46.080272019682837</v>
          </cell>
          <cell r="D24">
            <v>0</v>
          </cell>
          <cell r="E24">
            <v>13.20932195145914</v>
          </cell>
          <cell r="F24">
            <v>0</v>
          </cell>
          <cell r="G24">
            <v>30.446799160290666</v>
          </cell>
        </row>
        <row r="25">
          <cell r="B25">
            <v>2034</v>
          </cell>
          <cell r="C25">
            <v>47.073816405335783</v>
          </cell>
          <cell r="D25">
            <v>0</v>
          </cell>
          <cell r="E25">
            <v>13.905750903643435</v>
          </cell>
          <cell r="F25">
            <v>0</v>
          </cell>
          <cell r="G25">
            <v>31.603376280363019</v>
          </cell>
        </row>
        <row r="26">
          <cell r="B26">
            <v>2035</v>
          </cell>
          <cell r="C26">
            <v>48.087375223809161</v>
          </cell>
          <cell r="D26">
            <v>0</v>
          </cell>
          <cell r="E26">
            <v>14.380925761627971</v>
          </cell>
          <cell r="F26">
            <v>0</v>
          </cell>
          <cell r="G26">
            <v>32.550451013424656</v>
          </cell>
        </row>
        <row r="27">
          <cell r="B27">
            <v>2036</v>
          </cell>
          <cell r="C27">
            <v>49.12260661800925</v>
          </cell>
          <cell r="D27">
            <v>0</v>
          </cell>
          <cell r="E27">
            <v>16.993808374364015</v>
          </cell>
          <cell r="F27">
            <v>0</v>
          </cell>
          <cell r="G27">
            <v>35.59684635309528</v>
          </cell>
        </row>
        <row r="28">
          <cell r="B28">
            <v>2037</v>
          </cell>
          <cell r="C28">
            <v>50.181168730842352</v>
          </cell>
          <cell r="D28">
            <v>0</v>
          </cell>
          <cell r="E28">
            <v>18.737622087288425</v>
          </cell>
          <cell r="F28">
            <v>0</v>
          </cell>
          <cell r="G28">
            <v>37.889312898393946</v>
          </cell>
        </row>
        <row r="29">
          <cell r="B29">
            <v>2038</v>
          </cell>
          <cell r="C29">
            <v>51.261403419402157</v>
          </cell>
          <cell r="D29">
            <v>0</v>
          </cell>
          <cell r="E29">
            <v>17.515380201701007</v>
          </cell>
          <cell r="F29">
            <v>0</v>
          </cell>
          <cell r="G29">
            <v>37.177655128708828</v>
          </cell>
        </row>
        <row r="30">
          <cell r="B30">
            <v>2039</v>
          </cell>
          <cell r="C30">
            <v>52.366626969501262</v>
          </cell>
          <cell r="D30">
            <v>0</v>
          </cell>
          <cell r="E30">
            <v>18.383752861698969</v>
          </cell>
          <cell r="F30">
            <v>0</v>
          </cell>
          <cell r="G30">
            <v>38.570892551214421</v>
          </cell>
        </row>
        <row r="31">
          <cell r="B31">
            <v>2040</v>
          </cell>
          <cell r="C31">
            <v>53.495220144215011</v>
          </cell>
          <cell r="D31">
            <v>0</v>
          </cell>
          <cell r="E31">
            <v>17.963999231643431</v>
          </cell>
          <cell r="F31">
            <v>0</v>
          </cell>
          <cell r="G31">
            <v>38.633268669945885</v>
          </cell>
        </row>
        <row r="32">
          <cell r="B32">
            <v>2041</v>
          </cell>
          <cell r="C32">
            <v>54.647144037561773</v>
          </cell>
          <cell r="D32">
            <v>0</v>
          </cell>
          <cell r="E32">
            <v>18.357418090946481</v>
          </cell>
          <cell r="F32">
            <v>0</v>
          </cell>
          <cell r="G32">
            <v>39.512859641457688</v>
          </cell>
        </row>
        <row r="33">
          <cell r="B33">
            <v>2042</v>
          </cell>
          <cell r="C33">
            <v>55.822398649541526</v>
          </cell>
          <cell r="D33">
            <v>0</v>
          </cell>
          <cell r="E33">
            <v>18.753020450806378</v>
          </cell>
          <cell r="F33">
            <v>0</v>
          </cell>
          <cell r="G33">
            <v>40.36343601118746</v>
          </cell>
        </row>
        <row r="34">
          <cell r="B34">
            <v>2043</v>
          </cell>
          <cell r="C34">
            <v>57.02599731485482</v>
          </cell>
          <cell r="D34">
            <v>0</v>
          </cell>
          <cell r="E34">
            <v>19.157148041521253</v>
          </cell>
          <cell r="F34">
            <v>0</v>
          </cell>
          <cell r="G34">
            <v>41.233510389474738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27.769675033413158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8"/>
      <sheetName val="Table 3 WV Wind_2026"/>
      <sheetName val="Table 3 YK WindwS_2029"/>
      <sheetName val="Table 3 WYE Wind_2029"/>
      <sheetName val="Table 3 WYE_DJ Wind_2028"/>
      <sheetName val="Table 3 PV wS SOR_2028"/>
      <sheetName val="Table 3 PV wS SOR_2030"/>
      <sheetName val="Table 3 PV wS YK_2029"/>
      <sheetName val="Table 3 PV wS UTN_2031"/>
      <sheetName val="Table 3 PV wS UTS_2032"/>
      <sheetName val="Table 3 SmNuc 345MW (NTN) 2028"/>
      <sheetName val="Table 3 NonE 206MW (UTN) 2031"/>
      <sheetName val="Table 3 NonE 206MW (Hgtn)"/>
    </sheetNames>
    <sheetDataSet>
      <sheetData sheetId="0"/>
      <sheetData sheetId="1">
        <row r="13">
          <cell r="B13">
            <v>2022</v>
          </cell>
          <cell r="C13">
            <v>0</v>
          </cell>
          <cell r="D13">
            <v>0</v>
          </cell>
          <cell r="E13">
            <v>35.328666618218726</v>
          </cell>
          <cell r="F13">
            <v>0</v>
          </cell>
          <cell r="G13">
            <v>35.328666618218726</v>
          </cell>
        </row>
        <row r="14">
          <cell r="B14">
            <v>2023</v>
          </cell>
          <cell r="C14">
            <v>0</v>
          </cell>
          <cell r="D14">
            <v>0</v>
          </cell>
          <cell r="E14">
            <v>38.107576449284004</v>
          </cell>
          <cell r="F14">
            <v>0</v>
          </cell>
          <cell r="G14">
            <v>38.107576449284004</v>
          </cell>
        </row>
        <row r="15">
          <cell r="B15">
            <v>2024</v>
          </cell>
          <cell r="C15">
            <v>0</v>
          </cell>
          <cell r="D15">
            <v>0</v>
          </cell>
          <cell r="E15">
            <v>43.963228860600928</v>
          </cell>
          <cell r="F15">
            <v>0</v>
          </cell>
          <cell r="G15">
            <v>43.963228860600928</v>
          </cell>
        </row>
        <row r="16">
          <cell r="B16">
            <v>2025</v>
          </cell>
          <cell r="C16">
            <v>0</v>
          </cell>
          <cell r="D16">
            <v>0</v>
          </cell>
          <cell r="E16">
            <v>30.972547315077065</v>
          </cell>
          <cell r="F16">
            <v>0</v>
          </cell>
          <cell r="G16">
            <v>30.972547315077065</v>
          </cell>
        </row>
        <row r="17">
          <cell r="B17">
            <v>2026</v>
          </cell>
          <cell r="C17">
            <v>87.983796211214241</v>
          </cell>
          <cell r="D17">
            <v>0</v>
          </cell>
          <cell r="E17">
            <v>-2.2081517341475534</v>
          </cell>
          <cell r="F17">
            <v>0</v>
          </cell>
          <cell r="G17">
            <v>31.890856775204956</v>
          </cell>
        </row>
        <row r="18">
          <cell r="B18">
            <v>2027</v>
          </cell>
          <cell r="C18">
            <v>89.879736661290622</v>
          </cell>
          <cell r="D18">
            <v>0</v>
          </cell>
          <cell r="E18">
            <v>-2.2893650423753003</v>
          </cell>
          <cell r="F18">
            <v>0</v>
          </cell>
          <cell r="G18">
            <v>32.544434329889974</v>
          </cell>
        </row>
        <row r="19">
          <cell r="B19">
            <v>2028</v>
          </cell>
          <cell r="C19">
            <v>91.813078636275478</v>
          </cell>
          <cell r="D19">
            <v>0</v>
          </cell>
          <cell r="E19">
            <v>-1.8030658007783122</v>
          </cell>
          <cell r="F19">
            <v>0</v>
          </cell>
          <cell r="G19">
            <v>33.672516965442099</v>
          </cell>
        </row>
        <row r="20">
          <cell r="B20">
            <v>2029</v>
          </cell>
          <cell r="C20">
            <v>93.796935484715974</v>
          </cell>
          <cell r="D20">
            <v>0</v>
          </cell>
          <cell r="E20">
            <v>-1.482897810695702</v>
          </cell>
          <cell r="F20">
            <v>0</v>
          </cell>
          <cell r="G20">
            <v>34.869051513773883</v>
          </cell>
        </row>
        <row r="21">
          <cell r="B21">
            <v>2030</v>
          </cell>
          <cell r="C21">
            <v>95.817530422942426</v>
          </cell>
          <cell r="D21">
            <v>0</v>
          </cell>
          <cell r="E21">
            <v>-2.0352376063062576</v>
          </cell>
          <cell r="F21">
            <v>0</v>
          </cell>
          <cell r="G21">
            <v>35.099813686475024</v>
          </cell>
        </row>
        <row r="22">
          <cell r="B22">
            <v>2031</v>
          </cell>
          <cell r="C22">
            <v>97.879455712178043</v>
          </cell>
          <cell r="D22">
            <v>0</v>
          </cell>
          <cell r="E22">
            <v>-1.4889483187328587</v>
          </cell>
          <cell r="F22">
            <v>0</v>
          </cell>
          <cell r="G22">
            <v>36.445222937166513</v>
          </cell>
        </row>
        <row r="23">
          <cell r="B23">
            <v>2032</v>
          </cell>
          <cell r="C23">
            <v>99.987303613646077</v>
          </cell>
          <cell r="D23">
            <v>0</v>
          </cell>
          <cell r="E23">
            <v>-3.7819526918791571</v>
          </cell>
          <cell r="F23">
            <v>0</v>
          </cell>
          <cell r="G23">
            <v>34.852062391845998</v>
          </cell>
        </row>
        <row r="24">
          <cell r="B24">
            <v>2033</v>
          </cell>
          <cell r="C24">
            <v>102.14107412734651</v>
          </cell>
          <cell r="D24">
            <v>0</v>
          </cell>
          <cell r="E24">
            <v>-2.9285370156789705</v>
          </cell>
          <cell r="F24">
            <v>0</v>
          </cell>
          <cell r="G24">
            <v>36.657267482477799</v>
          </cell>
        </row>
        <row r="25">
          <cell r="B25">
            <v>2034</v>
          </cell>
          <cell r="C25">
            <v>104.34535951450263</v>
          </cell>
          <cell r="D25">
            <v>0</v>
          </cell>
          <cell r="E25">
            <v>-2.3572079743770025</v>
          </cell>
          <cell r="F25">
            <v>0</v>
          </cell>
          <cell r="G25">
            <v>38.082889580119797</v>
          </cell>
        </row>
        <row r="26">
          <cell r="B26">
            <v>2035</v>
          </cell>
          <cell r="C26">
            <v>106.59097525266793</v>
          </cell>
          <cell r="D26">
            <v>0</v>
          </cell>
          <cell r="E26">
            <v>-2.4440379902862839</v>
          </cell>
          <cell r="F26">
            <v>0</v>
          </cell>
          <cell r="G26">
            <v>38.866370615356971</v>
          </cell>
        </row>
        <row r="27">
          <cell r="B27">
            <v>2036</v>
          </cell>
          <cell r="C27">
            <v>108.8871058642889</v>
          </cell>
          <cell r="D27">
            <v>0</v>
          </cell>
          <cell r="E27">
            <v>14.035848511027458</v>
          </cell>
          <cell r="F27">
            <v>0</v>
          </cell>
          <cell r="G27">
            <v>56.108651140440365</v>
          </cell>
        </row>
        <row r="28">
          <cell r="B28">
            <v>2037</v>
          </cell>
          <cell r="C28">
            <v>111.23375134936551</v>
          </cell>
          <cell r="D28">
            <v>0</v>
          </cell>
          <cell r="E28">
            <v>16.180137886146145</v>
          </cell>
          <cell r="F28">
            <v>0</v>
          </cell>
          <cell r="G28">
            <v>59.2899012417056</v>
          </cell>
        </row>
        <row r="29">
          <cell r="B29">
            <v>2038</v>
          </cell>
          <cell r="C29">
            <v>113.63091170789778</v>
          </cell>
          <cell r="D29">
            <v>0</v>
          </cell>
          <cell r="E29">
            <v>15.909676505538281</v>
          </cell>
          <cell r="F29">
            <v>0</v>
          </cell>
          <cell r="G29">
            <v>59.948483559867533</v>
          </cell>
        </row>
        <row r="30">
          <cell r="B30">
            <v>2039</v>
          </cell>
          <cell r="C30">
            <v>116.07858693988571</v>
          </cell>
          <cell r="D30">
            <v>0</v>
          </cell>
          <cell r="E30">
            <v>17.267080630340256</v>
          </cell>
          <cell r="F30">
            <v>0</v>
          </cell>
          <cell r="G30">
            <v>62.254508932647106</v>
          </cell>
        </row>
        <row r="31">
          <cell r="B31">
            <v>2040</v>
          </cell>
          <cell r="C31">
            <v>118.57677704532932</v>
          </cell>
          <cell r="D31">
            <v>0</v>
          </cell>
          <cell r="E31">
            <v>17.309629729620056</v>
          </cell>
          <cell r="F31">
            <v>0</v>
          </cell>
          <cell r="G31">
            <v>63.126416735400952</v>
          </cell>
        </row>
        <row r="32">
          <cell r="B32">
            <v>2041</v>
          </cell>
          <cell r="C32">
            <v>121.13007428545181</v>
          </cell>
          <cell r="D32">
            <v>0</v>
          </cell>
          <cell r="E32">
            <v>17.635286246760838</v>
          </cell>
          <cell r="F32">
            <v>0</v>
          </cell>
          <cell r="G32">
            <v>64.598904642799866</v>
          </cell>
        </row>
        <row r="33">
          <cell r="B33">
            <v>2042</v>
          </cell>
          <cell r="C33">
            <v>123.73847866025321</v>
          </cell>
          <cell r="D33">
            <v>0</v>
          </cell>
          <cell r="E33">
            <v>18.015326665378531</v>
          </cell>
          <cell r="F33">
            <v>0</v>
          </cell>
          <cell r="G33">
            <v>65.990255492814242</v>
          </cell>
        </row>
        <row r="34">
          <cell r="B34">
            <v>2043</v>
          </cell>
          <cell r="C34">
            <v>126.40658243095677</v>
          </cell>
          <cell r="D34">
            <v>0</v>
          </cell>
          <cell r="E34">
            <v>18.403556955017436</v>
          </cell>
          <cell r="F34">
            <v>0</v>
          </cell>
          <cell r="G34">
            <v>67.412942403300818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0">
          <cell r="G50">
            <v>36.522195262657362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>
            <v>0</v>
          </cell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view="pageBreakPreview" zoomScale="80" zoomScaleNormal="80" zoomScaleSheetLayoutView="80" workbookViewId="0">
      <selection activeCell="F11" sqref="F11"/>
    </sheetView>
  </sheetViews>
  <sheetFormatPr defaultColWidth="9.33203125" defaultRowHeight="12.75"/>
  <cols>
    <col min="1" max="1" width="14" style="53" customWidth="1"/>
    <col min="2" max="2" width="11.6640625" style="53" customWidth="1"/>
    <col min="3" max="3" width="20.1640625" style="53" customWidth="1"/>
    <col min="4" max="7" width="17.5" style="53" customWidth="1"/>
    <col min="8" max="8" width="17.1640625" style="53" bestFit="1" customWidth="1"/>
    <col min="9" max="9" width="21.1640625" style="53" customWidth="1"/>
    <col min="10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3" ht="15.75">
      <c r="B1" s="380" t="s">
        <v>228</v>
      </c>
      <c r="C1" s="381"/>
      <c r="D1" s="381"/>
      <c r="E1" s="381"/>
      <c r="F1" s="381"/>
      <c r="G1" s="381"/>
      <c r="H1" s="381"/>
      <c r="I1" s="382"/>
      <c r="J1" s="382"/>
      <c r="K1" s="382"/>
    </row>
    <row r="2" spans="2:13" ht="5.25" customHeight="1">
      <c r="B2" s="380"/>
      <c r="C2" s="381"/>
      <c r="D2" s="381"/>
      <c r="E2" s="381"/>
      <c r="F2" s="381"/>
      <c r="G2" s="381"/>
      <c r="H2" s="381"/>
      <c r="I2" s="382"/>
      <c r="J2" s="382"/>
      <c r="K2" s="382"/>
    </row>
    <row r="3" spans="2:13" ht="15.75">
      <c r="B3" s="383" t="s">
        <v>229</v>
      </c>
      <c r="C3" s="383"/>
      <c r="D3" s="383"/>
      <c r="E3" s="383"/>
      <c r="F3" s="383"/>
      <c r="G3" s="383"/>
      <c r="H3" s="383"/>
      <c r="I3" s="380"/>
      <c r="J3" s="380"/>
      <c r="K3" s="380"/>
    </row>
    <row r="4" spans="2:13" ht="15.75">
      <c r="B4" s="384" t="s">
        <v>243</v>
      </c>
      <c r="C4" s="383"/>
      <c r="D4" s="383"/>
      <c r="E4" s="383"/>
      <c r="F4" s="383"/>
      <c r="G4" s="383"/>
      <c r="H4" s="383"/>
      <c r="I4" s="380"/>
      <c r="J4" s="380"/>
      <c r="K4" s="380"/>
    </row>
    <row r="5" spans="2:13" ht="41.25" customHeight="1">
      <c r="C5" s="385" t="s">
        <v>237</v>
      </c>
      <c r="D5" s="386" t="s">
        <v>230</v>
      </c>
      <c r="E5" s="387" t="s">
        <v>66</v>
      </c>
      <c r="F5" s="386" t="s">
        <v>231</v>
      </c>
      <c r="G5" s="386" t="s">
        <v>230</v>
      </c>
      <c r="H5" s="387" t="s">
        <v>66</v>
      </c>
      <c r="I5" s="387" t="s">
        <v>237</v>
      </c>
      <c r="J5" s="386" t="s">
        <v>230</v>
      </c>
      <c r="K5" s="387" t="s">
        <v>66</v>
      </c>
    </row>
    <row r="6" spans="2:13">
      <c r="B6" s="386" t="s">
        <v>0</v>
      </c>
      <c r="C6" s="388" t="s">
        <v>242</v>
      </c>
      <c r="D6" s="388" t="s">
        <v>242</v>
      </c>
      <c r="E6" s="388" t="s">
        <v>242</v>
      </c>
      <c r="F6" s="388" t="s">
        <v>240</v>
      </c>
      <c r="G6" s="388" t="s">
        <v>240</v>
      </c>
      <c r="H6" s="388" t="s">
        <v>240</v>
      </c>
      <c r="I6" s="389"/>
      <c r="J6" s="389"/>
      <c r="K6" s="389"/>
      <c r="L6" s="390"/>
    </row>
    <row r="7" spans="2:13">
      <c r="B7" s="386"/>
      <c r="C7" s="391" t="s">
        <v>232</v>
      </c>
      <c r="D7" s="391" t="s">
        <v>238</v>
      </c>
      <c r="E7" s="392" t="s">
        <v>239</v>
      </c>
      <c r="F7" s="391" t="s">
        <v>232</v>
      </c>
      <c r="G7" s="391" t="s">
        <v>238</v>
      </c>
      <c r="H7" s="392" t="s">
        <v>239</v>
      </c>
      <c r="I7" s="386" t="s">
        <v>233</v>
      </c>
      <c r="J7" s="386" t="s">
        <v>233</v>
      </c>
      <c r="K7" s="386" t="s">
        <v>233</v>
      </c>
    </row>
    <row r="8" spans="2:13" hidden="1">
      <c r="B8" s="393"/>
      <c r="C8" s="394"/>
      <c r="D8" s="394"/>
      <c r="E8" s="394"/>
      <c r="F8" s="394"/>
      <c r="G8" s="394"/>
      <c r="H8" s="394"/>
      <c r="I8" s="394"/>
      <c r="J8" s="394"/>
      <c r="K8" s="395"/>
      <c r="L8" s="396"/>
    </row>
    <row r="9" spans="2:13">
      <c r="B9" s="393">
        <v>2023</v>
      </c>
      <c r="C9" s="394">
        <f ca="1">VLOOKUP($B9,'Table 1'!$B$13:$G$34,6,FALSE)</f>
        <v>57.74561167213816</v>
      </c>
      <c r="D9" s="394">
        <f>VLOOKUP($B9,'[11]Table 1'!$B$13:$H$40,6,FALSE)</f>
        <v>33.736977246979883</v>
      </c>
      <c r="E9" s="394">
        <f>VLOOKUP($B9,'[12]Table 1'!$B$13:$G$40,6,FALSE)</f>
        <v>49.250659483649656</v>
      </c>
      <c r="F9" s="397">
        <f>VLOOKUP($B9,'[1]Table 1'!$B$13:$G$40,6,FALSE)</f>
        <v>43.677097901141842</v>
      </c>
      <c r="G9" s="397">
        <f>VLOOKUP($B9,'[13]Table 1'!$B$13:$G$40,6,FALSE)</f>
        <v>26.87700384200679</v>
      </c>
      <c r="H9" s="397">
        <f>VLOOKUP($B9,'[14]Table 1'!$B$13:$G$40,6,FALSE)</f>
        <v>38.107576449284004</v>
      </c>
      <c r="I9" s="394">
        <f t="shared" ref="I9:K23" ca="1" si="0">C9-F9</f>
        <v>14.068513770996319</v>
      </c>
      <c r="J9" s="394">
        <f t="shared" si="0"/>
        <v>6.8599734049730934</v>
      </c>
      <c r="K9" s="395">
        <f t="shared" si="0"/>
        <v>11.143083034365652</v>
      </c>
      <c r="L9" s="396"/>
    </row>
    <row r="10" spans="2:13">
      <c r="B10" s="398">
        <f>B9+1</f>
        <v>2024</v>
      </c>
      <c r="C10" s="399">
        <f ca="1">VLOOKUP($B10,'Table 1'!$B$13:$G$34,6,FALSE)</f>
        <v>62.708353566421088</v>
      </c>
      <c r="D10" s="399">
        <f>VLOOKUP($B10,'[11]Table 1'!$B$13:$H$40,6,FALSE)</f>
        <v>35.740065545578098</v>
      </c>
      <c r="E10" s="399">
        <f>VLOOKUP($B10,'[12]Table 1'!$B$13:$G$40,6,FALSE)</f>
        <v>55.71243250749248</v>
      </c>
      <c r="F10" s="399">
        <f>VLOOKUP($B10,'[1]Table 1'!$B$13:$G$40,6,FALSE)</f>
        <v>51.039208261675725</v>
      </c>
      <c r="G10" s="399">
        <f>VLOOKUP($B10,'[13]Table 1'!$B$13:$G$40,6,FALSE)</f>
        <v>29.395003657602821</v>
      </c>
      <c r="H10" s="399">
        <f>VLOOKUP($B10,'[14]Table 1'!$B$13:$G$40,6,FALSE)</f>
        <v>43.963228860600928</v>
      </c>
      <c r="I10" s="399">
        <f t="shared" ca="1" si="0"/>
        <v>11.669145304745363</v>
      </c>
      <c r="J10" s="399">
        <f t="shared" si="0"/>
        <v>6.3450618879752767</v>
      </c>
      <c r="K10" s="400">
        <f t="shared" si="0"/>
        <v>11.749203646891552</v>
      </c>
      <c r="L10" s="396"/>
      <c r="M10" s="415"/>
    </row>
    <row r="11" spans="2:13">
      <c r="B11" s="398">
        <f t="shared" ref="B11:B23" si="1">B10+1</f>
        <v>2025</v>
      </c>
      <c r="C11" s="399">
        <f ca="1">VLOOKUP($B11,'Table 1'!$B$13:$G$34,6,FALSE)</f>
        <v>46.948264956281442</v>
      </c>
      <c r="D11" s="399">
        <f>VLOOKUP($B11,'[11]Table 1'!$B$13:$H$40,6,FALSE)</f>
        <v>24.301774067614112</v>
      </c>
      <c r="E11" s="399">
        <f>VLOOKUP($B11,'[12]Table 1'!$B$13:$G$40,6,FALSE)</f>
        <v>41.166183399705055</v>
      </c>
      <c r="F11" s="399">
        <f>VLOOKUP($B11,'[1]Table 1'!$B$13:$G$40,6,FALSE)</f>
        <v>35.983243547654489</v>
      </c>
      <c r="G11" s="399">
        <f>VLOOKUP($B11,'[13]Table 1'!$B$13:$G$40,6,FALSE)</f>
        <v>19.082724612446036</v>
      </c>
      <c r="H11" s="399">
        <f>VLOOKUP($B11,'[14]Table 1'!$B$13:$G$40,6,FALSE)</f>
        <v>30.972547315077065</v>
      </c>
      <c r="I11" s="399">
        <f t="shared" ca="1" si="0"/>
        <v>10.965021408626953</v>
      </c>
      <c r="J11" s="399">
        <f t="shared" si="0"/>
        <v>5.2190494551680757</v>
      </c>
      <c r="K11" s="400">
        <f t="shared" si="0"/>
        <v>10.19363608462799</v>
      </c>
      <c r="L11" s="396"/>
      <c r="M11" s="415"/>
    </row>
    <row r="12" spans="2:13">
      <c r="B12" s="398">
        <f t="shared" si="1"/>
        <v>2026</v>
      </c>
      <c r="C12" s="399">
        <f ca="1">VLOOKUP($B12,'Table 1'!$B$13:$G$34,6,FALSE)</f>
        <v>50.152451009398149</v>
      </c>
      <c r="D12" s="399">
        <f>VLOOKUP($B12,'[11]Table 1'!$B$13:$H$40,6,FALSE)</f>
        <v>30.897517871258241</v>
      </c>
      <c r="E12" s="399">
        <f>VLOOKUP($B12,'[12]Table 1'!$B$13:$G$40,6,FALSE)</f>
        <v>35.36073129280355</v>
      </c>
      <c r="F12" s="399">
        <f>VLOOKUP($B12,'[1]Table 1'!$B$13:$G$40,6,FALSE)</f>
        <v>31.232710870269141</v>
      </c>
      <c r="G12" s="399">
        <f>VLOOKUP($B12,'[13]Table 1'!$B$13:$G$40,6,FALSE)</f>
        <v>25.642368123680445</v>
      </c>
      <c r="H12" s="399">
        <f>VLOOKUP($B12,'[14]Table 1'!$B$13:$G$40,6,FALSE)</f>
        <v>31.890856775204956</v>
      </c>
      <c r="I12" s="399">
        <f t="shared" ca="1" si="0"/>
        <v>18.919740139129008</v>
      </c>
      <c r="J12" s="399">
        <f t="shared" si="0"/>
        <v>5.2551497475777964</v>
      </c>
      <c r="K12" s="400">
        <f t="shared" si="0"/>
        <v>3.4698745175985941</v>
      </c>
      <c r="L12" s="396"/>
      <c r="M12" s="415"/>
    </row>
    <row r="13" spans="2:13">
      <c r="B13" s="398">
        <f t="shared" si="1"/>
        <v>2027</v>
      </c>
      <c r="C13" s="399">
        <f ca="1">VLOOKUP($B13,'Table 1'!$B$13:$G$34,6,FALSE)</f>
        <v>46.047198460027438</v>
      </c>
      <c r="D13" s="399">
        <f>VLOOKUP($B13,'[11]Table 1'!$B$13:$H$40,6,FALSE)</f>
        <v>30.250662662435591</v>
      </c>
      <c r="E13" s="399">
        <f>VLOOKUP($B13,'[12]Table 1'!$B$13:$G$40,6,FALSE)</f>
        <v>33.800130841571907</v>
      </c>
      <c r="F13" s="399">
        <f>VLOOKUP($B13,'[1]Table 1'!$B$13:$G$40,6,FALSE)</f>
        <v>30.183005274472851</v>
      </c>
      <c r="G13" s="399">
        <f>VLOOKUP($B13,'[13]Table 1'!$B$13:$G$40,6,FALSE)</f>
        <v>26.329519218746533</v>
      </c>
      <c r="H13" s="399">
        <f>VLOOKUP($B13,'[14]Table 1'!$B$13:$G$40,6,FALSE)</f>
        <v>32.544434329889974</v>
      </c>
      <c r="I13" s="399">
        <f t="shared" ca="1" si="0"/>
        <v>15.864193185554587</v>
      </c>
      <c r="J13" s="399">
        <f t="shared" si="0"/>
        <v>3.9211434436890578</v>
      </c>
      <c r="K13" s="400">
        <f t="shared" si="0"/>
        <v>1.2556965116819327</v>
      </c>
      <c r="L13" s="396"/>
      <c r="M13" s="415"/>
    </row>
    <row r="14" spans="2:13">
      <c r="B14" s="398">
        <f t="shared" si="1"/>
        <v>2028</v>
      </c>
      <c r="C14" s="399">
        <f ca="1">VLOOKUP($B14,'Table 1'!$B$13:$G$34,6,FALSE)</f>
        <v>44.735229396536688</v>
      </c>
      <c r="D14" s="399">
        <f>VLOOKUP($B14,'[11]Table 1'!$B$13:$H$40,6,FALSE)</f>
        <v>31.235031910929585</v>
      </c>
      <c r="E14" s="399">
        <f>VLOOKUP($B14,'[12]Table 1'!$B$13:$G$40,6,FALSE)</f>
        <v>33.515961154232564</v>
      </c>
      <c r="F14" s="399">
        <f>VLOOKUP($B14,'[1]Table 1'!$B$13:$G$40,6,FALSE)</f>
        <v>31.517496007369772</v>
      </c>
      <c r="G14" s="399">
        <f>VLOOKUP($B14,'[13]Table 1'!$B$13:$G$40,6,FALSE)</f>
        <v>27.508649169562172</v>
      </c>
      <c r="H14" s="399">
        <f>VLOOKUP($B14,'[14]Table 1'!$B$13:$G$40,6,FALSE)</f>
        <v>33.672516965442099</v>
      </c>
      <c r="I14" s="399">
        <f t="shared" ca="1" si="0"/>
        <v>13.217733389166916</v>
      </c>
      <c r="J14" s="399">
        <f t="shared" si="0"/>
        <v>3.7263827413674129</v>
      </c>
      <c r="K14" s="400">
        <f t="shared" si="0"/>
        <v>-0.15655581120953599</v>
      </c>
      <c r="L14" s="396"/>
      <c r="M14" s="415"/>
    </row>
    <row r="15" spans="2:13">
      <c r="B15" s="398">
        <f t="shared" si="1"/>
        <v>2029</v>
      </c>
      <c r="C15" s="399">
        <f ca="1">VLOOKUP($B15,'Table 1'!$B$13:$G$34,6,FALSE)</f>
        <v>45.050089763680276</v>
      </c>
      <c r="D15" s="399">
        <f>VLOOKUP($B15,'[11]Table 1'!$B$13:$H$40,6,FALSE)</f>
        <v>33.408660050144157</v>
      </c>
      <c r="E15" s="399">
        <f>VLOOKUP($B15,'[12]Table 1'!$B$13:$G$40,6,FALSE)</f>
        <v>35.065559377022645</v>
      </c>
      <c r="F15" s="399">
        <f>VLOOKUP($B15,'[1]Table 1'!$B$13:$G$40,6,FALSE)</f>
        <v>33.086971745608437</v>
      </c>
      <c r="G15" s="399">
        <f>VLOOKUP($B15,'[13]Table 1'!$B$13:$G$40,6,FALSE)</f>
        <v>29.776071223759448</v>
      </c>
      <c r="H15" s="399">
        <f>VLOOKUP($B15,'[14]Table 1'!$B$13:$G$40,6,FALSE)</f>
        <v>34.869051513773883</v>
      </c>
      <c r="I15" s="399">
        <f t="shared" ca="1" si="0"/>
        <v>11.963118018071839</v>
      </c>
      <c r="J15" s="399">
        <f t="shared" si="0"/>
        <v>3.6325888263847084</v>
      </c>
      <c r="K15" s="400">
        <f t="shared" si="0"/>
        <v>0.19650786324876179</v>
      </c>
      <c r="L15" s="396"/>
      <c r="M15" s="415"/>
    </row>
    <row r="16" spans="2:13">
      <c r="B16" s="398">
        <f t="shared" si="1"/>
        <v>2030</v>
      </c>
      <c r="C16" s="399">
        <f ca="1">VLOOKUP($B16,'Table 1'!$B$13:$G$34,6,FALSE)</f>
        <v>41.25426463059123</v>
      </c>
      <c r="D16" s="399">
        <f>VLOOKUP($B16,'[11]Table 1'!$B$13:$H$40,6,FALSE)</f>
        <v>33.110157889245642</v>
      </c>
      <c r="E16" s="399">
        <f>VLOOKUP($B16,'[12]Table 1'!$B$13:$G$40,6,FALSE)</f>
        <v>34.662255898958179</v>
      </c>
      <c r="F16" s="399">
        <f>VLOOKUP($B16,'[1]Table 1'!$B$13:$G$40,6,FALSE)</f>
        <v>32.572555819430413</v>
      </c>
      <c r="G16" s="399">
        <f>VLOOKUP($B16,'[13]Table 1'!$B$13:$G$40,6,FALSE)</f>
        <v>29.573774621806091</v>
      </c>
      <c r="H16" s="399">
        <f>VLOOKUP($B16,'[14]Table 1'!$B$13:$G$40,6,FALSE)</f>
        <v>35.099813686475024</v>
      </c>
      <c r="I16" s="399">
        <f t="shared" ca="1" si="0"/>
        <v>8.6817088111608172</v>
      </c>
      <c r="J16" s="399">
        <f t="shared" si="0"/>
        <v>3.5363832674395503</v>
      </c>
      <c r="K16" s="400">
        <f t="shared" si="0"/>
        <v>-0.4375577875168446</v>
      </c>
      <c r="L16" s="396"/>
      <c r="M16" s="415"/>
    </row>
    <row r="17" spans="1:13">
      <c r="B17" s="398">
        <f t="shared" si="1"/>
        <v>2031</v>
      </c>
      <c r="C17" s="399">
        <f ca="1">VLOOKUP($B17,'Table 1'!$B$13:$G$34,6,FALSE)</f>
        <v>48.385102197317977</v>
      </c>
      <c r="D17" s="399">
        <f>VLOOKUP($B17,'[11]Table 1'!$B$13:$H$40,6,FALSE)</f>
        <v>32.300205550741836</v>
      </c>
      <c r="E17" s="399">
        <f>VLOOKUP($B17,'[12]Table 1'!$B$13:$G$40,6,FALSE)</f>
        <v>35.273923965670775</v>
      </c>
      <c r="F17" s="399">
        <f>VLOOKUP($B17,'[1]Table 1'!$B$13:$G$40,6,FALSE)</f>
        <v>42.695538537502365</v>
      </c>
      <c r="G17" s="399">
        <f>VLOOKUP($B17,'[13]Table 1'!$B$13:$G$40,6,FALSE)</f>
        <v>30.553119301566799</v>
      </c>
      <c r="H17" s="399">
        <f>VLOOKUP($B17,'[14]Table 1'!$B$13:$G$40,6,FALSE)</f>
        <v>36.445222937166513</v>
      </c>
      <c r="I17" s="399">
        <f t="shared" ca="1" si="0"/>
        <v>5.6895636598156116</v>
      </c>
      <c r="J17" s="399">
        <f t="shared" si="0"/>
        <v>1.7470862491750374</v>
      </c>
      <c r="K17" s="400">
        <f t="shared" si="0"/>
        <v>-1.1712989714957374</v>
      </c>
      <c r="L17" s="396"/>
      <c r="M17" s="415"/>
    </row>
    <row r="18" spans="1:13">
      <c r="B18" s="398">
        <f t="shared" si="1"/>
        <v>2032</v>
      </c>
      <c r="C18" s="399">
        <f ca="1">VLOOKUP($B18,'Table 1'!$B$13:$G$34,6,FALSE)</f>
        <v>47.708680711573443</v>
      </c>
      <c r="D18" s="399">
        <f>VLOOKUP($B18,'[11]Table 1'!$B$13:$H$40,6,FALSE)</f>
        <v>28.032221566691174</v>
      </c>
      <c r="E18" s="399">
        <f>VLOOKUP($B18,'[12]Table 1'!$B$13:$G$40,6,FALSE)</f>
        <v>33.172313224294527</v>
      </c>
      <c r="F18" s="399">
        <f>VLOOKUP($B18,'[1]Table 1'!$B$13:$G$40,6,FALSE)</f>
        <v>41.91749568809982</v>
      </c>
      <c r="G18" s="399">
        <f>VLOOKUP($B18,'[13]Table 1'!$B$13:$G$40,6,FALSE)</f>
        <v>26.157959203672391</v>
      </c>
      <c r="H18" s="399">
        <f>VLOOKUP($B18,'[14]Table 1'!$B$13:$G$40,6,FALSE)</f>
        <v>34.852062391845998</v>
      </c>
      <c r="I18" s="399">
        <f t="shared" ca="1" si="0"/>
        <v>5.7911850234736235</v>
      </c>
      <c r="J18" s="399">
        <f t="shared" si="0"/>
        <v>1.8742623630187829</v>
      </c>
      <c r="K18" s="400">
        <f t="shared" si="0"/>
        <v>-1.6797491675514706</v>
      </c>
      <c r="L18" s="396"/>
      <c r="M18" s="415"/>
    </row>
    <row r="19" spans="1:13">
      <c r="B19" s="398">
        <f t="shared" si="1"/>
        <v>2033</v>
      </c>
      <c r="C19" s="399">
        <f ca="1">VLOOKUP($B19,'Table 1'!$B$13:$G$34,6,FALSE)</f>
        <v>47.830132422371697</v>
      </c>
      <c r="D19" s="399">
        <f>VLOOKUP($B19,'[11]Table 1'!$B$13:$H$40,6,FALSE)</f>
        <v>32.440626131267308</v>
      </c>
      <c r="E19" s="399">
        <f>VLOOKUP($B19,'[12]Table 1'!$B$13:$G$40,6,FALSE)</f>
        <v>35.058178481781361</v>
      </c>
      <c r="F19" s="399">
        <f>VLOOKUP($B19,'[1]Table 1'!$B$13:$G$40,6,FALSE)</f>
        <v>43.785456292399921</v>
      </c>
      <c r="G19" s="399">
        <f>VLOOKUP($B19,'[13]Table 1'!$B$13:$G$40,6,FALSE)</f>
        <v>30.446799160290666</v>
      </c>
      <c r="H19" s="399">
        <f>VLOOKUP($B19,'[14]Table 1'!$B$13:$G$40,6,FALSE)</f>
        <v>36.657267482477799</v>
      </c>
      <c r="I19" s="399">
        <f t="shared" ca="1" si="0"/>
        <v>4.0446761299717764</v>
      </c>
      <c r="J19" s="399">
        <f t="shared" si="0"/>
        <v>1.9938269709766416</v>
      </c>
      <c r="K19" s="400">
        <f t="shared" si="0"/>
        <v>-1.5990890006964378</v>
      </c>
      <c r="L19" s="396"/>
      <c r="M19" s="415"/>
    </row>
    <row r="20" spans="1:13">
      <c r="B20" s="398">
        <f t="shared" si="1"/>
        <v>2034</v>
      </c>
      <c r="C20" s="399">
        <f ca="1">VLOOKUP($B20,'Table 1'!$B$13:$G$34,6,FALSE)</f>
        <v>46.349791446867549</v>
      </c>
      <c r="D20" s="399">
        <f>VLOOKUP($B20,'[11]Table 1'!$B$13:$H$40,6,FALSE)</f>
        <v>32.595005645223218</v>
      </c>
      <c r="E20" s="399">
        <f>VLOOKUP($B20,'[12]Table 1'!$B$13:$G$40,6,FALSE)</f>
        <v>34.76264704451674</v>
      </c>
      <c r="F20" s="399">
        <f>VLOOKUP($B20,'[1]Table 1'!$B$13:$G$40,6,FALSE)</f>
        <v>45.629679555211951</v>
      </c>
      <c r="G20" s="399">
        <f>VLOOKUP($B20,'[13]Table 1'!$B$13:$G$40,6,FALSE)</f>
        <v>31.603376280363019</v>
      </c>
      <c r="H20" s="399">
        <f>VLOOKUP($B20,'[14]Table 1'!$B$13:$G$40,6,FALSE)</f>
        <v>38.082889580119797</v>
      </c>
      <c r="I20" s="399">
        <f t="shared" ca="1" si="0"/>
        <v>0.72011189165559841</v>
      </c>
      <c r="J20" s="399">
        <f t="shared" si="0"/>
        <v>0.99162936486019859</v>
      </c>
      <c r="K20" s="400">
        <f t="shared" si="0"/>
        <v>-3.3202425356030574</v>
      </c>
      <c r="L20" s="396"/>
      <c r="M20" s="415"/>
    </row>
    <row r="21" spans="1:13">
      <c r="B21" s="398">
        <f t="shared" si="1"/>
        <v>2035</v>
      </c>
      <c r="C21" s="399">
        <f ca="1">VLOOKUP($B21,'Table 1'!$B$13:$G$34,6,FALSE)</f>
        <v>47.954136582156735</v>
      </c>
      <c r="D21" s="399">
        <f>VLOOKUP($B21,'[11]Table 1'!$B$13:$H$40,6,FALSE)</f>
        <v>33.628091569358574</v>
      </c>
      <c r="E21" s="399">
        <f>VLOOKUP($B21,'[12]Table 1'!$B$13:$G$40,6,FALSE)</f>
        <v>35.699439030668145</v>
      </c>
      <c r="F21" s="399">
        <f>VLOOKUP($B21,'[1]Table 1'!$B$13:$G$40,6,FALSE)</f>
        <v>47.003868987265598</v>
      </c>
      <c r="G21" s="399">
        <f>VLOOKUP($B21,'[13]Table 1'!$B$13:$G$40,6,FALSE)</f>
        <v>32.550451013424656</v>
      </c>
      <c r="H21" s="399">
        <f>VLOOKUP($B21,'[14]Table 1'!$B$13:$G$40,6,FALSE)</f>
        <v>38.866370615356971</v>
      </c>
      <c r="I21" s="399">
        <f t="shared" ca="1" si="0"/>
        <v>0.95026759489113743</v>
      </c>
      <c r="J21" s="399">
        <f t="shared" si="0"/>
        <v>1.0776405559339182</v>
      </c>
      <c r="K21" s="400">
        <f t="shared" si="0"/>
        <v>-3.1669315846888253</v>
      </c>
      <c r="L21" s="396"/>
      <c r="M21" s="415"/>
    </row>
    <row r="22" spans="1:13">
      <c r="B22" s="398">
        <f t="shared" si="1"/>
        <v>2036</v>
      </c>
      <c r="C22" s="399">
        <f ca="1">VLOOKUP($B22,'Table 1'!$B$13:$G$34,6,FALSE)</f>
        <v>50.451985206674635</v>
      </c>
      <c r="D22" s="399">
        <f>VLOOKUP($B22,'[11]Table 1'!$B$13:$H$40,6,FALSE)</f>
        <v>36.733412847396792</v>
      </c>
      <c r="E22" s="399">
        <f>VLOOKUP($B22,'[12]Table 1'!$B$13:$G$40,6,FALSE)</f>
        <v>52.461842051514928</v>
      </c>
      <c r="F22" s="399">
        <f>VLOOKUP($B22,'[1]Table 1'!$B$13:$G$40,6,FALSE)</f>
        <v>48.810207953831643</v>
      </c>
      <c r="G22" s="399">
        <f>VLOOKUP($B22,'[13]Table 1'!$B$13:$G$40,6,FALSE)</f>
        <v>35.59684635309528</v>
      </c>
      <c r="H22" s="399">
        <f>VLOOKUP($B22,'[14]Table 1'!$B$13:$G$40,6,FALSE)</f>
        <v>56.108651140440365</v>
      </c>
      <c r="I22" s="399">
        <f t="shared" ca="1" si="0"/>
        <v>1.6417772528429921</v>
      </c>
      <c r="J22" s="399">
        <f t="shared" si="0"/>
        <v>1.1365664943015119</v>
      </c>
      <c r="K22" s="400">
        <f t="shared" si="0"/>
        <v>-3.646809088925437</v>
      </c>
      <c r="L22" s="396"/>
      <c r="M22" s="415"/>
    </row>
    <row r="23" spans="1:13">
      <c r="B23" s="401">
        <f t="shared" si="1"/>
        <v>2037</v>
      </c>
      <c r="C23" s="402">
        <f ca="1">VLOOKUP($B23,'Table 1'!$B$13:$G$34,6,FALSE)</f>
        <v>58.314960417722951</v>
      </c>
      <c r="D23" s="402">
        <f>VLOOKUP($B23,'[11]Table 1'!$B$13:$H$40,6,FALSE)</f>
        <v>37.446616157587343</v>
      </c>
      <c r="E23" s="402">
        <f>VLOOKUP($B23,'[12]Table 1'!$B$13:$G$40,6,FALSE)</f>
        <v>53.160084224401565</v>
      </c>
      <c r="F23" s="402">
        <f>VLOOKUP($B23,'[1]Table 1'!$B$13:$G$40,6,FALSE)</f>
        <v>58.59203450411546</v>
      </c>
      <c r="G23" s="402">
        <f>VLOOKUP($B23,'[13]Table 1'!$B$13:$G$40,6,FALSE)</f>
        <v>37.889312898393946</v>
      </c>
      <c r="H23" s="402">
        <f>VLOOKUP($B23,'[14]Table 1'!$B$13:$G$40,6,FALSE)</f>
        <v>59.2899012417056</v>
      </c>
      <c r="I23" s="402">
        <f t="shared" ca="1" si="0"/>
        <v>-0.27707408639250986</v>
      </c>
      <c r="J23" s="402">
        <f t="shared" si="0"/>
        <v>-0.44269674080660337</v>
      </c>
      <c r="K23" s="403">
        <f t="shared" si="0"/>
        <v>-6.1298170173040347</v>
      </c>
      <c r="L23" s="396"/>
      <c r="M23" s="415"/>
    </row>
    <row r="24" spans="1:13">
      <c r="M24" s="415"/>
    </row>
    <row r="25" spans="1:13">
      <c r="B25" s="404" t="s">
        <v>234</v>
      </c>
      <c r="L25" s="405"/>
      <c r="M25" s="415"/>
    </row>
    <row r="26" spans="1:13">
      <c r="A26" t="s">
        <v>241</v>
      </c>
      <c r="B26" s="406" t="s">
        <v>31</v>
      </c>
      <c r="C26" s="399">
        <f ca="1">ROUND('Table 1'!$G$50,2)</f>
        <v>49.82</v>
      </c>
      <c r="D26" s="399">
        <f>ROUND('[11]Table 1'!$G$50,2)</f>
        <v>32.01</v>
      </c>
      <c r="E26" s="399">
        <f>ROUND('[12]Table 1'!$G$50,2)</f>
        <v>40.18</v>
      </c>
      <c r="F26" s="399">
        <f>ROUND('[1]Table 1'!$G$50,2)</f>
        <v>39.369999999999997</v>
      </c>
      <c r="G26" s="399">
        <f>ROUND('[13]Table 1'!$G$50,2)</f>
        <v>27.77</v>
      </c>
      <c r="H26" s="399">
        <f>ROUND('[14]Table 1'!$G$50,2)</f>
        <v>36.520000000000003</v>
      </c>
      <c r="I26" s="399">
        <f ca="1">C26-F26</f>
        <v>10.450000000000003</v>
      </c>
      <c r="J26" s="399">
        <f>D26-G26</f>
        <v>4.2399999999999984</v>
      </c>
      <c r="K26" s="399">
        <f>E26-H26</f>
        <v>3.6599999999999966</v>
      </c>
      <c r="L26" s="407"/>
      <c r="M26" s="415"/>
    </row>
    <row r="27" spans="1:13" ht="17.25" customHeight="1">
      <c r="B27" s="408"/>
      <c r="C27" s="399"/>
      <c r="D27" s="399"/>
      <c r="E27" s="399"/>
      <c r="F27" s="399"/>
      <c r="G27" s="399"/>
      <c r="H27" s="399"/>
      <c r="I27" s="414">
        <f ca="1">I26/F26</f>
        <v>0.26543053086106183</v>
      </c>
      <c r="J27" s="414">
        <f>J26/G26</f>
        <v>0.15268275117032765</v>
      </c>
      <c r="K27" s="414">
        <f>K26/H26</f>
        <v>0.10021905805038325</v>
      </c>
    </row>
    <row r="28" spans="1:13" ht="10.5" customHeight="1">
      <c r="B28" s="406"/>
      <c r="C28" s="399"/>
      <c r="D28" s="399"/>
      <c r="E28" s="399"/>
      <c r="F28" s="399"/>
      <c r="G28" s="399"/>
      <c r="H28" s="399"/>
      <c r="I28" s="399"/>
      <c r="J28" s="399"/>
      <c r="K28" s="399"/>
    </row>
    <row r="29" spans="1:13" ht="5.25" customHeight="1">
      <c r="F29" s="409"/>
      <c r="G29" s="409"/>
      <c r="H29" s="409"/>
    </row>
    <row r="30" spans="1:13">
      <c r="B30" s="53" t="s">
        <v>235</v>
      </c>
      <c r="C30" s="410"/>
      <c r="D30" s="410"/>
      <c r="E30" s="410"/>
      <c r="F30" s="411"/>
      <c r="G30" s="411"/>
      <c r="H30" s="411"/>
      <c r="I30" s="411"/>
      <c r="J30" s="411"/>
      <c r="K30" s="411"/>
    </row>
    <row r="31" spans="1:13">
      <c r="B31" s="50" t="s">
        <v>236</v>
      </c>
      <c r="C31" s="410"/>
      <c r="D31" s="410"/>
      <c r="E31" s="410"/>
      <c r="F31" s="411"/>
      <c r="G31" s="411"/>
      <c r="H31" s="411"/>
      <c r="I31" s="411"/>
      <c r="J31" s="411"/>
      <c r="K31" s="411"/>
    </row>
    <row r="32" spans="1:13">
      <c r="B32" s="412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2023 - 2037, levelized monthly</v>
      </c>
    </row>
    <row r="34" spans="2:11">
      <c r="B34" s="413"/>
    </row>
    <row r="35" spans="2:11">
      <c r="B35" s="413"/>
    </row>
    <row r="36" spans="2:11">
      <c r="B36" s="413"/>
    </row>
    <row r="37" spans="2:11" hidden="1"/>
    <row r="38" spans="2:11">
      <c r="C38" s="399"/>
      <c r="D38" s="399"/>
      <c r="E38" s="399"/>
      <c r="F38" s="399"/>
      <c r="G38" s="399"/>
      <c r="H38" s="399"/>
    </row>
    <row r="40" spans="2:11">
      <c r="C40" s="409"/>
      <c r="D40" s="409"/>
      <c r="E40" s="409"/>
      <c r="F40" s="409"/>
      <c r="G40" s="409"/>
      <c r="H40" s="409"/>
      <c r="I40" s="409"/>
      <c r="J40" s="409"/>
      <c r="K40" s="409"/>
    </row>
  </sheetData>
  <conditionalFormatting sqref="I8:J21">
    <cfRule type="expression" dxfId="3" priority="6">
      <formula>ISNA(N8)</formula>
    </cfRule>
  </conditionalFormatting>
  <conditionalFormatting sqref="I23:J23">
    <cfRule type="expression" dxfId="2" priority="5">
      <formula>ISNA(N23)</formula>
    </cfRule>
  </conditionalFormatting>
  <conditionalFormatting sqref="I22:J22">
    <cfRule type="expression" dxfId="1" priority="4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P23" sqref="P23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7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7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7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7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360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54"/>
      <c r="G19" s="129"/>
      <c r="H19" s="127"/>
      <c r="I19" s="127"/>
      <c r="J19" s="129"/>
      <c r="K19" s="129"/>
      <c r="L19" s="127"/>
      <c r="M19" s="118"/>
      <c r="O19" s="116"/>
      <c r="Q19" s="360"/>
      <c r="R19" s="353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>
        <v>1417.9949999999999</v>
      </c>
      <c r="D20" s="127">
        <f>C20*$C$62</f>
        <v>98.965825152287621</v>
      </c>
      <c r="E20" s="145">
        <f>C56</f>
        <v>67.885445280087083</v>
      </c>
      <c r="F20" s="188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7">
      <c r="B33" s="133">
        <f t="shared" si="0"/>
        <v>2039</v>
      </c>
      <c r="C33" s="134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3">
        <f t="shared" si="0"/>
        <v>2040</v>
      </c>
      <c r="C34" s="134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3">
        <f t="shared" si="0"/>
        <v>2041</v>
      </c>
      <c r="C35" s="134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3">
        <f t="shared" si="0"/>
        <v>2042</v>
      </c>
      <c r="C36" s="134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3">
        <f t="shared" si="0"/>
        <v>2043</v>
      </c>
      <c r="C37" s="134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7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7">
      <c r="B44" s="116" t="s">
        <v>63</v>
      </c>
      <c r="C44" s="138" t="s">
        <v>64</v>
      </c>
      <c r="D44" s="281" t="s">
        <v>155</v>
      </c>
    </row>
    <row r="45" spans="2:17">
      <c r="C45" s="138" t="str">
        <f>C7</f>
        <v>(a)</v>
      </c>
      <c r="D45" s="116" t="s">
        <v>65</v>
      </c>
    </row>
    <row r="46" spans="2:17">
      <c r="C46" s="138" t="str">
        <f>D7</f>
        <v>(b)</v>
      </c>
      <c r="D46" s="129" t="str">
        <f>"= "&amp;C7&amp;" x "&amp;C62</f>
        <v>= (a) x 0.0697927885163824</v>
      </c>
    </row>
    <row r="47" spans="2:17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2026</v>
      </c>
    </row>
    <row r="55" spans="2:28">
      <c r="B55" s="334" t="s">
        <v>177</v>
      </c>
      <c r="C55" s="367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34" t="s">
        <v>177</v>
      </c>
      <c r="C56" s="145">
        <f>8825.10788641132/130</f>
        <v>67.885445280087083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/>
      <c r="C58" s="145"/>
      <c r="D58" s="116" t="s">
        <v>69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 t="s">
        <v>90</v>
      </c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0.37049999910522241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0"/>
  <sheetViews>
    <sheetView view="pageBreakPreview" zoomScale="60" zoomScaleNormal="70" workbookViewId="0">
      <selection activeCell="P34" sqref="P3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75">
      <c r="B2" s="114" t="s">
        <v>219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75">
      <c r="B9" s="43" t="str">
        <f>C52</f>
        <v>2021 IRP Update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7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7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7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7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360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54"/>
      <c r="G19" s="129"/>
      <c r="H19" s="127"/>
      <c r="I19" s="127"/>
      <c r="J19" s="129"/>
      <c r="K19" s="129"/>
      <c r="L19" s="127"/>
      <c r="M19" s="118"/>
      <c r="O19" s="116"/>
      <c r="Q19" s="360"/>
      <c r="R19" s="353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88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127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/>
      <c r="E23" s="145"/>
      <c r="F23" s="127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/>
      <c r="E24" s="145"/>
      <c r="F24" s="127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/>
      <c r="E25" s="145"/>
      <c r="F25" s="127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/>
      <c r="E26" s="145"/>
      <c r="F26" s="127">
        <f t="shared" si="1"/>
        <v>28.11</v>
      </c>
      <c r="G26" s="129"/>
      <c r="H26" s="127"/>
      <c r="I26" s="127"/>
      <c r="J26" s="129"/>
      <c r="K26" s="129"/>
      <c r="L26" s="127"/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/>
      <c r="E27" s="145"/>
      <c r="F27" s="127">
        <f t="shared" si="1"/>
        <v>28.72</v>
      </c>
      <c r="G27" s="129"/>
      <c r="H27" s="127"/>
      <c r="I27" s="127"/>
      <c r="J27" s="129"/>
      <c r="K27" s="129"/>
      <c r="L27" s="127"/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/>
      <c r="E28" s="145"/>
      <c r="F28" s="127">
        <f t="shared" si="1"/>
        <v>29.34</v>
      </c>
      <c r="G28" s="129"/>
      <c r="H28" s="127"/>
      <c r="I28" s="127"/>
      <c r="J28" s="129"/>
      <c r="K28" s="129"/>
      <c r="L28" s="127"/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/>
      <c r="E29" s="145"/>
      <c r="F29" s="127">
        <f t="shared" si="1"/>
        <v>29.97</v>
      </c>
      <c r="G29" s="129"/>
      <c r="H29" s="127"/>
      <c r="I29" s="127"/>
      <c r="J29" s="129"/>
      <c r="K29" s="129"/>
      <c r="L29" s="127"/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/>
      <c r="E30" s="145"/>
      <c r="F30" s="127">
        <f t="shared" si="1"/>
        <v>30.62</v>
      </c>
      <c r="G30" s="129"/>
      <c r="H30" s="127"/>
      <c r="I30" s="127"/>
      <c r="J30" s="129"/>
      <c r="K30" s="129"/>
      <c r="L30" s="127"/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/>
      <c r="E31" s="145"/>
      <c r="F31" s="127">
        <f t="shared" si="1"/>
        <v>31.28</v>
      </c>
      <c r="G31" s="129"/>
      <c r="H31" s="127"/>
      <c r="I31" s="127"/>
      <c r="J31" s="129"/>
      <c r="K31" s="129"/>
      <c r="L31" s="127"/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367">
        <f>713925.9/450</f>
        <v>1586.502</v>
      </c>
      <c r="D32" s="127">
        <f>C32*$C$62</f>
        <v>110.72639856681766</v>
      </c>
      <c r="E32" s="145">
        <f>$C$56</f>
        <v>107.36151635765734</v>
      </c>
      <c r="F32" s="127">
        <f t="shared" si="1"/>
        <v>31.95</v>
      </c>
      <c r="G32" s="129">
        <f t="shared" ref="G32:G37" si="2">(D32+E32+F32)/(8.76*$C$63)</f>
        <v>77.039516982582512</v>
      </c>
      <c r="H32" s="127">
        <v>0</v>
      </c>
      <c r="I32" s="127">
        <v>0</v>
      </c>
      <c r="J32" s="129">
        <f t="shared" ref="J32:J37" si="3">(G32+H32+I32)</f>
        <v>77.039516982582512</v>
      </c>
      <c r="K32" s="129">
        <f t="shared" ref="K32:K37" si="4">ROUND(J32*$C$63*8.76,2)</f>
        <v>250.04</v>
      </c>
      <c r="L32" s="127">
        <f t="shared" ref="L32:L37" si="5">(D32+E32+F32)</f>
        <v>250.03791492447499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7">
      <c r="B33" s="133">
        <f t="shared" si="0"/>
        <v>2039</v>
      </c>
      <c r="C33" s="134"/>
      <c r="D33" s="127">
        <f t="shared" si="1"/>
        <v>113.11</v>
      </c>
      <c r="E33" s="127">
        <f t="shared" si="1"/>
        <v>109.68</v>
      </c>
      <c r="F33" s="127">
        <f t="shared" si="1"/>
        <v>32.64</v>
      </c>
      <c r="G33" s="129">
        <f t="shared" si="2"/>
        <v>78.700879539828733</v>
      </c>
      <c r="H33" s="127">
        <v>0</v>
      </c>
      <c r="I33" s="127">
        <v>0</v>
      </c>
      <c r="J33" s="129">
        <f t="shared" si="3"/>
        <v>78.700879539828733</v>
      </c>
      <c r="K33" s="129">
        <f t="shared" si="4"/>
        <v>255.43</v>
      </c>
      <c r="L33" s="127">
        <f t="shared" si="5"/>
        <v>255.43</v>
      </c>
      <c r="M33" s="118"/>
      <c r="O33" s="116"/>
      <c r="Q33" s="129"/>
    </row>
    <row r="34" spans="2:17">
      <c r="B34" s="133">
        <f t="shared" si="0"/>
        <v>2040</v>
      </c>
      <c r="C34" s="134"/>
      <c r="D34" s="127">
        <f t="shared" si="1"/>
        <v>115.55</v>
      </c>
      <c r="E34" s="127">
        <f t="shared" si="1"/>
        <v>112.04</v>
      </c>
      <c r="F34" s="127">
        <f t="shared" si="1"/>
        <v>33.340000000000003</v>
      </c>
      <c r="G34" s="129">
        <f t="shared" si="2"/>
        <v>80.395491909045575</v>
      </c>
      <c r="H34" s="127">
        <v>0</v>
      </c>
      <c r="I34" s="127">
        <v>0</v>
      </c>
      <c r="J34" s="129">
        <f t="shared" si="3"/>
        <v>80.395491909045575</v>
      </c>
      <c r="K34" s="129">
        <f t="shared" si="4"/>
        <v>260.93</v>
      </c>
      <c r="L34" s="127">
        <f t="shared" si="5"/>
        <v>260.93</v>
      </c>
      <c r="M34" s="118"/>
      <c r="O34" s="116"/>
      <c r="Q34" s="129"/>
    </row>
    <row r="35" spans="2:17">
      <c r="B35" s="133">
        <f t="shared" si="0"/>
        <v>2041</v>
      </c>
      <c r="C35" s="134"/>
      <c r="D35" s="127">
        <f t="shared" si="1"/>
        <v>118.04</v>
      </c>
      <c r="E35" s="127">
        <f t="shared" si="1"/>
        <v>114.45</v>
      </c>
      <c r="F35" s="127">
        <f t="shared" si="1"/>
        <v>34.06</v>
      </c>
      <c r="G35" s="129">
        <f t="shared" si="2"/>
        <v>82.127077639045325</v>
      </c>
      <c r="H35" s="127">
        <v>0</v>
      </c>
      <c r="I35" s="127">
        <v>0</v>
      </c>
      <c r="J35" s="129">
        <f t="shared" si="3"/>
        <v>82.127077639045325</v>
      </c>
      <c r="K35" s="129">
        <f t="shared" si="4"/>
        <v>266.55</v>
      </c>
      <c r="L35" s="127">
        <f t="shared" si="5"/>
        <v>266.55</v>
      </c>
      <c r="M35" s="118"/>
      <c r="O35" s="116"/>
      <c r="Q35" s="129"/>
    </row>
    <row r="36" spans="2:17">
      <c r="B36" s="133">
        <f t="shared" si="0"/>
        <v>2042</v>
      </c>
      <c r="C36" s="134"/>
      <c r="D36" s="127">
        <f t="shared" si="1"/>
        <v>120.58</v>
      </c>
      <c r="E36" s="127">
        <f t="shared" si="1"/>
        <v>116.92</v>
      </c>
      <c r="F36" s="127">
        <f t="shared" si="1"/>
        <v>34.79</v>
      </c>
      <c r="G36" s="129">
        <f t="shared" si="2"/>
        <v>83.895636729827999</v>
      </c>
      <c r="H36" s="127">
        <v>0</v>
      </c>
      <c r="I36" s="127">
        <v>0</v>
      </c>
      <c r="J36" s="129">
        <f t="shared" si="3"/>
        <v>83.895636729827999</v>
      </c>
      <c r="K36" s="129">
        <f t="shared" si="4"/>
        <v>272.29000000000002</v>
      </c>
      <c r="L36" s="127">
        <f t="shared" si="5"/>
        <v>272.29000000000002</v>
      </c>
      <c r="M36" s="118"/>
      <c r="O36" s="116"/>
      <c r="Q36" s="129"/>
    </row>
    <row r="37" spans="2:17">
      <c r="B37" s="133">
        <f t="shared" si="0"/>
        <v>2043</v>
      </c>
      <c r="C37" s="134"/>
      <c r="D37" s="127">
        <f t="shared" ref="D37:F37" si="6">ROUND(D36*(1+IRP21_Infl_Rate),2)</f>
        <v>123.18</v>
      </c>
      <c r="E37" s="127">
        <f t="shared" si="6"/>
        <v>119.44</v>
      </c>
      <c r="F37" s="127">
        <f t="shared" si="6"/>
        <v>35.54</v>
      </c>
      <c r="G37" s="129">
        <f t="shared" si="2"/>
        <v>85.704250294792161</v>
      </c>
      <c r="H37" s="127">
        <v>0</v>
      </c>
      <c r="I37" s="127">
        <v>0</v>
      </c>
      <c r="J37" s="129">
        <f t="shared" si="3"/>
        <v>85.704250294792161</v>
      </c>
      <c r="K37" s="129">
        <f t="shared" si="4"/>
        <v>278.16000000000003</v>
      </c>
      <c r="L37" s="127">
        <f t="shared" si="5"/>
        <v>278.16000000000003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7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7">
      <c r="B44" s="116" t="s">
        <v>63</v>
      </c>
      <c r="C44" s="138" t="s">
        <v>64</v>
      </c>
      <c r="D44" s="281" t="s">
        <v>155</v>
      </c>
    </row>
    <row r="45" spans="2:17">
      <c r="C45" s="138" t="str">
        <f>C7</f>
        <v>(a)</v>
      </c>
      <c r="D45" s="116" t="s">
        <v>65</v>
      </c>
    </row>
    <row r="46" spans="2:17">
      <c r="C46" s="138" t="str">
        <f>D7</f>
        <v>(b)</v>
      </c>
      <c r="D46" s="129" t="str">
        <f>"= "&amp;C7&amp;" x "&amp;C62</f>
        <v>= (a) x 0.0697927885163824</v>
      </c>
    </row>
    <row r="47" spans="2:17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Portland North Coast Wind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2038</v>
      </c>
    </row>
    <row r="55" spans="2:28">
      <c r="B55" s="334" t="s">
        <v>209</v>
      </c>
      <c r="C55" s="367">
        <f>713925.9/450</f>
        <v>1586.502</v>
      </c>
      <c r="D55" s="116" t="s">
        <v>65</v>
      </c>
      <c r="P55" s="116">
        <v>450</v>
      </c>
      <c r="Q55" s="116" t="s">
        <v>32</v>
      </c>
    </row>
    <row r="56" spans="2:28">
      <c r="B56" s="334" t="s">
        <v>209</v>
      </c>
      <c r="C56" s="145">
        <f>48312.6823609458/450</f>
        <v>107.36151635765734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/>
      <c r="C58" s="145"/>
      <c r="D58" s="116" t="s">
        <v>69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 t="s">
        <v>90</v>
      </c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24.740174248339812</v>
      </c>
      <c r="D60" s="116" t="s">
        <v>150</v>
      </c>
      <c r="F60" s="116" t="s">
        <v>166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0.37049999910522241</v>
      </c>
      <c r="D63" s="116" t="s">
        <v>37</v>
      </c>
    </row>
    <row r="64" spans="2:28">
      <c r="D64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L35" sqref="L3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183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U5" s="257"/>
      <c r="V5" s="258"/>
      <c r="W5" s="257"/>
      <c r="X5" s="258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54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>
        <v>1498.7239999999999</v>
      </c>
      <c r="D20" s="127">
        <f>C20*$C$62</f>
        <v>104.60012717642665</v>
      </c>
      <c r="E20" s="145">
        <f>41749.5488472448/615</f>
        <v>67.885445280072844</v>
      </c>
      <c r="F20" s="188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>
        <f t="shared" ref="D21:D37" si="5">ROUND(D20*(1+IRP21_Infl_Rate),2)</f>
        <v>106.85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>
        <f t="shared" si="5"/>
        <v>109.15</v>
      </c>
      <c r="E22" s="127">
        <f t="shared" si="6"/>
        <v>70.84</v>
      </c>
      <c r="F22" s="127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si="5"/>
        <v>111.5</v>
      </c>
      <c r="E23" s="127">
        <f t="shared" si="6"/>
        <v>72.37</v>
      </c>
      <c r="F23" s="127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113.9</v>
      </c>
      <c r="E24" s="127">
        <f t="shared" si="6"/>
        <v>73.930000000000007</v>
      </c>
      <c r="F24" s="127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116.35</v>
      </c>
      <c r="E25" s="127">
        <f t="shared" si="6"/>
        <v>75.52</v>
      </c>
      <c r="F25" s="127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118.86</v>
      </c>
      <c r="E26" s="127">
        <f t="shared" si="6"/>
        <v>77.150000000000006</v>
      </c>
      <c r="F26" s="127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121.42</v>
      </c>
      <c r="E27" s="127">
        <f t="shared" si="6"/>
        <v>78.81</v>
      </c>
      <c r="F27" s="127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124.04</v>
      </c>
      <c r="E28" s="127">
        <f t="shared" si="6"/>
        <v>80.510000000000005</v>
      </c>
      <c r="F28" s="127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126.71</v>
      </c>
      <c r="E29" s="127">
        <f t="shared" si="6"/>
        <v>82.24</v>
      </c>
      <c r="F29" s="127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129.44</v>
      </c>
      <c r="E30" s="127">
        <f t="shared" si="6"/>
        <v>84.01</v>
      </c>
      <c r="F30" s="127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132.22999999999999</v>
      </c>
      <c r="E31" s="127">
        <f t="shared" si="6"/>
        <v>85.82</v>
      </c>
      <c r="F31" s="127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135.08000000000001</v>
      </c>
      <c r="E32" s="127">
        <f t="shared" si="6"/>
        <v>87.67</v>
      </c>
      <c r="F32" s="127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137.99</v>
      </c>
      <c r="E33" s="127">
        <f t="shared" si="6"/>
        <v>89.56</v>
      </c>
      <c r="F33" s="127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140.96</v>
      </c>
      <c r="E34" s="127">
        <f t="shared" si="6"/>
        <v>91.49</v>
      </c>
      <c r="F34" s="127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144</v>
      </c>
      <c r="E35" s="127">
        <f t="shared" si="6"/>
        <v>93.46</v>
      </c>
      <c r="F35" s="127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147.1</v>
      </c>
      <c r="E36" s="127">
        <f t="shared" si="6"/>
        <v>95.47</v>
      </c>
      <c r="F36" s="127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</row>
    <row r="37" spans="2:15">
      <c r="B37" s="133">
        <f t="shared" si="0"/>
        <v>2043</v>
      </c>
      <c r="C37" s="134"/>
      <c r="D37" s="127">
        <f t="shared" si="5"/>
        <v>150.27000000000001</v>
      </c>
      <c r="E37" s="127">
        <f t="shared" si="6"/>
        <v>97.53</v>
      </c>
      <c r="F37" s="127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8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2026</v>
      </c>
    </row>
    <row r="55" spans="2:28">
      <c r="B55" s="334" t="s">
        <v>177</v>
      </c>
      <c r="C55" s="367">
        <f>621970.46/415</f>
        <v>1498.7239999999999</v>
      </c>
      <c r="D55" s="116" t="s">
        <v>65</v>
      </c>
      <c r="P55" s="116">
        <v>415</v>
      </c>
      <c r="Q55" s="116" t="s">
        <v>32</v>
      </c>
    </row>
    <row r="56" spans="2:28">
      <c r="B56" s="334" t="s">
        <v>177</v>
      </c>
      <c r="C56" s="145">
        <f>28172.4597912315/415</f>
        <v>67.885445280075899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/>
      <c r="C58" s="145"/>
      <c r="D58" s="116" t="s">
        <v>69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 t="s">
        <v>90</v>
      </c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2.5355612781817829</v>
      </c>
      <c r="D60" s="116" t="s">
        <v>150</v>
      </c>
      <c r="F60" s="116" t="s">
        <v>172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0.37049999910522241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80" workbookViewId="0">
      <selection activeCell="D25" sqref="D2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220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U5" s="257"/>
      <c r="V5" s="258"/>
      <c r="W5" s="257"/>
      <c r="X5" s="258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54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354"/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354"/>
      <c r="G21" s="129"/>
      <c r="H21" s="127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354"/>
      <c r="G22" s="129"/>
      <c r="H22" s="127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>
        <v>1568.354</v>
      </c>
      <c r="D23" s="127">
        <f>C23*$C$62</f>
        <v>109.45979904082236</v>
      </c>
      <c r="E23" s="145">
        <f>$C$56</f>
        <v>72.369493474950005</v>
      </c>
      <c r="F23" s="188">
        <f>$C$60</f>
        <v>5.6747035126682794</v>
      </c>
      <c r="G23" s="129">
        <f t="shared" ref="G23" si="1">(D23+E23+F23)/(8.76*$C$63)</f>
        <v>57.772107308597036</v>
      </c>
      <c r="H23" s="127">
        <v>0</v>
      </c>
      <c r="I23" s="127"/>
      <c r="J23" s="129">
        <f t="shared" ref="J23" si="2">(G23+H23+I23)</f>
        <v>57.772107308597036</v>
      </c>
      <c r="K23" s="129">
        <f t="shared" ref="K23" si="3">ROUND(J23*$C$63*8.76,2)</f>
        <v>187.5</v>
      </c>
      <c r="L23" s="127">
        <f t="shared" ref="L23" si="4">(D23+E23+F23)</f>
        <v>187.50399602844064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ref="D24:F36" si="5">ROUND(D23*(1+IRP21_Infl_Rate),2)</f>
        <v>111.82</v>
      </c>
      <c r="E24" s="127">
        <f t="shared" si="5"/>
        <v>73.930000000000007</v>
      </c>
      <c r="F24" s="127">
        <f t="shared" si="5"/>
        <v>5.8</v>
      </c>
      <c r="G24" s="129">
        <f t="shared" ref="G24" si="6">(D24+E24+F24)/(8.76*$C$63)</f>
        <v>59.018727010400532</v>
      </c>
      <c r="H24" s="127">
        <v>0</v>
      </c>
      <c r="I24" s="127"/>
      <c r="J24" s="129">
        <f t="shared" ref="J24" si="7">(G24+H24+I24)</f>
        <v>59.018727010400532</v>
      </c>
      <c r="K24" s="129">
        <f t="shared" ref="K24" si="8">ROUND(J24*$C$63*8.76,2)</f>
        <v>191.55</v>
      </c>
      <c r="L24" s="127">
        <f t="shared" ref="L24" si="9">(D24+E24+F24)</f>
        <v>191.55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114.23</v>
      </c>
      <c r="E25" s="127">
        <f t="shared" si="5"/>
        <v>75.52</v>
      </c>
      <c r="F25" s="127">
        <f t="shared" si="5"/>
        <v>5.92</v>
      </c>
      <c r="G25" s="129">
        <f t="shared" ref="G25:G37" si="10">(D25+E25+F25)/(8.76*$C$63)</f>
        <v>60.288145727617177</v>
      </c>
      <c r="H25" s="127">
        <v>0</v>
      </c>
      <c r="I25" s="127"/>
      <c r="J25" s="129">
        <f t="shared" ref="J25:J37" si="11">(G25+H25+I25)</f>
        <v>60.288145727617177</v>
      </c>
      <c r="K25" s="129">
        <f t="shared" ref="K25:K37" si="12">ROUND(J25*$C$63*8.76,2)</f>
        <v>195.67</v>
      </c>
      <c r="L25" s="127">
        <f t="shared" ref="L25:L37" si="13">(D25+E25+F25)</f>
        <v>195.67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116.69</v>
      </c>
      <c r="E26" s="127">
        <f t="shared" si="5"/>
        <v>77.150000000000006</v>
      </c>
      <c r="F26" s="127">
        <f t="shared" si="5"/>
        <v>6.05</v>
      </c>
      <c r="G26" s="129">
        <f t="shared" si="10"/>
        <v>61.58837557874687</v>
      </c>
      <c r="H26" s="127">
        <v>0</v>
      </c>
      <c r="I26" s="127"/>
      <c r="J26" s="129">
        <f t="shared" si="11"/>
        <v>61.58837557874687</v>
      </c>
      <c r="K26" s="129">
        <f t="shared" si="12"/>
        <v>199.89</v>
      </c>
      <c r="L26" s="127">
        <f t="shared" si="13"/>
        <v>199.89000000000001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119.2</v>
      </c>
      <c r="E27" s="127">
        <f t="shared" si="5"/>
        <v>78.81</v>
      </c>
      <c r="F27" s="127">
        <f t="shared" si="5"/>
        <v>6.18</v>
      </c>
      <c r="G27" s="129">
        <f t="shared" si="10"/>
        <v>62.913254337006961</v>
      </c>
      <c r="H27" s="127">
        <v>0</v>
      </c>
      <c r="I27" s="127"/>
      <c r="J27" s="129">
        <f t="shared" si="11"/>
        <v>62.913254337006961</v>
      </c>
      <c r="K27" s="129">
        <f t="shared" si="12"/>
        <v>204.19</v>
      </c>
      <c r="L27" s="127">
        <f t="shared" si="13"/>
        <v>204.19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121.77</v>
      </c>
      <c r="E28" s="127">
        <f t="shared" si="5"/>
        <v>80.510000000000005</v>
      </c>
      <c r="F28" s="127">
        <f t="shared" si="5"/>
        <v>6.31</v>
      </c>
      <c r="G28" s="129">
        <f t="shared" si="10"/>
        <v>64.268944229180093</v>
      </c>
      <c r="H28" s="127">
        <v>0</v>
      </c>
      <c r="I28" s="127"/>
      <c r="J28" s="129">
        <f t="shared" si="11"/>
        <v>64.268944229180093</v>
      </c>
      <c r="K28" s="129">
        <f t="shared" si="12"/>
        <v>208.59</v>
      </c>
      <c r="L28" s="127">
        <f t="shared" si="13"/>
        <v>208.59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124.39</v>
      </c>
      <c r="E29" s="127">
        <f t="shared" si="5"/>
        <v>82.24</v>
      </c>
      <c r="F29" s="127">
        <f t="shared" si="5"/>
        <v>6.45</v>
      </c>
      <c r="G29" s="129">
        <f t="shared" si="10"/>
        <v>65.652364141874926</v>
      </c>
      <c r="H29" s="127">
        <v>0</v>
      </c>
      <c r="I29" s="127"/>
      <c r="J29" s="129">
        <f t="shared" si="11"/>
        <v>65.652364141874926</v>
      </c>
      <c r="K29" s="129">
        <f t="shared" si="12"/>
        <v>213.08</v>
      </c>
      <c r="L29" s="127">
        <f t="shared" si="13"/>
        <v>213.07999999999998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127.07</v>
      </c>
      <c r="E30" s="127">
        <f t="shared" si="5"/>
        <v>84.01</v>
      </c>
      <c r="F30" s="127">
        <f t="shared" si="5"/>
        <v>6.59</v>
      </c>
      <c r="G30" s="129">
        <f t="shared" si="10"/>
        <v>67.066595188482808</v>
      </c>
      <c r="H30" s="127">
        <v>0</v>
      </c>
      <c r="I30" s="127"/>
      <c r="J30" s="129">
        <f t="shared" si="11"/>
        <v>67.066595188482808</v>
      </c>
      <c r="K30" s="129">
        <f t="shared" si="12"/>
        <v>217.67</v>
      </c>
      <c r="L30" s="127">
        <f t="shared" si="13"/>
        <v>217.67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129.81</v>
      </c>
      <c r="E31" s="127">
        <f t="shared" si="5"/>
        <v>85.82</v>
      </c>
      <c r="F31" s="127">
        <f t="shared" si="5"/>
        <v>6.73</v>
      </c>
      <c r="G31" s="129">
        <f t="shared" si="10"/>
        <v>68.511637369003708</v>
      </c>
      <c r="H31" s="127">
        <v>0</v>
      </c>
      <c r="I31" s="127"/>
      <c r="J31" s="129">
        <f t="shared" si="11"/>
        <v>68.511637369003708</v>
      </c>
      <c r="K31" s="129">
        <f t="shared" si="12"/>
        <v>222.36</v>
      </c>
      <c r="L31" s="127">
        <f t="shared" si="13"/>
        <v>222.35999999999999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132.61000000000001</v>
      </c>
      <c r="E32" s="127">
        <f t="shared" si="5"/>
        <v>87.67</v>
      </c>
      <c r="F32" s="127">
        <f t="shared" si="5"/>
        <v>6.88</v>
      </c>
      <c r="G32" s="129">
        <f t="shared" si="10"/>
        <v>69.990571796828945</v>
      </c>
      <c r="H32" s="127">
        <v>0</v>
      </c>
      <c r="I32" s="127"/>
      <c r="J32" s="129">
        <f t="shared" si="11"/>
        <v>69.990571796828945</v>
      </c>
      <c r="K32" s="129">
        <f t="shared" si="12"/>
        <v>227.16</v>
      </c>
      <c r="L32" s="127">
        <f t="shared" si="13"/>
        <v>227.16000000000003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135.47</v>
      </c>
      <c r="E33" s="127">
        <f t="shared" si="5"/>
        <v>89.56</v>
      </c>
      <c r="F33" s="127">
        <f t="shared" si="5"/>
        <v>7.03</v>
      </c>
      <c r="G33" s="129">
        <f t="shared" si="10"/>
        <v>71.500317358567202</v>
      </c>
      <c r="H33" s="127">
        <v>0</v>
      </c>
      <c r="I33" s="127"/>
      <c r="J33" s="129">
        <f t="shared" si="11"/>
        <v>71.500317358567202</v>
      </c>
      <c r="K33" s="129">
        <f t="shared" si="12"/>
        <v>232.06</v>
      </c>
      <c r="L33" s="127">
        <f t="shared" si="13"/>
        <v>232.06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138.38999999999999</v>
      </c>
      <c r="E34" s="127">
        <f t="shared" si="5"/>
        <v>91.49</v>
      </c>
      <c r="F34" s="127">
        <f t="shared" si="5"/>
        <v>7.18</v>
      </c>
      <c r="G34" s="129">
        <f t="shared" si="10"/>
        <v>73.040874054218477</v>
      </c>
      <c r="H34" s="127">
        <v>0</v>
      </c>
      <c r="I34" s="127"/>
      <c r="J34" s="129">
        <f t="shared" si="11"/>
        <v>73.040874054218477</v>
      </c>
      <c r="K34" s="129">
        <f t="shared" si="12"/>
        <v>237.06</v>
      </c>
      <c r="L34" s="127">
        <f t="shared" si="13"/>
        <v>237.06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141.37</v>
      </c>
      <c r="E35" s="127">
        <f t="shared" si="5"/>
        <v>93.46</v>
      </c>
      <c r="F35" s="127">
        <f t="shared" si="5"/>
        <v>7.33</v>
      </c>
      <c r="G35" s="129">
        <f t="shared" si="10"/>
        <v>74.612241883782787</v>
      </c>
      <c r="H35" s="127">
        <v>0</v>
      </c>
      <c r="I35" s="127"/>
      <c r="J35" s="129">
        <f t="shared" si="11"/>
        <v>74.612241883782787</v>
      </c>
      <c r="K35" s="129">
        <f t="shared" si="12"/>
        <v>242.16</v>
      </c>
      <c r="L35" s="127">
        <f t="shared" si="13"/>
        <v>242.16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144.41999999999999</v>
      </c>
      <c r="E36" s="127">
        <f t="shared" si="5"/>
        <v>95.47</v>
      </c>
      <c r="F36" s="127">
        <f t="shared" si="5"/>
        <v>7.49</v>
      </c>
      <c r="G36" s="129">
        <f t="shared" si="10"/>
        <v>76.220583074042722</v>
      </c>
      <c r="H36" s="127">
        <v>0</v>
      </c>
      <c r="I36" s="127"/>
      <c r="J36" s="129">
        <f t="shared" si="11"/>
        <v>76.220583074042722</v>
      </c>
      <c r="K36" s="129">
        <f t="shared" si="12"/>
        <v>247.38</v>
      </c>
      <c r="L36" s="127">
        <f t="shared" si="13"/>
        <v>247.38</v>
      </c>
      <c r="M36" s="118"/>
      <c r="O36" s="116"/>
    </row>
    <row r="37" spans="2:15">
      <c r="B37" s="133">
        <f t="shared" si="0"/>
        <v>2043</v>
      </c>
      <c r="C37" s="134"/>
      <c r="D37" s="127">
        <f t="shared" ref="D37:F37" si="14">ROUND(D36*(1+IRP21_Infl_Rate),2)</f>
        <v>147.53</v>
      </c>
      <c r="E37" s="127">
        <f t="shared" si="14"/>
        <v>97.53</v>
      </c>
      <c r="F37" s="127">
        <f t="shared" si="14"/>
        <v>7.65</v>
      </c>
      <c r="G37" s="129">
        <f t="shared" si="10"/>
        <v>77.862816511606979</v>
      </c>
      <c r="H37" s="127">
        <v>0</v>
      </c>
      <c r="I37" s="127"/>
      <c r="J37" s="129">
        <f t="shared" si="11"/>
        <v>77.862816511606979</v>
      </c>
      <c r="K37" s="129">
        <f t="shared" si="12"/>
        <v>252.71</v>
      </c>
      <c r="L37" s="127">
        <f t="shared" si="13"/>
        <v>252.71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8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Wilamette Valley Resource - 37%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2029</v>
      </c>
    </row>
    <row r="55" spans="2:28">
      <c r="B55" s="334" t="s">
        <v>210</v>
      </c>
      <c r="C55" s="367">
        <f>250936.64/160</f>
        <v>1568.354</v>
      </c>
      <c r="D55" s="116" t="s">
        <v>65</v>
      </c>
      <c r="P55" s="116">
        <v>160</v>
      </c>
      <c r="Q55" s="116" t="s">
        <v>32</v>
      </c>
    </row>
    <row r="56" spans="2:28">
      <c r="B56" s="334" t="s">
        <v>210</v>
      </c>
      <c r="C56" s="145">
        <f>11579.118955992/160</f>
        <v>72.369493474950005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/>
      <c r="C58" s="145"/>
      <c r="D58" s="116" t="s">
        <v>69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 t="s">
        <v>90</v>
      </c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 t="str">
        <f>LEFT(RIGHT(INDEX('Table 3 TransCost'!$39:$39,1,MATCH(F60,'Table 3 TransCost'!$4:$4,0)),6),5)</f>
        <v>2029$</v>
      </c>
      <c r="C60" s="148">
        <f>INDEX('Table 3 TransCost'!$39:$39,1,MATCH(F60,'Table 3 TransCost'!$4:$4,0)+2)</f>
        <v>5.6747035126682794</v>
      </c>
      <c r="D60" s="116" t="s">
        <v>150</v>
      </c>
      <c r="F60" s="116" t="s">
        <v>147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0.37049999997985367</v>
      </c>
      <c r="D63" s="116" t="s">
        <v>37</v>
      </c>
    </row>
    <row r="64" spans="2:28">
      <c r="D64" s="149"/>
    </row>
    <row r="65" spans="15:15" s="118" customFormat="1">
      <c r="O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92"/>
  <sheetViews>
    <sheetView view="pageBreakPreview" zoomScale="60" zoomScaleNormal="70" workbookViewId="0">
      <selection activeCell="P32" sqref="P3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U5" s="257"/>
      <c r="V5" s="258"/>
      <c r="W5" s="257"/>
      <c r="X5" s="258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188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27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>
        <f t="shared" si="1"/>
        <v>61.1</v>
      </c>
      <c r="G21" s="129"/>
      <c r="H21" s="188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/>
      <c r="D22" s="127"/>
      <c r="E22" s="145"/>
      <c r="F22" s="127">
        <f t="shared" si="1"/>
        <v>62.42</v>
      </c>
      <c r="G22" s="129"/>
      <c r="H22" s="188"/>
      <c r="I22" s="127"/>
      <c r="J22" s="129"/>
      <c r="K22" s="129"/>
      <c r="L22" s="127"/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>
        <v>1530.337</v>
      </c>
      <c r="D23" s="127">
        <f>C23*$C$62</f>
        <v>106.80648659979505</v>
      </c>
      <c r="E23" s="145">
        <f>$C$56</f>
        <v>31.279197564107822</v>
      </c>
      <c r="F23" s="127">
        <f t="shared" si="1"/>
        <v>63.77</v>
      </c>
      <c r="G23" s="129">
        <f t="shared" ref="G23" si="2">(D23+E23+F23)/(8.76*$C$63)</f>
        <v>52.826424392634316</v>
      </c>
      <c r="H23" s="373">
        <v>0.80400000000000005</v>
      </c>
      <c r="I23" s="127"/>
      <c r="J23" s="129">
        <f t="shared" ref="J23" si="3">(G23+H23+I23)</f>
        <v>53.630424392634318</v>
      </c>
      <c r="K23" s="129">
        <f t="shared" ref="K23" si="4">ROUND(J23*$C$63*8.76,2)</f>
        <v>204.93</v>
      </c>
      <c r="L23" s="127">
        <f t="shared" ref="L23" si="5">(D23+E23+F23)</f>
        <v>201.85568416390288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ref="D24:D37" si="6">ROUND(D23*(1+IRP21_Infl_Rate),2)</f>
        <v>109.11</v>
      </c>
      <c r="E24" s="127">
        <f t="shared" ref="E24:E37" si="7">ROUND(E23*(1+IRP21_Infl_Rate),2)</f>
        <v>31.95</v>
      </c>
      <c r="F24" s="127">
        <f t="shared" si="1"/>
        <v>65.14</v>
      </c>
      <c r="G24" s="129">
        <f t="shared" ref="G24:G37" si="8">(D24+E24+F24)/(8.76*$C$63)</f>
        <v>53.96334888898371</v>
      </c>
      <c r="H24" s="127">
        <f t="shared" ref="H24:H37" si="9">ROUND(H23*(1+IRP21_Infl_Rate),2)</f>
        <v>0.82</v>
      </c>
      <c r="I24" s="127"/>
      <c r="J24" s="129">
        <f t="shared" ref="J24:J37" si="10">(G24+H24+I24)</f>
        <v>54.78334888898371</v>
      </c>
      <c r="K24" s="129">
        <f t="shared" ref="K24:K32" si="11">ROUND(J24*$C$63*8.76,2)</f>
        <v>209.33</v>
      </c>
      <c r="L24" s="127">
        <f t="shared" ref="L24:L37" si="12">(D24+E24+F24)</f>
        <v>206.2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6"/>
        <v>111.46</v>
      </c>
      <c r="E25" s="127">
        <f t="shared" si="7"/>
        <v>32.64</v>
      </c>
      <c r="F25" s="127">
        <f t="shared" si="1"/>
        <v>66.540000000000006</v>
      </c>
      <c r="G25" s="129">
        <f t="shared" si="8"/>
        <v>55.12531430637987</v>
      </c>
      <c r="H25" s="127">
        <f t="shared" si="9"/>
        <v>0.84</v>
      </c>
      <c r="I25" s="127"/>
      <c r="J25" s="129">
        <f t="shared" si="10"/>
        <v>55.965314306379874</v>
      </c>
      <c r="K25" s="129">
        <f t="shared" si="11"/>
        <v>213.85</v>
      </c>
      <c r="L25" s="127">
        <f t="shared" si="12"/>
        <v>210.64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6"/>
        <v>113.86</v>
      </c>
      <c r="E26" s="127">
        <f t="shared" si="7"/>
        <v>33.340000000000003</v>
      </c>
      <c r="F26" s="127">
        <f t="shared" si="1"/>
        <v>67.97</v>
      </c>
      <c r="G26" s="129">
        <f t="shared" si="8"/>
        <v>56.310833076831358</v>
      </c>
      <c r="H26" s="127">
        <f t="shared" si="9"/>
        <v>0.86</v>
      </c>
      <c r="I26" s="127"/>
      <c r="J26" s="129">
        <f t="shared" si="10"/>
        <v>57.170833076831357</v>
      </c>
      <c r="K26" s="129">
        <f t="shared" si="11"/>
        <v>218.46</v>
      </c>
      <c r="L26" s="127">
        <f t="shared" si="12"/>
        <v>215.17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6"/>
        <v>116.31</v>
      </c>
      <c r="E27" s="127">
        <f t="shared" si="7"/>
        <v>34.06</v>
      </c>
      <c r="F27" s="127">
        <f t="shared" si="1"/>
        <v>69.430000000000007</v>
      </c>
      <c r="G27" s="129">
        <f t="shared" si="8"/>
        <v>57.522522239566541</v>
      </c>
      <c r="H27" s="127">
        <f t="shared" si="9"/>
        <v>0.88</v>
      </c>
      <c r="I27" s="127"/>
      <c r="J27" s="129">
        <f t="shared" si="10"/>
        <v>58.402522239566544</v>
      </c>
      <c r="K27" s="129">
        <f t="shared" si="11"/>
        <v>223.16</v>
      </c>
      <c r="L27" s="127">
        <f t="shared" si="12"/>
        <v>219.8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6"/>
        <v>118.82</v>
      </c>
      <c r="E28" s="127">
        <f t="shared" si="7"/>
        <v>34.79</v>
      </c>
      <c r="F28" s="127">
        <f t="shared" si="1"/>
        <v>70.930000000000007</v>
      </c>
      <c r="G28" s="129">
        <f t="shared" si="8"/>
        <v>58.762998833813789</v>
      </c>
      <c r="H28" s="127">
        <f t="shared" si="9"/>
        <v>0.9</v>
      </c>
      <c r="I28" s="127"/>
      <c r="J28" s="129">
        <f t="shared" si="10"/>
        <v>59.662998833813788</v>
      </c>
      <c r="K28" s="129">
        <f t="shared" si="11"/>
        <v>227.98</v>
      </c>
      <c r="L28" s="127">
        <f t="shared" si="12"/>
        <v>224.54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6"/>
        <v>121.38</v>
      </c>
      <c r="E29" s="127">
        <f t="shared" si="7"/>
        <v>35.54</v>
      </c>
      <c r="F29" s="127">
        <f t="shared" si="1"/>
        <v>72.459999999999994</v>
      </c>
      <c r="G29" s="129">
        <f t="shared" si="8"/>
        <v>60.029645820344733</v>
      </c>
      <c r="H29" s="127">
        <f t="shared" si="9"/>
        <v>0.92</v>
      </c>
      <c r="I29" s="127"/>
      <c r="J29" s="129">
        <f t="shared" si="10"/>
        <v>60.949645820344735</v>
      </c>
      <c r="K29" s="129">
        <f t="shared" si="11"/>
        <v>232.9</v>
      </c>
      <c r="L29" s="127">
        <f t="shared" si="12"/>
        <v>229.38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6"/>
        <v>124</v>
      </c>
      <c r="E30" s="127">
        <f t="shared" si="7"/>
        <v>36.31</v>
      </c>
      <c r="F30" s="127">
        <f t="shared" si="1"/>
        <v>74.02</v>
      </c>
      <c r="G30" s="129">
        <f t="shared" si="8"/>
        <v>61.325080238387748</v>
      </c>
      <c r="H30" s="127">
        <f t="shared" si="9"/>
        <v>0.94</v>
      </c>
      <c r="I30" s="127"/>
      <c r="J30" s="129">
        <f t="shared" si="10"/>
        <v>62.265080238387746</v>
      </c>
      <c r="K30" s="129">
        <f t="shared" si="11"/>
        <v>237.92</v>
      </c>
      <c r="L30" s="127">
        <f t="shared" si="12"/>
        <v>234.32999999999998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6"/>
        <v>126.67</v>
      </c>
      <c r="E31" s="127">
        <f t="shared" si="7"/>
        <v>37.090000000000003</v>
      </c>
      <c r="F31" s="127">
        <f t="shared" si="1"/>
        <v>75.62</v>
      </c>
      <c r="G31" s="129">
        <f t="shared" si="8"/>
        <v>62.64668504871446</v>
      </c>
      <c r="H31" s="127">
        <f t="shared" si="9"/>
        <v>0.96</v>
      </c>
      <c r="I31" s="127"/>
      <c r="J31" s="129">
        <f t="shared" si="10"/>
        <v>63.606685048714461</v>
      </c>
      <c r="K31" s="129">
        <f t="shared" si="11"/>
        <v>243.05</v>
      </c>
      <c r="L31" s="127">
        <f t="shared" si="12"/>
        <v>239.38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6"/>
        <v>129.4</v>
      </c>
      <c r="E32" s="127">
        <f t="shared" si="7"/>
        <v>37.89</v>
      </c>
      <c r="F32" s="127">
        <f t="shared" si="1"/>
        <v>77.25</v>
      </c>
      <c r="G32" s="129">
        <f t="shared" si="8"/>
        <v>63.997077290553243</v>
      </c>
      <c r="H32" s="127">
        <f t="shared" si="9"/>
        <v>0.98</v>
      </c>
      <c r="I32" s="127"/>
      <c r="J32" s="129">
        <f t="shared" si="10"/>
        <v>64.97707729055324</v>
      </c>
      <c r="K32" s="129">
        <f t="shared" si="11"/>
        <v>248.28</v>
      </c>
      <c r="L32" s="127">
        <f t="shared" si="12"/>
        <v>244.54000000000002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6"/>
        <v>132.19</v>
      </c>
      <c r="E33" s="127">
        <f t="shared" si="7"/>
        <v>38.71</v>
      </c>
      <c r="F33" s="127">
        <f t="shared" si="1"/>
        <v>78.91</v>
      </c>
      <c r="G33" s="129">
        <f t="shared" si="8"/>
        <v>65.376256963904083</v>
      </c>
      <c r="H33" s="127">
        <f t="shared" si="9"/>
        <v>1</v>
      </c>
      <c r="I33" s="127"/>
      <c r="J33" s="129">
        <f t="shared" si="10"/>
        <v>66.376256963904083</v>
      </c>
      <c r="K33" s="129">
        <f t="shared" ref="K33:K37" si="13">ROUND(J33*$C$63*8.76,2)</f>
        <v>253.63</v>
      </c>
      <c r="L33" s="127">
        <f t="shared" si="12"/>
        <v>249.81</v>
      </c>
      <c r="M33" s="118"/>
      <c r="O33" s="116"/>
    </row>
    <row r="34" spans="2:15">
      <c r="B34" s="133">
        <f t="shared" si="0"/>
        <v>2040</v>
      </c>
      <c r="C34" s="134"/>
      <c r="D34" s="127">
        <f t="shared" si="6"/>
        <v>135.04</v>
      </c>
      <c r="E34" s="127">
        <f t="shared" si="7"/>
        <v>39.54</v>
      </c>
      <c r="F34" s="127">
        <f t="shared" si="1"/>
        <v>80.61</v>
      </c>
      <c r="G34" s="129">
        <f t="shared" si="8"/>
        <v>66.784224068766989</v>
      </c>
      <c r="H34" s="127">
        <f t="shared" si="9"/>
        <v>1.02</v>
      </c>
      <c r="I34" s="127"/>
      <c r="J34" s="129">
        <f t="shared" si="10"/>
        <v>67.804224068766985</v>
      </c>
      <c r="K34" s="129">
        <f t="shared" si="13"/>
        <v>259.08999999999997</v>
      </c>
      <c r="L34" s="127">
        <f t="shared" si="12"/>
        <v>255.19</v>
      </c>
      <c r="M34" s="118"/>
      <c r="O34" s="116"/>
    </row>
    <row r="35" spans="2:15">
      <c r="B35" s="133">
        <f t="shared" si="0"/>
        <v>2041</v>
      </c>
      <c r="C35" s="134"/>
      <c r="D35" s="127">
        <f t="shared" si="6"/>
        <v>137.94999999999999</v>
      </c>
      <c r="E35" s="127">
        <f t="shared" si="7"/>
        <v>40.39</v>
      </c>
      <c r="F35" s="127">
        <f t="shared" si="1"/>
        <v>82.35</v>
      </c>
      <c r="G35" s="129">
        <f t="shared" si="8"/>
        <v>68.223595644370334</v>
      </c>
      <c r="H35" s="127">
        <f t="shared" si="9"/>
        <v>1.04</v>
      </c>
      <c r="I35" s="127"/>
      <c r="J35" s="129">
        <f t="shared" si="10"/>
        <v>69.263595644370341</v>
      </c>
      <c r="K35" s="129">
        <f t="shared" si="13"/>
        <v>264.66000000000003</v>
      </c>
      <c r="L35" s="127">
        <f t="shared" si="12"/>
        <v>260.68999999999994</v>
      </c>
      <c r="M35" s="118"/>
      <c r="O35" s="116"/>
    </row>
    <row r="36" spans="2:15">
      <c r="B36" s="133">
        <f t="shared" si="0"/>
        <v>2042</v>
      </c>
      <c r="C36" s="134"/>
      <c r="D36" s="127">
        <f t="shared" si="6"/>
        <v>140.91999999999999</v>
      </c>
      <c r="E36" s="127">
        <f t="shared" si="7"/>
        <v>41.26</v>
      </c>
      <c r="F36" s="127">
        <f t="shared" si="1"/>
        <v>84.12</v>
      </c>
      <c r="G36" s="129">
        <f t="shared" si="8"/>
        <v>69.691754651485752</v>
      </c>
      <c r="H36" s="127">
        <f t="shared" si="9"/>
        <v>1.06</v>
      </c>
      <c r="I36" s="127"/>
      <c r="J36" s="129">
        <f t="shared" si="10"/>
        <v>70.751754651485754</v>
      </c>
      <c r="K36" s="129">
        <f t="shared" si="13"/>
        <v>270.35000000000002</v>
      </c>
      <c r="L36" s="127">
        <f t="shared" si="12"/>
        <v>266.29999999999995</v>
      </c>
      <c r="M36" s="118"/>
      <c r="O36" s="116"/>
    </row>
    <row r="37" spans="2:15">
      <c r="B37" s="133">
        <f t="shared" si="0"/>
        <v>2043</v>
      </c>
      <c r="C37" s="134"/>
      <c r="D37" s="127">
        <f t="shared" si="6"/>
        <v>143.96</v>
      </c>
      <c r="E37" s="127">
        <f t="shared" si="7"/>
        <v>42.15</v>
      </c>
      <c r="F37" s="127">
        <f t="shared" si="1"/>
        <v>85.93</v>
      </c>
      <c r="G37" s="129">
        <f t="shared" si="8"/>
        <v>71.193935168569979</v>
      </c>
      <c r="H37" s="127">
        <f t="shared" si="9"/>
        <v>1.08</v>
      </c>
      <c r="I37" s="127"/>
      <c r="J37" s="129">
        <f t="shared" si="10"/>
        <v>72.273935168569977</v>
      </c>
      <c r="K37" s="129">
        <f t="shared" si="13"/>
        <v>276.17</v>
      </c>
      <c r="L37" s="127">
        <f t="shared" si="12"/>
        <v>272.04000000000002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8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Wyoming Wind Resource - 44%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2029</v>
      </c>
    </row>
    <row r="55" spans="2:28">
      <c r="B55" s="334" t="s">
        <v>210</v>
      </c>
      <c r="C55" s="367">
        <f>124858.71752446/81.589034</f>
        <v>1530.3370000000245</v>
      </c>
      <c r="D55" s="116" t="s">
        <v>65</v>
      </c>
      <c r="P55" s="116">
        <v>81.589033999999998</v>
      </c>
      <c r="Q55" s="116" t="s">
        <v>32</v>
      </c>
    </row>
    <row r="56" spans="2:28">
      <c r="B56" s="334" t="s">
        <v>210</v>
      </c>
      <c r="C56" s="145">
        <f>2552.03951355071/81.589034</f>
        <v>31.279197564107822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 t="s">
        <v>210</v>
      </c>
      <c r="C58" s="145">
        <v>0.78700000000000003</v>
      </c>
      <c r="D58" s="116" t="s">
        <v>69</v>
      </c>
      <c r="F58" s="116" t="s">
        <v>128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/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 t="str">
        <f>LEFT(RIGHT(INDEX('Table 3 TransCost'!$39:$39,1,MATCH(F60,'Table 3 TransCost'!$4:$4,0)),6),5)</f>
        <v>2025$</v>
      </c>
      <c r="C60" s="148">
        <f>INDEX('Table 3 TransCost'!$39:$39,1,MATCH(F60,'Table 3 TransCost'!$4:$4,0)+2)</f>
        <v>58.544856686682266</v>
      </c>
      <c r="D60" s="116" t="s">
        <v>150</v>
      </c>
      <c r="F60" s="116" t="s">
        <v>145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0.43620000000024889</v>
      </c>
      <c r="D63" s="116" t="s">
        <v>37</v>
      </c>
    </row>
    <row r="64" spans="2:28">
      <c r="D64" s="149"/>
    </row>
    <row r="65" spans="15:15" s="118" customFormat="1">
      <c r="O65" s="157"/>
    </row>
    <row r="66" spans="15:15" s="118" customFormat="1">
      <c r="O66" s="157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  <row r="92" spans="3:4">
      <c r="C92" s="146"/>
      <c r="D92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9"/>
  <sheetViews>
    <sheetView view="pageBreakPreview" zoomScale="60" zoomScaleNormal="70" workbookViewId="0">
      <selection activeCell="K36" sqref="K36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83203125" style="116" customWidth="1"/>
    <col min="6" max="6" width="13.5" style="116" customWidth="1"/>
    <col min="7" max="7" width="9.5" style="116" bestFit="1" customWidth="1"/>
    <col min="8" max="8" width="13.1640625" style="116" customWidth="1"/>
    <col min="9" max="9" width="10.5" style="116" customWidth="1"/>
    <col min="10" max="10" width="12.6640625" style="116" customWidth="1"/>
    <col min="11" max="11" width="14" style="116" customWidth="1"/>
    <col min="12" max="12" width="13.1640625" style="116" customWidth="1"/>
    <col min="13" max="13" width="3.1640625" style="116" customWidth="1"/>
    <col min="14" max="14" width="15" style="116" hidden="1" customWidth="1"/>
    <col min="15" max="15" width="5.6640625" style="154" customWidth="1"/>
    <col min="16" max="16" width="9.33203125" style="116"/>
    <col min="17" max="17" width="10" style="116" customWidth="1"/>
    <col min="18" max="18" width="12.6640625" style="116" customWidth="1"/>
    <col min="19" max="19" width="18.164062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75">
      <c r="B2" s="114" t="s">
        <v>222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75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173</v>
      </c>
      <c r="J5" s="120" t="s">
        <v>73</v>
      </c>
      <c r="K5" s="17" t="s">
        <v>52</v>
      </c>
      <c r="L5" s="120" t="s">
        <v>151</v>
      </c>
      <c r="N5" s="202"/>
      <c r="O5" s="202"/>
      <c r="Q5" s="202"/>
      <c r="S5" s="259"/>
      <c r="U5" s="257"/>
      <c r="V5" s="258"/>
      <c r="W5" s="257"/>
      <c r="X5" s="258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0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75">
      <c r="B9" s="43" t="str">
        <f>C52</f>
        <v>2021 IRP Update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 hidden="1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5"/>
    </row>
    <row r="11" spans="2:25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7"/>
      <c r="J12" s="129"/>
      <c r="K12" s="129"/>
      <c r="L12" s="127"/>
      <c r="M12" s="118"/>
      <c r="O12" s="116"/>
      <c r="S12" s="145"/>
      <c r="U12" s="154"/>
      <c r="V12" s="148"/>
      <c r="W12" s="148"/>
    </row>
    <row r="13" spans="2:25" hidden="1">
      <c r="B13" s="133">
        <f t="shared" si="0"/>
        <v>2019</v>
      </c>
      <c r="C13" s="134"/>
      <c r="D13" s="127"/>
      <c r="E13" s="145"/>
      <c r="F13" s="145"/>
      <c r="G13" s="129"/>
      <c r="H13" s="127"/>
      <c r="I13" s="127"/>
      <c r="J13" s="129"/>
      <c r="K13" s="129"/>
      <c r="L13" s="127"/>
      <c r="M13" s="118"/>
      <c r="O13" s="116"/>
      <c r="W13" s="148"/>
    </row>
    <row r="14" spans="2:25">
      <c r="B14" s="133">
        <f t="shared" si="0"/>
        <v>2020</v>
      </c>
      <c r="C14" s="134"/>
      <c r="D14" s="127"/>
      <c r="E14" s="145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364"/>
      <c r="R14" s="365"/>
      <c r="W14" s="148"/>
    </row>
    <row r="15" spans="2:25">
      <c r="B15" s="133">
        <f t="shared" si="0"/>
        <v>2021</v>
      </c>
      <c r="C15" s="134"/>
      <c r="D15" s="127"/>
      <c r="E15" s="145"/>
      <c r="F15" s="127"/>
      <c r="G15" s="129"/>
      <c r="H15" s="127"/>
      <c r="I15" s="127"/>
      <c r="J15" s="129"/>
      <c r="K15" s="129"/>
      <c r="L15" s="127"/>
      <c r="M15" s="118"/>
      <c r="O15" s="116"/>
      <c r="P15" s="366"/>
      <c r="Q15" s="364"/>
      <c r="R15" s="365"/>
      <c r="W15" s="148"/>
    </row>
    <row r="16" spans="2:25">
      <c r="B16" s="133">
        <f t="shared" si="0"/>
        <v>2022</v>
      </c>
      <c r="C16" s="134"/>
      <c r="D16" s="127"/>
      <c r="E16" s="145"/>
      <c r="F16" s="127"/>
      <c r="G16" s="129"/>
      <c r="H16" s="127"/>
      <c r="I16" s="127"/>
      <c r="J16" s="129"/>
      <c r="K16" s="129"/>
      <c r="L16" s="127"/>
      <c r="M16" s="118"/>
      <c r="O16" s="116"/>
      <c r="W16" s="148"/>
    </row>
    <row r="17" spans="2:26">
      <c r="B17" s="133">
        <f t="shared" si="0"/>
        <v>2023</v>
      </c>
      <c r="C17" s="134"/>
      <c r="D17" s="127"/>
      <c r="E17" s="145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48"/>
    </row>
    <row r="18" spans="2:26">
      <c r="B18" s="133">
        <f t="shared" si="0"/>
        <v>2024</v>
      </c>
      <c r="C18" s="134"/>
      <c r="D18" s="127"/>
      <c r="E18" s="145"/>
      <c r="F18" s="354"/>
      <c r="G18" s="129"/>
      <c r="H18" s="127"/>
      <c r="I18" s="127"/>
      <c r="J18" s="129"/>
      <c r="K18" s="129"/>
      <c r="L18" s="127"/>
      <c r="M18" s="118"/>
      <c r="O18" s="116"/>
      <c r="Q18" s="129"/>
      <c r="U18" s="154"/>
      <c r="V18" s="148"/>
      <c r="W18" s="148"/>
      <c r="X18" s="148"/>
      <c r="Y18" s="148"/>
      <c r="Z18" s="148"/>
    </row>
    <row r="19" spans="2:26">
      <c r="B19" s="133">
        <f t="shared" si="0"/>
        <v>2025</v>
      </c>
      <c r="C19" s="134"/>
      <c r="D19" s="127"/>
      <c r="E19" s="145"/>
      <c r="F19" s="354"/>
      <c r="G19" s="129"/>
      <c r="H19" s="127"/>
      <c r="I19" s="127"/>
      <c r="J19" s="129"/>
      <c r="K19" s="129"/>
      <c r="L19" s="127"/>
      <c r="M19" s="118"/>
      <c r="O19" s="116"/>
      <c r="Q19" s="129"/>
      <c r="U19" s="154"/>
      <c r="V19" s="148"/>
      <c r="W19" s="148"/>
      <c r="X19" s="148"/>
      <c r="Y19" s="148"/>
      <c r="Z19" s="148"/>
    </row>
    <row r="20" spans="2:26">
      <c r="B20" s="133">
        <f t="shared" si="0"/>
        <v>2026</v>
      </c>
      <c r="C20" s="134"/>
      <c r="D20" s="127"/>
      <c r="E20" s="145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48"/>
      <c r="U20" s="154"/>
      <c r="V20" s="148"/>
      <c r="W20" s="148"/>
      <c r="X20" s="148"/>
      <c r="Y20" s="148"/>
      <c r="Z20" s="148"/>
    </row>
    <row r="21" spans="2:26">
      <c r="B21" s="133">
        <f t="shared" si="0"/>
        <v>2027</v>
      </c>
      <c r="C21" s="134"/>
      <c r="D21" s="127"/>
      <c r="E21" s="145"/>
      <c r="F21" s="127"/>
      <c r="G21" s="129"/>
      <c r="H21" s="188"/>
      <c r="I21" s="127"/>
      <c r="J21" s="129"/>
      <c r="K21" s="129"/>
      <c r="L21" s="127"/>
      <c r="M21" s="118"/>
      <c r="O21" s="116"/>
      <c r="Q21" s="129"/>
      <c r="S21" s="148"/>
      <c r="U21" s="154"/>
      <c r="V21" s="148"/>
      <c r="W21" s="148"/>
      <c r="X21" s="148"/>
      <c r="Y21" s="148"/>
      <c r="Z21" s="148"/>
    </row>
    <row r="22" spans="2:26">
      <c r="B22" s="133">
        <f t="shared" si="0"/>
        <v>2028</v>
      </c>
      <c r="C22" s="134">
        <v>1507.771</v>
      </c>
      <c r="D22" s="127">
        <f>C22*$C$62</f>
        <v>105.23154253413436</v>
      </c>
      <c r="E22" s="127">
        <f>$C$56</f>
        <v>30.703238469381766</v>
      </c>
      <c r="F22" s="127"/>
      <c r="G22" s="129">
        <f t="shared" ref="G22:G23" si="1">(D22+E22+F22)/(8.76*$C$63)</f>
        <v>35.574665438604931</v>
      </c>
      <c r="H22" s="373">
        <f>C58</f>
        <v>0.77100000000000002</v>
      </c>
      <c r="I22" s="127"/>
      <c r="J22" s="129">
        <f t="shared" ref="J22:J23" si="2">(G22+H22+I22)</f>
        <v>36.345665438604932</v>
      </c>
      <c r="K22" s="129">
        <f t="shared" ref="K22:K23" si="3">ROUND(J22*$C$63*8.76,2)</f>
        <v>138.88</v>
      </c>
      <c r="L22" s="127">
        <f t="shared" ref="L22:L23" si="4">(D22+E22+F22)</f>
        <v>135.93478100351612</v>
      </c>
      <c r="M22" s="118"/>
      <c r="O22" s="116"/>
      <c r="Q22" s="129"/>
      <c r="S22" s="148"/>
      <c r="U22" s="154"/>
      <c r="V22" s="148"/>
      <c r="W22" s="148"/>
      <c r="X22" s="148"/>
      <c r="Y22" s="148"/>
      <c r="Z22" s="148"/>
    </row>
    <row r="23" spans="2:26">
      <c r="B23" s="133">
        <f t="shared" si="0"/>
        <v>2029</v>
      </c>
      <c r="C23" s="134"/>
      <c r="D23" s="127">
        <f t="shared" ref="D23:D37" si="5">ROUND(D22*(1+IRP21_Infl_Rate),2)</f>
        <v>107.5</v>
      </c>
      <c r="E23" s="127">
        <f t="shared" ref="E23:E37" si="6">ROUND(E22*(1+IRP21_Infl_Rate),2)</f>
        <v>31.36</v>
      </c>
      <c r="F23" s="127"/>
      <c r="G23" s="129">
        <f t="shared" si="1"/>
        <v>36.340206725141996</v>
      </c>
      <c r="H23" s="127">
        <f t="shared" ref="H23:H37" si="7">ROUND(H22*(1+IRP21_Infl_Rate),2)</f>
        <v>0.79</v>
      </c>
      <c r="I23" s="127"/>
      <c r="J23" s="129">
        <f t="shared" si="2"/>
        <v>37.130206725141996</v>
      </c>
      <c r="K23" s="129">
        <f t="shared" si="3"/>
        <v>141.88</v>
      </c>
      <c r="L23" s="127">
        <f t="shared" si="4"/>
        <v>138.86000000000001</v>
      </c>
      <c r="M23" s="118"/>
      <c r="O23" s="116"/>
      <c r="Q23" s="129"/>
      <c r="S23" s="148"/>
      <c r="U23" s="154"/>
      <c r="V23" s="148"/>
      <c r="W23" s="148"/>
      <c r="X23" s="148"/>
      <c r="Y23" s="148"/>
      <c r="Z23" s="148"/>
    </row>
    <row r="24" spans="2:26">
      <c r="B24" s="133">
        <f t="shared" si="0"/>
        <v>2030</v>
      </c>
      <c r="C24" s="134"/>
      <c r="D24" s="127">
        <f t="shared" si="5"/>
        <v>109.82</v>
      </c>
      <c r="E24" s="127">
        <f t="shared" si="6"/>
        <v>32.04</v>
      </c>
      <c r="F24" s="127"/>
      <c r="G24" s="129">
        <f t="shared" ref="G24" si="8">(D24+E24+F24)/(8.76*$C$63)</f>
        <v>37.125318493652905</v>
      </c>
      <c r="H24" s="127">
        <f t="shared" si="7"/>
        <v>0.81</v>
      </c>
      <c r="I24" s="127"/>
      <c r="J24" s="129">
        <f t="shared" ref="J24" si="9">(G24+H24+I24)</f>
        <v>37.935318493652908</v>
      </c>
      <c r="K24" s="129">
        <f t="shared" ref="K24" si="10">ROUND(J24*$C$63*8.76,2)</f>
        <v>144.96</v>
      </c>
      <c r="L24" s="127">
        <f t="shared" ref="L24" si="11">(D24+E24+F24)</f>
        <v>141.85999999999999</v>
      </c>
      <c r="M24" s="118"/>
      <c r="O24" s="116"/>
      <c r="Q24" s="129"/>
      <c r="S24" s="148"/>
      <c r="U24" s="154"/>
      <c r="V24" s="148"/>
      <c r="W24" s="148"/>
      <c r="X24" s="148"/>
      <c r="Y24" s="148"/>
      <c r="Z24" s="148"/>
    </row>
    <row r="25" spans="2:26">
      <c r="B25" s="133">
        <f t="shared" si="0"/>
        <v>2031</v>
      </c>
      <c r="C25" s="134"/>
      <c r="D25" s="127">
        <f t="shared" si="5"/>
        <v>112.19</v>
      </c>
      <c r="E25" s="127">
        <f t="shared" si="6"/>
        <v>32.729999999999997</v>
      </c>
      <c r="F25" s="127"/>
      <c r="G25" s="129">
        <f t="shared" ref="G25:G37" si="12">(D25+E25+F25)/(8.76*$C$63)</f>
        <v>37.926132497534041</v>
      </c>
      <c r="H25" s="127">
        <f t="shared" si="7"/>
        <v>0.83</v>
      </c>
      <c r="I25" s="127"/>
      <c r="J25" s="129">
        <f t="shared" ref="J25:J37" si="13">(G25+H25+I25)</f>
        <v>38.75613249753404</v>
      </c>
      <c r="K25" s="129">
        <f t="shared" ref="K25:K37" si="14">ROUND(J25*$C$63*8.76,2)</f>
        <v>148.09</v>
      </c>
      <c r="L25" s="127">
        <f t="shared" ref="L25:L37" si="15">(D25+E25+F25)</f>
        <v>144.91999999999999</v>
      </c>
      <c r="M25" s="118"/>
      <c r="O25" s="116"/>
      <c r="Q25" s="129"/>
      <c r="S25" s="148"/>
      <c r="U25" s="154"/>
      <c r="V25" s="148"/>
      <c r="W25" s="148"/>
      <c r="X25" s="148"/>
      <c r="Y25" s="148"/>
      <c r="Z25" s="148"/>
    </row>
    <row r="26" spans="2:26">
      <c r="B26" s="133">
        <f t="shared" si="0"/>
        <v>2032</v>
      </c>
      <c r="C26" s="134"/>
      <c r="D26" s="127">
        <f t="shared" si="5"/>
        <v>114.61</v>
      </c>
      <c r="E26" s="127">
        <f t="shared" si="6"/>
        <v>33.44</v>
      </c>
      <c r="F26" s="127"/>
      <c r="G26" s="129">
        <f t="shared" si="12"/>
        <v>38.745265776013774</v>
      </c>
      <c r="H26" s="127">
        <f t="shared" si="7"/>
        <v>0.85</v>
      </c>
      <c r="I26" s="127"/>
      <c r="J26" s="129">
        <f t="shared" si="13"/>
        <v>39.595265776013775</v>
      </c>
      <c r="K26" s="129">
        <f t="shared" si="14"/>
        <v>151.30000000000001</v>
      </c>
      <c r="L26" s="127">
        <f t="shared" si="15"/>
        <v>148.05000000000001</v>
      </c>
      <c r="M26" s="118"/>
      <c r="O26" s="116"/>
      <c r="Q26" s="129"/>
      <c r="S26" s="148"/>
      <c r="U26" s="154"/>
      <c r="V26" s="148"/>
      <c r="W26" s="148"/>
      <c r="X26" s="148"/>
      <c r="Y26" s="148"/>
      <c r="Z26" s="148"/>
    </row>
    <row r="27" spans="2:26">
      <c r="B27" s="133">
        <f t="shared" si="0"/>
        <v>2033</v>
      </c>
      <c r="C27" s="134"/>
      <c r="D27" s="127">
        <f t="shared" si="5"/>
        <v>117.08</v>
      </c>
      <c r="E27" s="127">
        <f t="shared" si="6"/>
        <v>34.159999999999997</v>
      </c>
      <c r="F27" s="127"/>
      <c r="G27" s="129">
        <f t="shared" si="12"/>
        <v>39.580101289863713</v>
      </c>
      <c r="H27" s="127">
        <f t="shared" si="7"/>
        <v>0.87</v>
      </c>
      <c r="I27" s="127"/>
      <c r="J27" s="129">
        <f t="shared" si="13"/>
        <v>40.45010128986371</v>
      </c>
      <c r="K27" s="129">
        <f t="shared" si="14"/>
        <v>154.56</v>
      </c>
      <c r="L27" s="127">
        <f t="shared" si="15"/>
        <v>151.24</v>
      </c>
      <c r="M27" s="118"/>
      <c r="O27" s="116"/>
      <c r="Q27" s="129"/>
      <c r="S27" s="148"/>
      <c r="U27" s="154"/>
      <c r="V27" s="148"/>
      <c r="W27" s="148"/>
      <c r="X27" s="148"/>
      <c r="Y27" s="148"/>
      <c r="Z27" s="148"/>
    </row>
    <row r="28" spans="2:26">
      <c r="B28" s="133">
        <f t="shared" si="0"/>
        <v>2034</v>
      </c>
      <c r="C28" s="134"/>
      <c r="D28" s="127">
        <f t="shared" si="5"/>
        <v>119.6</v>
      </c>
      <c r="E28" s="127">
        <f t="shared" si="6"/>
        <v>34.9</v>
      </c>
      <c r="F28" s="127"/>
      <c r="G28" s="129">
        <f t="shared" si="12"/>
        <v>40.43325607831224</v>
      </c>
      <c r="H28" s="127">
        <f t="shared" si="7"/>
        <v>0.89</v>
      </c>
      <c r="I28" s="127"/>
      <c r="J28" s="129">
        <f t="shared" si="13"/>
        <v>41.323256078312241</v>
      </c>
      <c r="K28" s="129">
        <f t="shared" si="14"/>
        <v>157.9</v>
      </c>
      <c r="L28" s="127">
        <f t="shared" si="15"/>
        <v>154.5</v>
      </c>
      <c r="M28" s="118"/>
      <c r="O28" s="116"/>
      <c r="Q28" s="129"/>
      <c r="S28" s="148"/>
      <c r="U28" s="154"/>
      <c r="V28" s="148"/>
      <c r="W28" s="148"/>
      <c r="X28" s="148"/>
      <c r="Y28" s="148"/>
      <c r="Z28" s="148"/>
    </row>
    <row r="29" spans="2:26">
      <c r="B29" s="133">
        <f t="shared" si="0"/>
        <v>2035</v>
      </c>
      <c r="C29" s="134"/>
      <c r="D29" s="127">
        <f t="shared" si="5"/>
        <v>122.18</v>
      </c>
      <c r="E29" s="127">
        <f t="shared" si="6"/>
        <v>35.65</v>
      </c>
      <c r="F29" s="127"/>
      <c r="G29" s="129">
        <f t="shared" si="12"/>
        <v>41.304730141359364</v>
      </c>
      <c r="H29" s="127">
        <f t="shared" si="7"/>
        <v>0.91</v>
      </c>
      <c r="I29" s="127"/>
      <c r="J29" s="129">
        <f t="shared" si="13"/>
        <v>42.214730141359361</v>
      </c>
      <c r="K29" s="129">
        <f t="shared" si="14"/>
        <v>161.31</v>
      </c>
      <c r="L29" s="127">
        <f t="shared" si="15"/>
        <v>157.83000000000001</v>
      </c>
      <c r="M29" s="118"/>
      <c r="O29" s="116"/>
      <c r="Q29" s="129"/>
      <c r="S29" s="148"/>
      <c r="U29" s="154"/>
      <c r="V29" s="148"/>
      <c r="W29" s="148"/>
      <c r="X29" s="148"/>
      <c r="Y29" s="148"/>
      <c r="Z29" s="148"/>
    </row>
    <row r="30" spans="2:26">
      <c r="B30" s="133">
        <f t="shared" si="0"/>
        <v>2036</v>
      </c>
      <c r="C30" s="134"/>
      <c r="D30" s="127">
        <f t="shared" si="5"/>
        <v>124.81</v>
      </c>
      <c r="E30" s="127">
        <f t="shared" si="6"/>
        <v>36.42</v>
      </c>
      <c r="F30" s="127"/>
      <c r="G30" s="129">
        <f t="shared" si="12"/>
        <v>42.19452347900507</v>
      </c>
      <c r="H30" s="127">
        <f t="shared" si="7"/>
        <v>0.93</v>
      </c>
      <c r="I30" s="127"/>
      <c r="J30" s="129">
        <f t="shared" si="13"/>
        <v>43.12452347900507</v>
      </c>
      <c r="K30" s="129">
        <f t="shared" si="14"/>
        <v>164.78</v>
      </c>
      <c r="L30" s="127">
        <f t="shared" si="15"/>
        <v>161.23000000000002</v>
      </c>
      <c r="M30" s="118"/>
      <c r="O30" s="116"/>
      <c r="Q30" s="129"/>
      <c r="S30" s="148"/>
      <c r="U30" s="154"/>
      <c r="V30" s="148"/>
      <c r="W30" s="148"/>
      <c r="X30" s="148"/>
      <c r="Y30" s="148"/>
      <c r="Z30" s="148"/>
    </row>
    <row r="31" spans="2:26">
      <c r="B31" s="133">
        <f t="shared" si="0"/>
        <v>2037</v>
      </c>
      <c r="C31" s="134"/>
      <c r="D31" s="127">
        <f t="shared" si="5"/>
        <v>127.5</v>
      </c>
      <c r="E31" s="127">
        <f t="shared" si="6"/>
        <v>37.200000000000003</v>
      </c>
      <c r="F31" s="127"/>
      <c r="G31" s="129">
        <f t="shared" si="12"/>
        <v>43.102636091249359</v>
      </c>
      <c r="H31" s="127">
        <f t="shared" si="7"/>
        <v>0.95</v>
      </c>
      <c r="I31" s="127"/>
      <c r="J31" s="129">
        <f t="shared" si="13"/>
        <v>44.052636091249362</v>
      </c>
      <c r="K31" s="129">
        <f t="shared" si="14"/>
        <v>168.33</v>
      </c>
      <c r="L31" s="127">
        <f t="shared" si="15"/>
        <v>164.7</v>
      </c>
      <c r="M31" s="118"/>
      <c r="O31" s="116"/>
      <c r="Q31" s="129"/>
      <c r="S31" s="148"/>
      <c r="U31" s="154"/>
      <c r="V31" s="148"/>
      <c r="W31" s="148"/>
      <c r="X31" s="148"/>
      <c r="Y31" s="148"/>
      <c r="Z31" s="148"/>
    </row>
    <row r="32" spans="2:26">
      <c r="B32" s="133">
        <f t="shared" si="0"/>
        <v>2038</v>
      </c>
      <c r="C32" s="134"/>
      <c r="D32" s="127">
        <f t="shared" si="5"/>
        <v>130.25</v>
      </c>
      <c r="E32" s="127">
        <f t="shared" si="6"/>
        <v>38</v>
      </c>
      <c r="F32" s="127"/>
      <c r="G32" s="129">
        <f t="shared" si="12"/>
        <v>44.031685017320612</v>
      </c>
      <c r="H32" s="127">
        <f t="shared" si="7"/>
        <v>0.97</v>
      </c>
      <c r="I32" s="127"/>
      <c r="J32" s="129">
        <f t="shared" si="13"/>
        <v>45.001685017320611</v>
      </c>
      <c r="K32" s="129">
        <f t="shared" si="14"/>
        <v>171.96</v>
      </c>
      <c r="L32" s="127">
        <f t="shared" si="15"/>
        <v>168.25</v>
      </c>
      <c r="M32" s="118"/>
      <c r="O32" s="116"/>
      <c r="Q32" s="129"/>
      <c r="S32" s="148"/>
      <c r="U32" s="154"/>
      <c r="V32" s="148"/>
      <c r="W32" s="148"/>
      <c r="X32" s="148"/>
      <c r="Y32" s="148"/>
      <c r="Z32" s="148"/>
    </row>
    <row r="33" spans="2:15">
      <c r="B33" s="133">
        <f t="shared" si="0"/>
        <v>2039</v>
      </c>
      <c r="C33" s="134"/>
      <c r="D33" s="127">
        <f t="shared" si="5"/>
        <v>133.06</v>
      </c>
      <c r="E33" s="127">
        <f t="shared" si="6"/>
        <v>38.82</v>
      </c>
      <c r="F33" s="127"/>
      <c r="G33" s="129">
        <f t="shared" si="12"/>
        <v>44.981670257218823</v>
      </c>
      <c r="H33" s="127">
        <f t="shared" si="7"/>
        <v>0.99</v>
      </c>
      <c r="I33" s="127"/>
      <c r="J33" s="129">
        <f t="shared" si="13"/>
        <v>45.971670257218825</v>
      </c>
      <c r="K33" s="129">
        <f t="shared" si="14"/>
        <v>175.66</v>
      </c>
      <c r="L33" s="127">
        <f t="shared" si="15"/>
        <v>171.88</v>
      </c>
      <c r="M33" s="118"/>
      <c r="O33" s="116"/>
    </row>
    <row r="34" spans="2:15">
      <c r="B34" s="133">
        <f t="shared" si="0"/>
        <v>2040</v>
      </c>
      <c r="C34" s="134"/>
      <c r="D34" s="127">
        <f t="shared" si="5"/>
        <v>135.93</v>
      </c>
      <c r="E34" s="127">
        <f t="shared" si="6"/>
        <v>39.659999999999997</v>
      </c>
      <c r="F34" s="127"/>
      <c r="G34" s="129">
        <f t="shared" si="12"/>
        <v>45.952591810943993</v>
      </c>
      <c r="H34" s="127">
        <f t="shared" si="7"/>
        <v>1.01</v>
      </c>
      <c r="I34" s="127"/>
      <c r="J34" s="129">
        <f t="shared" si="13"/>
        <v>46.962591810943991</v>
      </c>
      <c r="K34" s="129">
        <f t="shared" si="14"/>
        <v>179.45</v>
      </c>
      <c r="L34" s="127">
        <f t="shared" si="15"/>
        <v>175.59</v>
      </c>
      <c r="M34" s="118"/>
      <c r="O34" s="116"/>
    </row>
    <row r="35" spans="2:15">
      <c r="B35" s="133">
        <f t="shared" si="0"/>
        <v>2041</v>
      </c>
      <c r="C35" s="134"/>
      <c r="D35" s="127">
        <f t="shared" si="5"/>
        <v>138.86000000000001</v>
      </c>
      <c r="E35" s="127">
        <f t="shared" si="6"/>
        <v>40.51</v>
      </c>
      <c r="F35" s="127"/>
      <c r="G35" s="129">
        <f t="shared" si="12"/>
        <v>46.941832639267744</v>
      </c>
      <c r="H35" s="127">
        <f t="shared" si="7"/>
        <v>1.03</v>
      </c>
      <c r="I35" s="127"/>
      <c r="J35" s="129">
        <f t="shared" si="13"/>
        <v>47.971832639267745</v>
      </c>
      <c r="K35" s="129">
        <f t="shared" si="14"/>
        <v>183.31</v>
      </c>
      <c r="L35" s="127">
        <f t="shared" si="15"/>
        <v>179.37</v>
      </c>
      <c r="M35" s="118"/>
      <c r="O35" s="116"/>
    </row>
    <row r="36" spans="2:15">
      <c r="B36" s="133">
        <f t="shared" si="0"/>
        <v>2042</v>
      </c>
      <c r="C36" s="134"/>
      <c r="D36" s="127">
        <f t="shared" si="5"/>
        <v>141.85</v>
      </c>
      <c r="E36" s="127">
        <f t="shared" si="6"/>
        <v>41.38</v>
      </c>
      <c r="F36" s="127"/>
      <c r="G36" s="129">
        <f t="shared" si="12"/>
        <v>47.952009781418454</v>
      </c>
      <c r="H36" s="127">
        <f t="shared" si="7"/>
        <v>1.05</v>
      </c>
      <c r="I36" s="127"/>
      <c r="J36" s="129">
        <f t="shared" si="13"/>
        <v>49.002009781418451</v>
      </c>
      <c r="K36" s="129">
        <f t="shared" si="14"/>
        <v>187.24</v>
      </c>
      <c r="L36" s="127">
        <f t="shared" si="15"/>
        <v>183.23</v>
      </c>
      <c r="M36" s="118"/>
      <c r="O36" s="116"/>
    </row>
    <row r="37" spans="2:15">
      <c r="B37" s="133">
        <f t="shared" si="0"/>
        <v>2043</v>
      </c>
      <c r="C37" s="134"/>
      <c r="D37" s="127">
        <f t="shared" si="5"/>
        <v>144.91</v>
      </c>
      <c r="E37" s="127">
        <f t="shared" si="6"/>
        <v>42.27</v>
      </c>
      <c r="F37" s="127"/>
      <c r="G37" s="129">
        <f t="shared" si="12"/>
        <v>48.985740276624504</v>
      </c>
      <c r="H37" s="127">
        <f t="shared" si="7"/>
        <v>1.07</v>
      </c>
      <c r="I37" s="127"/>
      <c r="J37" s="129">
        <f t="shared" si="13"/>
        <v>50.055740276624505</v>
      </c>
      <c r="K37" s="129">
        <f t="shared" si="14"/>
        <v>191.27</v>
      </c>
      <c r="L37" s="127">
        <f t="shared" si="15"/>
        <v>187.18</v>
      </c>
    </row>
    <row r="38" spans="2:15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5"/>
    </row>
    <row r="39" spans="2:15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5"/>
    </row>
    <row r="40" spans="2:15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5"/>
    </row>
    <row r="42" spans="2:15" ht="14.25">
      <c r="B42" s="136" t="s">
        <v>25</v>
      </c>
      <c r="C42" s="137"/>
      <c r="D42" s="137"/>
      <c r="E42" s="137"/>
      <c r="F42" s="137"/>
      <c r="G42" s="137"/>
      <c r="H42" s="137"/>
      <c r="I42" s="137"/>
    </row>
    <row r="44" spans="2:15">
      <c r="B44" s="116" t="s">
        <v>63</v>
      </c>
      <c r="C44" s="138" t="s">
        <v>64</v>
      </c>
      <c r="D44" s="281" t="s">
        <v>155</v>
      </c>
    </row>
    <row r="45" spans="2:15">
      <c r="C45" s="138" t="str">
        <f>C7</f>
        <v>(a)</v>
      </c>
      <c r="D45" s="116" t="s">
        <v>65</v>
      </c>
    </row>
    <row r="46" spans="2:15">
      <c r="C46" s="138" t="str">
        <f>D7</f>
        <v>(b)</v>
      </c>
      <c r="D46" s="129" t="str">
        <f>"= "&amp;C7&amp;" x "&amp;C62</f>
        <v>= (a) x 0.0697927885163824</v>
      </c>
    </row>
    <row r="47" spans="2:15">
      <c r="C47" s="138" t="str">
        <f>G7</f>
        <v>(e)</v>
      </c>
      <c r="D47" s="129" t="str">
        <f>"= ("&amp;$D$7&amp;" + "&amp;$E$7&amp;") /  (8.76 x "&amp;TEXT(C63,"0.0%")&amp;")"</f>
        <v>= ((b) + (c)) /  (8.76 x 43.6%)</v>
      </c>
    </row>
    <row r="48" spans="2:15">
      <c r="C48" s="138" t="str">
        <f>J7</f>
        <v>(h)</v>
      </c>
      <c r="D48" s="129" t="str">
        <f>"= "&amp;$G$7&amp;" + "&amp;$H$7&amp;" + "&amp;$I$7</f>
        <v>= (e) + (f) + (g)</v>
      </c>
    </row>
    <row r="49" spans="2:28">
      <c r="C49" s="138" t="str">
        <f>L7</f>
        <v>(i)</v>
      </c>
      <c r="D49" s="85" t="str">
        <f>D44</f>
        <v>Plant Costs  - 2021 IRP Update - Table 7.1 &amp; 7.2</v>
      </c>
      <c r="AB49" s="261"/>
    </row>
    <row r="50" spans="2:28">
      <c r="C50" s="138"/>
      <c r="D50" s="129"/>
    </row>
    <row r="51" spans="2:28" ht="13.5" thickBot="1"/>
    <row r="52" spans="2:28" ht="13.5" thickBot="1">
      <c r="C52" s="42" t="str">
        <f>B2&amp;" - "&amp;B3</f>
        <v>2021 IRP Update Wyoming DJ Wind Resource - 44% Capacity Factor</v>
      </c>
      <c r="D52" s="139"/>
      <c r="E52" s="139"/>
      <c r="F52" s="139"/>
      <c r="G52" s="139"/>
      <c r="H52" s="139"/>
      <c r="I52" s="139"/>
      <c r="J52" s="140"/>
      <c r="K52" s="140"/>
      <c r="L52" s="141"/>
    </row>
    <row r="53" spans="2:28" ht="13.5" thickBot="1">
      <c r="C53" s="142" t="s">
        <v>66</v>
      </c>
      <c r="D53" s="143" t="s">
        <v>67</v>
      </c>
      <c r="E53" s="143"/>
      <c r="F53" s="143"/>
      <c r="G53" s="143"/>
      <c r="H53" s="143"/>
      <c r="I53" s="144"/>
      <c r="J53" s="140"/>
      <c r="K53" s="140"/>
      <c r="L53" s="141"/>
    </row>
    <row r="54" spans="2:28">
      <c r="Q54" s="116" t="s">
        <v>98</v>
      </c>
      <c r="R54" s="116">
        <v>2028</v>
      </c>
    </row>
    <row r="55" spans="2:28">
      <c r="B55" s="334" t="s">
        <v>212</v>
      </c>
      <c r="C55" s="367">
        <f>384481.605/255</f>
        <v>1507.771</v>
      </c>
      <c r="D55" s="116" t="s">
        <v>65</v>
      </c>
      <c r="P55" s="116">
        <v>255</v>
      </c>
      <c r="Q55" s="116" t="s">
        <v>32</v>
      </c>
    </row>
    <row r="56" spans="2:28">
      <c r="B56" s="334" t="s">
        <v>212</v>
      </c>
      <c r="C56" s="145">
        <f>7829.32580969235/255</f>
        <v>30.703238469381766</v>
      </c>
      <c r="D56" s="116" t="s">
        <v>68</v>
      </c>
    </row>
    <row r="57" spans="2:28" ht="24" customHeight="1">
      <c r="B57" s="85"/>
      <c r="C57" s="148"/>
      <c r="D57" s="116" t="s">
        <v>99</v>
      </c>
      <c r="R57" s="202"/>
    </row>
    <row r="58" spans="2:28">
      <c r="B58" s="334" t="s">
        <v>212</v>
      </c>
      <c r="C58" s="145">
        <v>0.77100000000000002</v>
      </c>
      <c r="D58" s="116" t="s">
        <v>69</v>
      </c>
      <c r="F58" s="116" t="s">
        <v>128</v>
      </c>
      <c r="L58" s="118"/>
      <c r="M58" s="368"/>
      <c r="N58" s="52"/>
      <c r="O58" s="156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2"/>
      <c r="D59" s="116" t="s">
        <v>70</v>
      </c>
      <c r="J59" s="369" t="s">
        <v>90</v>
      </c>
      <c r="M59" s="370"/>
      <c r="N59" s="147"/>
      <c r="P59" s="146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34"/>
      <c r="C60" s="148">
        <v>0</v>
      </c>
      <c r="D60" s="116" t="s">
        <v>150</v>
      </c>
      <c r="L60" s="370"/>
      <c r="M60" s="370"/>
      <c r="N60" s="370"/>
      <c r="O60" s="157"/>
      <c r="P60" s="146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9"/>
      <c r="L61" s="370"/>
      <c r="M61" s="370"/>
      <c r="N61" s="370"/>
      <c r="O61" s="157"/>
      <c r="P61" s="370"/>
      <c r="S61" s="118"/>
      <c r="U61" s="118"/>
      <c r="V61" s="118"/>
      <c r="W61" s="118"/>
      <c r="X61" s="118"/>
      <c r="Y61" s="118"/>
      <c r="Z61" s="118"/>
    </row>
    <row r="62" spans="2:28">
      <c r="C62" s="371">
        <v>6.9792788516382376E-2</v>
      </c>
      <c r="D62" s="116" t="s">
        <v>36</v>
      </c>
      <c r="L62" s="271"/>
      <c r="M62" s="150"/>
      <c r="N62" s="150"/>
      <c r="P62" s="151"/>
    </row>
    <row r="63" spans="2:28">
      <c r="C63" s="372">
        <v>0.43620000000024889</v>
      </c>
      <c r="D63" s="116" t="s">
        <v>37</v>
      </c>
    </row>
    <row r="64" spans="2:28">
      <c r="D64" s="149"/>
    </row>
    <row r="80" spans="3:4">
      <c r="C80" s="146"/>
      <c r="D80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</sheetData>
  <printOptions horizontalCentered="1"/>
  <pageMargins left="0.8" right="0.3" top="0.4" bottom="0.4" header="0.5" footer="0.2"/>
  <pageSetup scale="66" orientation="landscape" r:id="rId1"/>
  <headerFooter alignWithMargins="0"/>
  <rowBreaks count="1" manualBreakCount="1">
    <brk id="51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2"/>
  <sheetViews>
    <sheetView view="pageBreakPreview" zoomScale="60" zoomScaleNormal="70" workbookViewId="0">
      <selection activeCell="B11" sqref="B11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182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>
        <f>221123.288/83</f>
        <v>2664.136</v>
      </c>
      <c r="D22" s="127">
        <f>C22*$C$62</f>
        <v>144.36368381336902</v>
      </c>
      <c r="E22" s="127">
        <f>5722.71583561707/83</f>
        <v>68.948383561651454</v>
      </c>
      <c r="F22" s="188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>
        <f t="shared" ref="D23:F37" si="5">ROUND(D22*(1+IRP21_Infl_Rate),2)</f>
        <v>147.47</v>
      </c>
      <c r="E23" s="127">
        <f t="shared" si="5"/>
        <v>70.430000000000007</v>
      </c>
      <c r="F23" s="127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si="5"/>
        <v>150.65</v>
      </c>
      <c r="E24" s="127">
        <f t="shared" si="5"/>
        <v>71.95</v>
      </c>
      <c r="F24" s="127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153.9</v>
      </c>
      <c r="E25" s="127">
        <f t="shared" si="5"/>
        <v>73.5</v>
      </c>
      <c r="F25" s="127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157.22</v>
      </c>
      <c r="E26" s="127">
        <f t="shared" si="5"/>
        <v>75.08</v>
      </c>
      <c r="F26" s="127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160.61000000000001</v>
      </c>
      <c r="E27" s="127">
        <f t="shared" si="5"/>
        <v>76.7</v>
      </c>
      <c r="F27" s="127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164.07</v>
      </c>
      <c r="E28" s="127">
        <f t="shared" si="5"/>
        <v>78.349999999999994</v>
      </c>
      <c r="F28" s="127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167.61</v>
      </c>
      <c r="E29" s="127">
        <f t="shared" si="5"/>
        <v>80.040000000000006</v>
      </c>
      <c r="F29" s="127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171.22</v>
      </c>
      <c r="E30" s="127">
        <f t="shared" si="5"/>
        <v>81.760000000000005</v>
      </c>
      <c r="F30" s="127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174.91</v>
      </c>
      <c r="E31" s="127">
        <f t="shared" si="5"/>
        <v>83.52</v>
      </c>
      <c r="F31" s="127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178.68</v>
      </c>
      <c r="E32" s="127">
        <f t="shared" si="5"/>
        <v>85.32</v>
      </c>
      <c r="F32" s="127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182.53</v>
      </c>
      <c r="E33" s="127">
        <f t="shared" si="5"/>
        <v>87.16</v>
      </c>
      <c r="F33" s="127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186.46</v>
      </c>
      <c r="E34" s="127">
        <f t="shared" si="5"/>
        <v>89.04</v>
      </c>
      <c r="F34" s="127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190.48</v>
      </c>
      <c r="E35" s="127">
        <f t="shared" si="5"/>
        <v>90.96</v>
      </c>
      <c r="F35" s="127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194.58</v>
      </c>
      <c r="E36" s="127">
        <f t="shared" si="5"/>
        <v>92.92</v>
      </c>
      <c r="F36" s="127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198.77</v>
      </c>
      <c r="E37" s="127">
        <f t="shared" si="5"/>
        <v>94.92</v>
      </c>
      <c r="F37" s="127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Southern Oregon Solar with Storage - 29%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2028</v>
      </c>
    </row>
    <row r="55" spans="2:25">
      <c r="B55" s="85" t="s">
        <v>156</v>
      </c>
      <c r="C55" s="367"/>
      <c r="D55" s="116" t="s">
        <v>65</v>
      </c>
      <c r="O55" s="261">
        <v>83</v>
      </c>
      <c r="P55" s="116" t="s">
        <v>32</v>
      </c>
    </row>
    <row r="56" spans="2:25">
      <c r="B56" s="85" t="s">
        <v>156</v>
      </c>
      <c r="C56" s="145"/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156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2028$</v>
      </c>
      <c r="C60" s="148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0.29299999999999998</v>
      </c>
      <c r="D63" s="116" t="s">
        <v>37</v>
      </c>
    </row>
    <row r="64" spans="2:25" ht="13.5" thickBot="1">
      <c r="D64" s="149"/>
    </row>
    <row r="65" spans="3:14" ht="13.5" thickBot="1">
      <c r="C65" s="40" t="str">
        <f>"Company Official Inflation Forecast Dated "&amp;TEXT('Table 4'!$H$5,"mmmm dd, yyyy")</f>
        <v>Company Official Inflation Forecast Dated September 30, 2022</v>
      </c>
      <c r="D65" s="139"/>
      <c r="E65" s="139"/>
      <c r="F65" s="139"/>
      <c r="G65" s="139"/>
      <c r="H65" s="139"/>
      <c r="I65" s="139"/>
      <c r="J65" s="139"/>
      <c r="K65" s="141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2.1999999999999999E-2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2.1999999999999999E-2</v>
      </c>
      <c r="H67" s="41"/>
      <c r="I67" s="87">
        <f>I66+1</f>
        <v>2036</v>
      </c>
      <c r="J67" s="41">
        <v>2.1999999999999999E-2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2.1999999999999999E-2</v>
      </c>
      <c r="H68" s="41"/>
      <c r="I68" s="87">
        <f t="shared" ref="I68:I74" si="8">I67+1</f>
        <v>2037</v>
      </c>
      <c r="J68" s="41">
        <v>2.1999999999999999E-2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2.1999999999999999E-2</v>
      </c>
      <c r="H69" s="41"/>
      <c r="I69" s="87">
        <f t="shared" si="8"/>
        <v>2038</v>
      </c>
      <c r="J69" s="41">
        <v>2.1999999999999999E-2</v>
      </c>
    </row>
    <row r="70" spans="3:14">
      <c r="C70" s="87">
        <f t="shared" si="6"/>
        <v>2021</v>
      </c>
      <c r="D70" s="41">
        <v>4.3999999999999997E-2</v>
      </c>
      <c r="E70" s="85"/>
      <c r="F70" s="87">
        <f t="shared" si="7"/>
        <v>2030</v>
      </c>
      <c r="G70" s="41">
        <v>2.1999999999999999E-2</v>
      </c>
      <c r="H70" s="41"/>
      <c r="I70" s="87">
        <f t="shared" si="8"/>
        <v>2039</v>
      </c>
      <c r="J70" s="41">
        <v>2.1000000000000001E-2</v>
      </c>
    </row>
    <row r="71" spans="3:14">
      <c r="C71" s="87">
        <f t="shared" si="6"/>
        <v>2022</v>
      </c>
      <c r="D71" s="41">
        <v>7.5999999999999998E-2</v>
      </c>
      <c r="E71" s="85"/>
      <c r="F71" s="87">
        <f t="shared" si="7"/>
        <v>2031</v>
      </c>
      <c r="G71" s="41">
        <v>2.1999999999999999E-2</v>
      </c>
      <c r="H71" s="41"/>
      <c r="I71" s="87">
        <f t="shared" si="8"/>
        <v>2040</v>
      </c>
      <c r="J71" s="41">
        <v>2.1999999999999999E-2</v>
      </c>
    </row>
    <row r="72" spans="3:14" s="118" customFormat="1">
      <c r="C72" s="87">
        <f t="shared" si="6"/>
        <v>2023</v>
      </c>
      <c r="D72" s="41">
        <v>0.04</v>
      </c>
      <c r="E72" s="86"/>
      <c r="F72" s="87">
        <f t="shared" si="7"/>
        <v>2032</v>
      </c>
      <c r="G72" s="41">
        <v>2.1999999999999999E-2</v>
      </c>
      <c r="H72" s="41"/>
      <c r="I72" s="87">
        <f t="shared" si="8"/>
        <v>2041</v>
      </c>
      <c r="J72" s="41">
        <v>2.1999999999999999E-2</v>
      </c>
      <c r="N72" s="157"/>
    </row>
    <row r="73" spans="3:14" s="118" customFormat="1">
      <c r="C73" s="87">
        <f t="shared" si="6"/>
        <v>2024</v>
      </c>
      <c r="D73" s="41">
        <v>2.1999999999999999E-2</v>
      </c>
      <c r="E73" s="86"/>
      <c r="F73" s="87">
        <f t="shared" si="7"/>
        <v>2033</v>
      </c>
      <c r="G73" s="41">
        <v>2.1999999999999999E-2</v>
      </c>
      <c r="H73" s="41"/>
      <c r="I73" s="87">
        <f t="shared" si="8"/>
        <v>2042</v>
      </c>
      <c r="J73" s="41">
        <v>2.1999999999999999E-2</v>
      </c>
      <c r="N73" s="157"/>
    </row>
    <row r="74" spans="3:14" s="118" customFormat="1">
      <c r="C74" s="87">
        <f t="shared" si="6"/>
        <v>2025</v>
      </c>
      <c r="D74" s="41">
        <v>2.1000000000000001E-2</v>
      </c>
      <c r="E74" s="86"/>
      <c r="F74" s="87">
        <f t="shared" si="7"/>
        <v>2034</v>
      </c>
      <c r="G74" s="41">
        <v>2.1000000000000001E-2</v>
      </c>
      <c r="H74" s="41"/>
      <c r="I74" s="87">
        <f t="shared" si="8"/>
        <v>2043</v>
      </c>
      <c r="J74" s="41">
        <v>2.1999999999999999E-2</v>
      </c>
      <c r="N74" s="157"/>
    </row>
    <row r="75" spans="3:14" s="118" customFormat="1">
      <c r="N75" s="157"/>
    </row>
    <row r="76" spans="3:14" s="118" customFormat="1">
      <c r="N76" s="157"/>
    </row>
    <row r="93" spans="3:4">
      <c r="C93" s="146"/>
      <c r="D93" s="149"/>
    </row>
    <row r="94" spans="3:4">
      <c r="C94" s="146"/>
      <c r="D94" s="149"/>
    </row>
    <row r="95" spans="3:4">
      <c r="C95" s="146"/>
      <c r="D95" s="149"/>
    </row>
    <row r="96" spans="3:4">
      <c r="C96" s="146"/>
      <c r="D96" s="149"/>
    </row>
    <row r="97" spans="3:4">
      <c r="C97" s="146"/>
      <c r="D97" s="149"/>
    </row>
    <row r="98" spans="3:4">
      <c r="C98" s="146"/>
      <c r="D98" s="149"/>
    </row>
    <row r="99" spans="3:4">
      <c r="C99" s="146"/>
      <c r="D99" s="149"/>
    </row>
    <row r="100" spans="3:4">
      <c r="C100" s="146"/>
      <c r="D100" s="149"/>
    </row>
    <row r="101" spans="3:4">
      <c r="C101" s="146"/>
      <c r="D101" s="149"/>
    </row>
    <row r="102" spans="3:4">
      <c r="C102" s="146"/>
      <c r="D102" s="149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223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88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>
        <f>967346.939/377</f>
        <v>2565.9070000000002</v>
      </c>
      <c r="D24" s="127">
        <f>C24*$C$62</f>
        <v>139.04086985143036</v>
      </c>
      <c r="E24" s="127">
        <f>26737.970999999/377</f>
        <v>70.922999999997344</v>
      </c>
      <c r="F24" s="127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1"/>
        <v>142.04</v>
      </c>
      <c r="E25" s="127">
        <f t="shared" si="1"/>
        <v>72.45</v>
      </c>
      <c r="F25" s="127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1"/>
        <v>145.1</v>
      </c>
      <c r="E26" s="127">
        <f t="shared" si="1"/>
        <v>74.010000000000005</v>
      </c>
      <c r="F26" s="127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1"/>
        <v>148.22999999999999</v>
      </c>
      <c r="E27" s="127">
        <f t="shared" si="1"/>
        <v>75.599999999999994</v>
      </c>
      <c r="F27" s="127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1"/>
        <v>151.41999999999999</v>
      </c>
      <c r="E28" s="127">
        <f t="shared" si="1"/>
        <v>77.23</v>
      </c>
      <c r="F28" s="127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1"/>
        <v>154.68</v>
      </c>
      <c r="E29" s="127">
        <f t="shared" si="1"/>
        <v>78.89</v>
      </c>
      <c r="F29" s="127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1"/>
        <v>158.01</v>
      </c>
      <c r="E30" s="127">
        <f t="shared" si="1"/>
        <v>80.59</v>
      </c>
      <c r="F30" s="127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1"/>
        <v>161.41999999999999</v>
      </c>
      <c r="E31" s="127">
        <f t="shared" si="1"/>
        <v>82.33</v>
      </c>
      <c r="F31" s="127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1"/>
        <v>164.9</v>
      </c>
      <c r="E32" s="127">
        <f t="shared" si="1"/>
        <v>84.1</v>
      </c>
      <c r="F32" s="127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1"/>
        <v>168.45</v>
      </c>
      <c r="E33" s="127">
        <f t="shared" si="1"/>
        <v>85.91</v>
      </c>
      <c r="F33" s="127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1"/>
        <v>172.08</v>
      </c>
      <c r="E34" s="127">
        <f t="shared" si="1"/>
        <v>87.76</v>
      </c>
      <c r="F34" s="127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1"/>
        <v>175.79</v>
      </c>
      <c r="E35" s="127">
        <f t="shared" si="1"/>
        <v>89.65</v>
      </c>
      <c r="F35" s="127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1"/>
        <v>179.58</v>
      </c>
      <c r="E36" s="127">
        <f t="shared" si="1"/>
        <v>91.58</v>
      </c>
      <c r="F36" s="127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1"/>
        <v>183.45</v>
      </c>
      <c r="E37" s="127">
        <f t="shared" si="1"/>
        <v>93.55</v>
      </c>
      <c r="F37" s="127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29.3%)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Southern Oregon Solar with Storage - 29%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2030</v>
      </c>
    </row>
    <row r="55" spans="2:25">
      <c r="B55" s="85" t="s">
        <v>196</v>
      </c>
      <c r="C55" s="367">
        <f>967346.939/377</f>
        <v>2565.9070000000002</v>
      </c>
      <c r="D55" s="116" t="s">
        <v>65</v>
      </c>
      <c r="O55" s="261">
        <v>377</v>
      </c>
      <c r="P55" s="116" t="s">
        <v>32</v>
      </c>
    </row>
    <row r="56" spans="2:25">
      <c r="B56" s="85" t="s">
        <v>196</v>
      </c>
      <c r="C56" s="145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196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2028$</v>
      </c>
      <c r="C60" s="148">
        <f>INDEX('Table 3 TransCost'!$39:$39,1,MATCH(F60,'Table 3 TransCost'!$4:$4,0)+2)</f>
        <v>9.0939944302083777</v>
      </c>
      <c r="D60" s="116" t="s">
        <v>150</v>
      </c>
      <c r="F60" s="116" t="s">
        <v>168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0.2929462477283894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88"/>
  <sheetViews>
    <sheetView view="pageBreakPreview" zoomScale="60" zoomScaleNormal="70" workbookViewId="0">
      <selection activeCell="G25" sqref="G25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224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367">
        <v>2702.6239999999998</v>
      </c>
      <c r="D23" s="127">
        <f>C23*$C$62</f>
        <v>146.44926407751802</v>
      </c>
      <c r="E23" s="127">
        <f>$C$56</f>
        <v>36.305800000007437</v>
      </c>
      <c r="F23" s="188">
        <f>$C$60</f>
        <v>5.6747035126682794</v>
      </c>
      <c r="G23" s="129">
        <f t="shared" ref="G23:G24" si="1">(D23+E23+F23)/(8.76*$C$63)</f>
        <v>86.847268272872057</v>
      </c>
      <c r="H23" s="127"/>
      <c r="I23" s="129">
        <f t="shared" ref="I23:I24" si="2">(G23+H23)</f>
        <v>86.847268272872057</v>
      </c>
      <c r="J23" s="129">
        <f t="shared" ref="J23:J24" si="3">ROUND(I23*$C$63*8.76,2)</f>
        <v>188.43</v>
      </c>
      <c r="K23" s="127">
        <f t="shared" ref="K23:K24" si="4">(D23+E23+F23)</f>
        <v>188.42976759019373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ref="D24:F37" si="5">ROUND(D23*(1+IRP21_Infl_Rate),2)</f>
        <v>149.61000000000001</v>
      </c>
      <c r="E24" s="127">
        <f t="shared" si="5"/>
        <v>37.090000000000003</v>
      </c>
      <c r="F24" s="127">
        <f t="shared" si="5"/>
        <v>5.8</v>
      </c>
      <c r="G24" s="129">
        <f t="shared" si="1"/>
        <v>88.723238139778488</v>
      </c>
      <c r="H24" s="127"/>
      <c r="I24" s="129">
        <f t="shared" si="2"/>
        <v>88.723238139778488</v>
      </c>
      <c r="J24" s="129">
        <f t="shared" si="3"/>
        <v>192.5</v>
      </c>
      <c r="K24" s="127">
        <f t="shared" si="4"/>
        <v>192.50000000000003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152.83000000000001</v>
      </c>
      <c r="E25" s="127">
        <f t="shared" si="5"/>
        <v>37.89</v>
      </c>
      <c r="F25" s="127">
        <f t="shared" si="5"/>
        <v>5.92</v>
      </c>
      <c r="G25" s="129">
        <f t="shared" ref="G25:G37" si="6">(D25+E25+F25)/(8.76*$C$63)</f>
        <v>90.631363884706701</v>
      </c>
      <c r="H25" s="127"/>
      <c r="I25" s="129">
        <f t="shared" ref="I25:I37" si="7">(G25+H25)</f>
        <v>90.631363884706701</v>
      </c>
      <c r="J25" s="129">
        <f t="shared" ref="J25:J37" si="8">ROUND(I25*$C$63*8.76,2)</f>
        <v>196.64</v>
      </c>
      <c r="K25" s="127">
        <f t="shared" ref="K25:K37" si="9">(D25+E25+F25)</f>
        <v>196.64000000000001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156.12</v>
      </c>
      <c r="E26" s="127">
        <f t="shared" si="5"/>
        <v>38.71</v>
      </c>
      <c r="F26" s="127">
        <f t="shared" si="5"/>
        <v>6.05</v>
      </c>
      <c r="G26" s="129">
        <f t="shared" si="6"/>
        <v>92.585579623473777</v>
      </c>
      <c r="H26" s="127"/>
      <c r="I26" s="129">
        <f t="shared" si="7"/>
        <v>92.585579623473777</v>
      </c>
      <c r="J26" s="129">
        <f t="shared" si="8"/>
        <v>200.88</v>
      </c>
      <c r="K26" s="127">
        <f t="shared" si="9"/>
        <v>200.88000000000002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159.47999999999999</v>
      </c>
      <c r="E27" s="127">
        <f t="shared" si="5"/>
        <v>39.54</v>
      </c>
      <c r="F27" s="127">
        <f t="shared" si="5"/>
        <v>6.18</v>
      </c>
      <c r="G27" s="129">
        <f t="shared" si="6"/>
        <v>94.576667357311905</v>
      </c>
      <c r="H27" s="127"/>
      <c r="I27" s="129">
        <f t="shared" si="7"/>
        <v>94.576667357311905</v>
      </c>
      <c r="J27" s="129">
        <f t="shared" si="8"/>
        <v>205.2</v>
      </c>
      <c r="K27" s="127">
        <f t="shared" si="9"/>
        <v>205.2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162.91999999999999</v>
      </c>
      <c r="E28" s="127">
        <f t="shared" si="5"/>
        <v>40.39</v>
      </c>
      <c r="F28" s="127">
        <f t="shared" si="5"/>
        <v>6.31</v>
      </c>
      <c r="G28" s="129">
        <f t="shared" si="6"/>
        <v>96.61384508498891</v>
      </c>
      <c r="H28" s="127"/>
      <c r="I28" s="129">
        <f t="shared" si="7"/>
        <v>96.61384508498891</v>
      </c>
      <c r="J28" s="129">
        <f t="shared" si="8"/>
        <v>209.62</v>
      </c>
      <c r="K28" s="127">
        <f t="shared" si="9"/>
        <v>209.62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166.43</v>
      </c>
      <c r="E29" s="127">
        <f t="shared" si="5"/>
        <v>41.26</v>
      </c>
      <c r="F29" s="127">
        <f t="shared" si="5"/>
        <v>6.45</v>
      </c>
      <c r="G29" s="129">
        <f t="shared" si="6"/>
        <v>98.697112806504734</v>
      </c>
      <c r="H29" s="127"/>
      <c r="I29" s="129">
        <f t="shared" si="7"/>
        <v>98.697112806504734</v>
      </c>
      <c r="J29" s="129">
        <f t="shared" si="8"/>
        <v>214.14</v>
      </c>
      <c r="K29" s="127">
        <f t="shared" si="9"/>
        <v>214.14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170.02</v>
      </c>
      <c r="E30" s="127">
        <f t="shared" si="5"/>
        <v>42.15</v>
      </c>
      <c r="F30" s="127">
        <f t="shared" si="5"/>
        <v>6.59</v>
      </c>
      <c r="G30" s="129">
        <f t="shared" si="6"/>
        <v>100.82647052185943</v>
      </c>
      <c r="H30" s="127"/>
      <c r="I30" s="129">
        <f t="shared" si="7"/>
        <v>100.82647052185943</v>
      </c>
      <c r="J30" s="129">
        <f t="shared" si="8"/>
        <v>218.76</v>
      </c>
      <c r="K30" s="127">
        <f t="shared" si="9"/>
        <v>218.76000000000002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173.68</v>
      </c>
      <c r="E31" s="127">
        <f t="shared" si="5"/>
        <v>43.06</v>
      </c>
      <c r="F31" s="127">
        <f t="shared" si="5"/>
        <v>6.73</v>
      </c>
      <c r="G31" s="129">
        <f t="shared" si="6"/>
        <v>102.99730923166906</v>
      </c>
      <c r="H31" s="127"/>
      <c r="I31" s="129">
        <f t="shared" si="7"/>
        <v>102.99730923166906</v>
      </c>
      <c r="J31" s="129">
        <f t="shared" si="8"/>
        <v>223.47</v>
      </c>
      <c r="K31" s="127">
        <f t="shared" si="9"/>
        <v>223.47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177.42</v>
      </c>
      <c r="E32" s="127">
        <f t="shared" si="5"/>
        <v>43.99</v>
      </c>
      <c r="F32" s="127">
        <f t="shared" si="5"/>
        <v>6.88</v>
      </c>
      <c r="G32" s="129">
        <f t="shared" si="6"/>
        <v>105.21884693470145</v>
      </c>
      <c r="H32" s="127"/>
      <c r="I32" s="129">
        <f t="shared" si="7"/>
        <v>105.21884693470145</v>
      </c>
      <c r="J32" s="129">
        <f t="shared" si="8"/>
        <v>228.29</v>
      </c>
      <c r="K32" s="127">
        <f t="shared" si="9"/>
        <v>228.29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181.24</v>
      </c>
      <c r="E33" s="127">
        <f t="shared" si="5"/>
        <v>44.94</v>
      </c>
      <c r="F33" s="127">
        <f t="shared" si="5"/>
        <v>7.03</v>
      </c>
      <c r="G33" s="129">
        <f t="shared" si="6"/>
        <v>107.48647463157268</v>
      </c>
      <c r="H33" s="127"/>
      <c r="I33" s="129">
        <f t="shared" si="7"/>
        <v>107.48647463157268</v>
      </c>
      <c r="J33" s="129">
        <f t="shared" si="8"/>
        <v>233.21</v>
      </c>
      <c r="K33" s="127">
        <f t="shared" si="9"/>
        <v>233.21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185.15</v>
      </c>
      <c r="E34" s="127">
        <f t="shared" si="5"/>
        <v>45.91</v>
      </c>
      <c r="F34" s="127">
        <f t="shared" si="5"/>
        <v>7.18</v>
      </c>
      <c r="G34" s="129">
        <f t="shared" si="6"/>
        <v>109.80480132166662</v>
      </c>
      <c r="H34" s="127"/>
      <c r="I34" s="129">
        <f t="shared" si="7"/>
        <v>109.80480132166662</v>
      </c>
      <c r="J34" s="129">
        <f t="shared" si="8"/>
        <v>238.24</v>
      </c>
      <c r="K34" s="127">
        <f t="shared" si="9"/>
        <v>238.24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189.14</v>
      </c>
      <c r="E35" s="127">
        <f t="shared" si="5"/>
        <v>46.9</v>
      </c>
      <c r="F35" s="127">
        <f t="shared" si="5"/>
        <v>7.33</v>
      </c>
      <c r="G35" s="129">
        <f t="shared" si="6"/>
        <v>112.16921800559942</v>
      </c>
      <c r="H35" s="127"/>
      <c r="I35" s="129">
        <f t="shared" si="7"/>
        <v>112.16921800559942</v>
      </c>
      <c r="J35" s="129">
        <f t="shared" si="8"/>
        <v>243.37</v>
      </c>
      <c r="K35" s="127">
        <f t="shared" si="9"/>
        <v>243.37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193.22</v>
      </c>
      <c r="E36" s="127">
        <f t="shared" si="5"/>
        <v>47.91</v>
      </c>
      <c r="F36" s="127">
        <f t="shared" si="5"/>
        <v>7.49</v>
      </c>
      <c r="G36" s="129">
        <f t="shared" si="6"/>
        <v>114.58894268213884</v>
      </c>
      <c r="H36" s="127"/>
      <c r="I36" s="129">
        <f t="shared" si="7"/>
        <v>114.58894268213884</v>
      </c>
      <c r="J36" s="129">
        <f t="shared" si="8"/>
        <v>248.62</v>
      </c>
      <c r="K36" s="127">
        <f t="shared" si="9"/>
        <v>248.62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197.38</v>
      </c>
      <c r="E37" s="127">
        <f t="shared" si="5"/>
        <v>48.94</v>
      </c>
      <c r="F37" s="127">
        <f t="shared" si="5"/>
        <v>7.65</v>
      </c>
      <c r="G37" s="129">
        <f t="shared" si="6"/>
        <v>117.05475735251709</v>
      </c>
      <c r="H37" s="127"/>
      <c r="I37" s="129">
        <f t="shared" si="7"/>
        <v>117.05475735251709</v>
      </c>
      <c r="J37" s="129">
        <f t="shared" si="8"/>
        <v>253.97</v>
      </c>
      <c r="K37" s="127">
        <f t="shared" si="9"/>
        <v>253.97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24.8%)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Yakima Solar with Storage - 25%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2029</v>
      </c>
    </row>
    <row r="55" spans="2:25">
      <c r="B55" s="85" t="s">
        <v>198</v>
      </c>
      <c r="C55" s="367">
        <f>+(432419.84/160)</f>
        <v>2702.6240000000003</v>
      </c>
      <c r="D55" s="116" t="s">
        <v>65</v>
      </c>
      <c r="O55" s="261">
        <v>160</v>
      </c>
      <c r="P55" s="116" t="s">
        <v>32</v>
      </c>
    </row>
    <row r="56" spans="2:25">
      <c r="B56" s="85" t="s">
        <v>198</v>
      </c>
      <c r="C56" s="145">
        <f>5808.92800000119/160</f>
        <v>36.305800000007437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198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2029$</v>
      </c>
      <c r="C60" s="148">
        <f>INDEX('Table 3 TransCost'!$39:$39,1,MATCH(F60,'Table 3 TransCost'!$4:$4,0)+2)</f>
        <v>5.6747035126682794</v>
      </c>
      <c r="D60" s="116" t="s">
        <v>150</v>
      </c>
      <c r="F60" s="116" t="s">
        <v>147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0.24767903319904377</v>
      </c>
      <c r="D63" s="116" t="s">
        <v>37</v>
      </c>
    </row>
    <row r="64" spans="2:25">
      <c r="D64" s="149"/>
    </row>
    <row r="79" spans="3:4">
      <c r="C79" s="146"/>
      <c r="D79" s="149"/>
    </row>
    <row r="80" spans="3:4">
      <c r="C80" s="146"/>
      <c r="D80" s="149"/>
    </row>
    <row r="81" spans="3:4">
      <c r="C81" s="146"/>
      <c r="D81" s="149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225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>
        <v>2478.058</v>
      </c>
      <c r="D25" s="127">
        <f>C25*$C$62</f>
        <v>134.28052531221738</v>
      </c>
      <c r="E25" s="127">
        <v>43.61</v>
      </c>
      <c r="F25" s="188">
        <f>$C$60</f>
        <v>12.45513744317196</v>
      </c>
      <c r="G25" s="129">
        <f t="shared" ref="G25:G37" si="1">(D25+E25+F25)/(8.76*$C$63)</f>
        <v>67.383805384409555</v>
      </c>
      <c r="H25" s="127"/>
      <c r="I25" s="129">
        <f t="shared" ref="I25:I37" si="2">(G25+H25)</f>
        <v>67.383805384409555</v>
      </c>
      <c r="J25" s="129">
        <f t="shared" ref="J25:J37" si="3">ROUND(I25*$C$63*8.76,2)</f>
        <v>190.35</v>
      </c>
      <c r="K25" s="127">
        <f t="shared" ref="K25:K37" si="4">(D25+E25+F25)</f>
        <v>190.34566275538936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ref="D26:F37" si="5">ROUND(D25*(1+IRP21_Infl_Rate),2)</f>
        <v>137.16999999999999</v>
      </c>
      <c r="E26" s="127">
        <f t="shared" si="5"/>
        <v>44.55</v>
      </c>
      <c r="F26" s="127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140.13</v>
      </c>
      <c r="E27" s="127">
        <f t="shared" si="5"/>
        <v>45.51</v>
      </c>
      <c r="F27" s="127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143.15</v>
      </c>
      <c r="E28" s="127">
        <f t="shared" si="5"/>
        <v>46.49</v>
      </c>
      <c r="F28" s="127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146.22999999999999</v>
      </c>
      <c r="E29" s="127">
        <f t="shared" si="5"/>
        <v>47.49</v>
      </c>
      <c r="F29" s="127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149.38</v>
      </c>
      <c r="E30" s="127">
        <f t="shared" si="5"/>
        <v>48.51</v>
      </c>
      <c r="F30" s="127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152.6</v>
      </c>
      <c r="E31" s="127">
        <f t="shared" si="5"/>
        <v>49.56</v>
      </c>
      <c r="F31" s="127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155.88999999999999</v>
      </c>
      <c r="E32" s="127">
        <f t="shared" si="5"/>
        <v>50.63</v>
      </c>
      <c r="F32" s="127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159.25</v>
      </c>
      <c r="E33" s="127">
        <f t="shared" si="5"/>
        <v>51.72</v>
      </c>
      <c r="F33" s="127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162.68</v>
      </c>
      <c r="E34" s="127">
        <f t="shared" si="5"/>
        <v>52.83</v>
      </c>
      <c r="F34" s="127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166.19</v>
      </c>
      <c r="E35" s="127">
        <f t="shared" si="5"/>
        <v>53.97</v>
      </c>
      <c r="F35" s="127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169.77</v>
      </c>
      <c r="E36" s="127">
        <f t="shared" si="5"/>
        <v>55.13</v>
      </c>
      <c r="F36" s="127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173.43</v>
      </c>
      <c r="E37" s="127">
        <f t="shared" si="5"/>
        <v>56.32</v>
      </c>
      <c r="F37" s="127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UTN Solar with Storage - 32%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2031</v>
      </c>
    </row>
    <row r="55" spans="2:25">
      <c r="B55" s="85" t="s">
        <v>204</v>
      </c>
      <c r="C55" s="367">
        <f>1551264.308/626</f>
        <v>2478.058</v>
      </c>
      <c r="D55" s="116" t="s">
        <v>65</v>
      </c>
      <c r="O55" s="261">
        <v>626</v>
      </c>
      <c r="P55" s="116" t="s">
        <v>32</v>
      </c>
    </row>
    <row r="56" spans="2:25">
      <c r="B56" s="85" t="s">
        <v>204</v>
      </c>
      <c r="C56" s="145">
        <f>27299.8599999995/626</f>
        <v>43.609999999999197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204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2031$</v>
      </c>
      <c r="C60" s="148">
        <f>INDEX('Table 3 TransCost'!$39:$39,1,MATCH(F60,'Table 3 TransCost'!$4:$4,0)+2)</f>
        <v>12.45513744317196</v>
      </c>
      <c r="D60" s="116" t="s">
        <v>150</v>
      </c>
      <c r="F60" s="116" t="s">
        <v>146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0.32246556589655162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F11" sqref="F11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83203125" customWidth="1"/>
    <col min="11" max="11" width="16.6640625" customWidth="1"/>
    <col min="12" max="12" width="19.1640625" customWidth="1"/>
    <col min="16" max="16" width="16.83203125" customWidth="1"/>
    <col min="17" max="17" width="17.6640625" customWidth="1"/>
    <col min="18" max="18" width="16" customWidth="1"/>
    <col min="19" max="19" width="12.5" customWidth="1"/>
    <col min="20" max="20" width="12.83203125" customWidth="1"/>
    <col min="21" max="21" width="14.6640625" customWidth="1"/>
    <col min="22" max="22" width="12.83203125" customWidth="1"/>
    <col min="23" max="23" width="13.1640625" customWidth="1"/>
    <col min="24" max="24" width="12.6640625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7.1640625" customWidth="1"/>
    <col min="66" max="66" width="16.6640625" customWidth="1"/>
    <col min="67" max="67" width="16" customWidth="1"/>
    <col min="68" max="68" width="17" customWidth="1"/>
    <col min="69" max="69" width="17.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85">
        <v>0</v>
      </c>
      <c r="DC3" t="s">
        <v>87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1" t="s">
        <v>58</v>
      </c>
      <c r="Q4" s="161"/>
      <c r="R4" s="161"/>
      <c r="DB4">
        <v>600</v>
      </c>
      <c r="DC4" t="s">
        <v>88</v>
      </c>
    </row>
    <row r="5" spans="2:107" customFormat="1" ht="15.75">
      <c r="B5" s="4" t="str">
        <f ca="1">'Table 5'!M4&amp; " - "&amp;TEXT(Study_MW,"#.0")&amp;" MW and "&amp;TEXT(Study_CF,"#.0%")&amp;" CF"</f>
        <v>Utah 2022.Q3 - 100.0 MW and 100.0% CF</v>
      </c>
      <c r="C5" s="4"/>
      <c r="D5" s="4"/>
      <c r="E5" s="4"/>
      <c r="F5" s="4"/>
      <c r="G5" s="1"/>
      <c r="H5" s="36"/>
      <c r="I5" s="5"/>
      <c r="P5" s="162">
        <v>0.41156195349570163</v>
      </c>
      <c r="Q5" s="162">
        <v>0.41156195349570163</v>
      </c>
      <c r="R5" s="162">
        <v>0.41156195349570163</v>
      </c>
      <c r="S5" s="162">
        <v>0.30601336826237258</v>
      </c>
      <c r="T5" s="162">
        <v>0.30601336826237258</v>
      </c>
      <c r="U5" s="162">
        <v>0.42792879720636467</v>
      </c>
      <c r="V5" s="162">
        <v>0.82755792378807014</v>
      </c>
      <c r="W5" s="162">
        <v>0.83616598140283749</v>
      </c>
      <c r="X5" s="162">
        <v>0.83616598140283749</v>
      </c>
      <c r="Y5" s="162">
        <v>0.80898596435506986</v>
      </c>
      <c r="Z5" s="162">
        <v>0.82752951363946159</v>
      </c>
      <c r="AA5" s="162">
        <v>0.82752951363946159</v>
      </c>
      <c r="AB5" s="162">
        <v>0.80898596435506986</v>
      </c>
      <c r="AC5" s="162">
        <v>0.80898596435506986</v>
      </c>
      <c r="AD5" s="162">
        <v>0.76684191964285697</v>
      </c>
      <c r="AE5" s="162">
        <v>0.93399999999999994</v>
      </c>
      <c r="AF5" s="162">
        <v>0.93399999999999994</v>
      </c>
      <c r="AG5" s="162"/>
      <c r="AH5" s="162"/>
      <c r="AI5" s="162"/>
      <c r="AJ5" s="162"/>
      <c r="AK5" s="162"/>
      <c r="DB5" s="166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01" t="s">
        <v>74</v>
      </c>
      <c r="AM7" s="201"/>
    </row>
    <row r="8" spans="2:107" s="198" customFormat="1" ht="40.700000000000003" customHeight="1">
      <c r="B8" s="190"/>
      <c r="C8" s="190"/>
      <c r="D8" s="190"/>
      <c r="E8" s="192"/>
      <c r="F8" s="193"/>
      <c r="G8" s="191" t="s">
        <v>14</v>
      </c>
      <c r="H8" s="195"/>
      <c r="I8" s="200"/>
      <c r="K8"/>
      <c r="L8"/>
      <c r="M8"/>
      <c r="P8" s="206"/>
      <c r="Q8" s="206"/>
      <c r="R8" s="206"/>
      <c r="T8" s="206"/>
      <c r="U8" s="203"/>
      <c r="V8" s="206"/>
      <c r="W8" s="206"/>
      <c r="X8" s="206"/>
      <c r="Y8" s="206"/>
      <c r="Z8" s="203"/>
      <c r="AB8" s="206"/>
      <c r="AC8" s="206"/>
      <c r="AE8" s="206"/>
      <c r="AF8" s="206"/>
      <c r="AG8" s="206"/>
      <c r="AL8" s="206">
        <f>P8</f>
        <v>0</v>
      </c>
      <c r="AM8" s="206"/>
      <c r="AN8" s="206">
        <f t="shared" ref="AN8" si="0">R8</f>
        <v>0</v>
      </c>
      <c r="AO8" s="206">
        <f t="shared" ref="AO8" si="1">S8</f>
        <v>0</v>
      </c>
      <c r="AP8" s="206">
        <f t="shared" ref="AP8" si="2">T8</f>
        <v>0</v>
      </c>
      <c r="AQ8" s="206">
        <f t="shared" ref="AQ8" si="3">U8</f>
        <v>0</v>
      </c>
      <c r="AR8" s="206">
        <f t="shared" ref="AR8" si="4">V8</f>
        <v>0</v>
      </c>
      <c r="AS8" s="206">
        <f t="shared" ref="AS8" si="5">W8</f>
        <v>0</v>
      </c>
      <c r="AT8" s="206">
        <f t="shared" ref="AT8" si="6">X8</f>
        <v>0</v>
      </c>
      <c r="AU8" s="206">
        <f t="shared" ref="AU8" si="7">Y8</f>
        <v>0</v>
      </c>
      <c r="AV8" s="206">
        <f t="shared" ref="AV8" si="8">Z8</f>
        <v>0</v>
      </c>
      <c r="AW8" s="206">
        <f t="shared" ref="AW8" si="9">AA8</f>
        <v>0</v>
      </c>
      <c r="AX8" s="206">
        <f t="shared" ref="AX8" si="10">AB8</f>
        <v>0</v>
      </c>
      <c r="AY8" s="206">
        <f t="shared" ref="AY8" si="11">AC8</f>
        <v>0</v>
      </c>
      <c r="AZ8" s="206">
        <f t="shared" ref="AZ8" si="12">AD8</f>
        <v>0</v>
      </c>
      <c r="BA8" s="206">
        <f t="shared" ref="BA8" si="13">AE8</f>
        <v>0</v>
      </c>
      <c r="BB8" s="206">
        <f>AF8</f>
        <v>0</v>
      </c>
      <c r="BC8" s="206">
        <f>AG8</f>
        <v>0</v>
      </c>
      <c r="BD8" s="206"/>
      <c r="BE8" s="206"/>
      <c r="BF8" s="206"/>
      <c r="BH8" s="201" t="s">
        <v>75</v>
      </c>
      <c r="BI8" s="201"/>
      <c r="BJ8" s="201"/>
      <c r="BK8" s="206"/>
      <c r="BL8" s="206"/>
      <c r="BM8" s="206">
        <f t="shared" ref="BL8:BY9" si="14">U8</f>
        <v>0</v>
      </c>
      <c r="BN8" s="206">
        <f t="shared" si="14"/>
        <v>0</v>
      </c>
      <c r="BO8" s="206">
        <f t="shared" si="14"/>
        <v>0</v>
      </c>
      <c r="BP8" s="206">
        <f t="shared" si="14"/>
        <v>0</v>
      </c>
      <c r="BQ8" s="206">
        <f t="shared" si="14"/>
        <v>0</v>
      </c>
      <c r="BR8" s="206">
        <f t="shared" si="14"/>
        <v>0</v>
      </c>
      <c r="BS8" s="206">
        <f t="shared" si="14"/>
        <v>0</v>
      </c>
      <c r="BT8" s="206">
        <f t="shared" si="14"/>
        <v>0</v>
      </c>
      <c r="BU8" s="206">
        <f t="shared" si="14"/>
        <v>0</v>
      </c>
      <c r="BV8" s="206">
        <f t="shared" si="14"/>
        <v>0</v>
      </c>
      <c r="BW8" s="206">
        <f t="shared" si="14"/>
        <v>0</v>
      </c>
      <c r="BX8" s="206">
        <f t="shared" si="14"/>
        <v>0</v>
      </c>
      <c r="BY8" s="206">
        <f t="shared" si="14"/>
        <v>0</v>
      </c>
      <c r="BZ8" s="206"/>
      <c r="CA8" s="206"/>
      <c r="CB8" s="206"/>
      <c r="CD8" s="201" t="s">
        <v>76</v>
      </c>
      <c r="CE8" s="201"/>
      <c r="CF8" s="201"/>
      <c r="CI8" s="206"/>
      <c r="CN8" s="206"/>
      <c r="DB8" s="178" t="s">
        <v>75</v>
      </c>
      <c r="DC8" s="179" t="s">
        <v>76</v>
      </c>
    </row>
    <row r="9" spans="2:107" s="187" customFormat="1" ht="76.7" customHeight="1">
      <c r="B9" s="190"/>
      <c r="C9" s="191" t="s">
        <v>6</v>
      </c>
      <c r="D9" s="191"/>
      <c r="E9" s="192" t="s">
        <v>18</v>
      </c>
      <c r="F9" s="193"/>
      <c r="G9" s="194">
        <f ca="1">Study_CF</f>
        <v>1</v>
      </c>
      <c r="H9" s="195"/>
      <c r="I9" s="196"/>
      <c r="K9"/>
      <c r="L9"/>
      <c r="M9"/>
      <c r="P9" s="187" t="s">
        <v>184</v>
      </c>
      <c r="Q9" s="206" t="s">
        <v>185</v>
      </c>
      <c r="R9" s="187" t="s">
        <v>186</v>
      </c>
      <c r="S9" s="206" t="s">
        <v>187</v>
      </c>
      <c r="T9" s="206" t="s">
        <v>188</v>
      </c>
      <c r="U9" s="203" t="s">
        <v>189</v>
      </c>
      <c r="V9" s="187" t="s">
        <v>190</v>
      </c>
      <c r="W9" s="206" t="s">
        <v>191</v>
      </c>
      <c r="X9" s="187" t="s">
        <v>192</v>
      </c>
      <c r="Y9" s="206" t="s">
        <v>193</v>
      </c>
      <c r="Z9" s="203" t="s">
        <v>194</v>
      </c>
      <c r="AA9" s="187" t="s">
        <v>195</v>
      </c>
      <c r="AB9" s="206"/>
      <c r="AC9" s="206"/>
      <c r="AD9" s="206" t="s">
        <v>197</v>
      </c>
      <c r="AE9" s="206" t="s">
        <v>201</v>
      </c>
      <c r="AF9" s="206" t="s">
        <v>202</v>
      </c>
      <c r="AG9" s="198"/>
      <c r="AH9" s="198"/>
      <c r="AI9" s="198"/>
      <c r="AK9" s="197"/>
      <c r="AL9" s="187" t="str">
        <f>P9</f>
        <v>IRP21_WD_PX_PNC_006_WD_T</v>
      </c>
      <c r="AM9" s="206" t="str">
        <f t="shared" ref="AM9:BA9" si="15">Q9</f>
        <v>IRP21_WD_PX_PNC_WD_T</v>
      </c>
      <c r="AN9" s="187" t="str">
        <f t="shared" si="15"/>
        <v>IRP21_WD_PX_WMV_006_WD_T</v>
      </c>
      <c r="AO9" s="187" t="str">
        <f t="shared" si="15"/>
        <v>IRP21_WD_PX_WYE_WD_T</v>
      </c>
      <c r="AP9" s="187" t="str">
        <f t="shared" si="15"/>
        <v>IRP21_WD_PX_WYE_Djohns_WD_T</v>
      </c>
      <c r="AQ9" s="203" t="str">
        <f t="shared" si="15"/>
        <v>IRP21_PWS_PX_YAK_WD_T</v>
      </c>
      <c r="AR9" s="187" t="str">
        <f t="shared" si="15"/>
        <v>IRP21_PVS_PX_BOR_002_PV_T</v>
      </c>
      <c r="AS9" s="187" t="str">
        <f t="shared" si="15"/>
        <v>IRP21_PVS_PX_SOR_C_PV_ 2028_T</v>
      </c>
      <c r="AT9" s="187" t="str">
        <f t="shared" si="15"/>
        <v>IRP21_PVS_PX_SOR_PV_T</v>
      </c>
      <c r="AU9" s="187" t="str">
        <f t="shared" si="15"/>
        <v>IRP21_PVS_PX_YAK_PV_T</v>
      </c>
      <c r="AV9" s="203" t="str">
        <f t="shared" si="15"/>
        <v>IRP21_PVS_PX_UTN_PV_T</v>
      </c>
      <c r="AW9" s="187" t="str">
        <f t="shared" si="15"/>
        <v>IRP21_PVS_PX_UTS_PV_T</v>
      </c>
      <c r="AX9" s="198">
        <f t="shared" si="15"/>
        <v>0</v>
      </c>
      <c r="AY9" s="198">
        <f t="shared" si="15"/>
        <v>0</v>
      </c>
      <c r="AZ9" s="198" t="str">
        <f t="shared" si="15"/>
        <v>IRP21_BAT_WYE_DJ_Wyodak</v>
      </c>
      <c r="BA9" s="198" t="str">
        <f t="shared" si="15"/>
        <v>IRP21_UTN_Non_Emitting_2031_T</v>
      </c>
      <c r="BB9" s="198" t="str">
        <f>AF9</f>
        <v>IRP21_Huntington_Non_Emitting_2037_T</v>
      </c>
      <c r="BC9" s="206">
        <f>AG9</f>
        <v>0</v>
      </c>
      <c r="BD9" s="198"/>
      <c r="BE9" s="198"/>
      <c r="BF9" s="198"/>
      <c r="BH9" s="206" t="str">
        <f t="shared" ref="BH9" si="16">P9</f>
        <v>IRP21_WD_PX_PNC_006_WD_T</v>
      </c>
      <c r="BI9" s="206" t="str">
        <f t="shared" ref="BI9" si="17">Q9</f>
        <v>IRP21_WD_PX_PNC_WD_T</v>
      </c>
      <c r="BJ9" s="206" t="str">
        <f t="shared" ref="BJ9" si="18">R9</f>
        <v>IRP21_WD_PX_WMV_006_WD_T</v>
      </c>
      <c r="BK9" s="206" t="str">
        <f t="shared" ref="BK9" si="19">S9</f>
        <v>IRP21_WD_PX_WYE_WD_T</v>
      </c>
      <c r="BL9" s="206" t="str">
        <f t="shared" si="14"/>
        <v>IRP21_WD_PX_WYE_Djohns_WD_T</v>
      </c>
      <c r="BM9" s="206" t="str">
        <f t="shared" si="14"/>
        <v>IRP21_PWS_PX_YAK_WD_T</v>
      </c>
      <c r="BN9" s="206" t="str">
        <f t="shared" si="14"/>
        <v>IRP21_PVS_PX_BOR_002_PV_T</v>
      </c>
      <c r="BO9" s="206" t="str">
        <f t="shared" si="14"/>
        <v>IRP21_PVS_PX_SOR_C_PV_ 2028_T</v>
      </c>
      <c r="BP9" s="206" t="str">
        <f t="shared" si="14"/>
        <v>IRP21_PVS_PX_SOR_PV_T</v>
      </c>
      <c r="BQ9" s="206" t="str">
        <f t="shared" si="14"/>
        <v>IRP21_PVS_PX_YAK_PV_T</v>
      </c>
      <c r="BR9" s="206" t="str">
        <f t="shared" si="14"/>
        <v>IRP21_PVS_PX_UTN_PV_T</v>
      </c>
      <c r="BS9" s="206" t="str">
        <f t="shared" si="14"/>
        <v>IRP21_PVS_PX_UTS_PV_T</v>
      </c>
      <c r="BT9" s="206">
        <f t="shared" si="14"/>
        <v>0</v>
      </c>
      <c r="BU9" s="206">
        <f t="shared" si="14"/>
        <v>0</v>
      </c>
      <c r="BV9" s="206" t="str">
        <f t="shared" si="14"/>
        <v>IRP21_BAT_WYE_DJ_Wyodak</v>
      </c>
      <c r="BW9" s="206" t="str">
        <f t="shared" si="14"/>
        <v>IRP21_UTN_Non_Emitting_2031_T</v>
      </c>
      <c r="BX9" s="206" t="str">
        <f t="shared" si="14"/>
        <v>IRP21_Huntington_Non_Emitting_2037_T</v>
      </c>
      <c r="BY9" s="206">
        <f t="shared" si="14"/>
        <v>0</v>
      </c>
      <c r="BZ9" s="206"/>
      <c r="CA9" s="206"/>
      <c r="CB9" s="206"/>
      <c r="CD9" s="187" t="str">
        <f t="shared" ref="CD9:CX9" si="20">BH9</f>
        <v>IRP21_WD_PX_PNC_006_WD_T</v>
      </c>
      <c r="CE9" s="206" t="str">
        <f t="shared" si="20"/>
        <v>IRP21_WD_PX_PNC_WD_T</v>
      </c>
      <c r="CF9" s="198" t="str">
        <f t="shared" si="20"/>
        <v>IRP21_WD_PX_WMV_006_WD_T</v>
      </c>
      <c r="CG9" s="198" t="str">
        <f t="shared" si="20"/>
        <v>IRP21_WD_PX_WYE_WD_T</v>
      </c>
      <c r="CH9" s="198" t="str">
        <f t="shared" si="20"/>
        <v>IRP21_WD_PX_WYE_Djohns_WD_T</v>
      </c>
      <c r="CI9" s="204" t="str">
        <f t="shared" si="20"/>
        <v>IRP21_PWS_PX_YAK_WD_T</v>
      </c>
      <c r="CJ9" s="198" t="str">
        <f t="shared" si="20"/>
        <v>IRP21_PVS_PX_BOR_002_PV_T</v>
      </c>
      <c r="CK9" s="198" t="str">
        <f t="shared" si="20"/>
        <v>IRP21_PVS_PX_SOR_C_PV_ 2028_T</v>
      </c>
      <c r="CL9" s="198" t="str">
        <f t="shared" si="20"/>
        <v>IRP21_PVS_PX_SOR_PV_T</v>
      </c>
      <c r="CM9" s="198" t="str">
        <f t="shared" si="20"/>
        <v>IRP21_PVS_PX_YAK_PV_T</v>
      </c>
      <c r="CN9" s="204" t="str">
        <f t="shared" si="20"/>
        <v>IRP21_PVS_PX_UTN_PV_T</v>
      </c>
      <c r="CO9" s="198" t="str">
        <f t="shared" si="20"/>
        <v>IRP21_PVS_PX_UTS_PV_T</v>
      </c>
      <c r="CP9" s="198">
        <f t="shared" si="20"/>
        <v>0</v>
      </c>
      <c r="CQ9" s="198">
        <f t="shared" si="20"/>
        <v>0</v>
      </c>
      <c r="CR9" s="198" t="str">
        <f t="shared" si="20"/>
        <v>IRP21_BAT_WYE_DJ_Wyodak</v>
      </c>
      <c r="CS9" s="198" t="str">
        <f t="shared" si="20"/>
        <v>IRP21_UTN_Non_Emitting_2031_T</v>
      </c>
      <c r="CT9" s="198" t="str">
        <f t="shared" si="20"/>
        <v>IRP21_Huntington_Non_Emitting_2037_T</v>
      </c>
      <c r="CU9" s="198">
        <f t="shared" si="20"/>
        <v>0</v>
      </c>
      <c r="CV9" s="198">
        <f t="shared" si="20"/>
        <v>0</v>
      </c>
      <c r="CW9" s="198">
        <f t="shared" si="20"/>
        <v>0</v>
      </c>
      <c r="CX9" s="198">
        <f t="shared" si="20"/>
        <v>0</v>
      </c>
      <c r="CY9" s="187" t="s">
        <v>77</v>
      </c>
      <c r="DB9" s="187" t="s">
        <v>163</v>
      </c>
      <c r="DC9" s="206" t="s">
        <v>163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3"/>
      <c r="C12" s="164"/>
      <c r="D12" s="163"/>
      <c r="E12" s="12"/>
      <c r="F12" s="12"/>
      <c r="G12" s="3"/>
      <c r="H12" s="36"/>
      <c r="I12" s="89"/>
      <c r="BU12" s="332"/>
    </row>
    <row r="13" spans="2:107" customFormat="1">
      <c r="B13" s="15">
        <f>'Table 5'!J13</f>
        <v>2023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57.74561167213816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57.74561167213816</v>
      </c>
      <c r="H13" s="166"/>
      <c r="I13" s="166"/>
      <c r="J13" s="166"/>
      <c r="K13" s="166"/>
      <c r="O13">
        <f t="shared" ref="O13:O32" si="22">B13</f>
        <v>2023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D13">
        <v>0</v>
      </c>
      <c r="AE13">
        <v>0</v>
      </c>
      <c r="AF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G13">
        <f>O13</f>
        <v>2023</v>
      </c>
      <c r="BH13" s="129">
        <f>IFERROR(VLOOKUP($O13,'Table 3 PNC Wind_2026'!$B$10:$L$37,11,FALSE),0)</f>
        <v>0</v>
      </c>
      <c r="BI13" s="129">
        <f>IFERROR(VLOOKUP($O13,'Table 3 PNC Wind_2038'!$B$10:$L$37,11,FALSE),0)</f>
        <v>0</v>
      </c>
      <c r="BJ13" s="129">
        <f>IFERROR(VLOOKUP($O13,'Table 3 WV Wind_2026'!$B$10:$L$37,11,FALSE),0)</f>
        <v>0</v>
      </c>
      <c r="BK13" s="129">
        <f>IFERROR(VLOOKUP($O13,'Table 3 WYE Wind_2029'!$B$10:$L$37,11,FALSE),0)</f>
        <v>0</v>
      </c>
      <c r="BL13" s="129">
        <f>IFERROR(VLOOKUP($O13,'Table 3 WYE_DJ Wind_2028'!$B$10:$L$37,11,FALSE),0)</f>
        <v>0</v>
      </c>
      <c r="BM13" s="129">
        <f>IFERROR(VLOOKUP($O13,'Table 3 YK WindwS_2029'!$B$10:$L$37,11,FALSE),0)</f>
        <v>0</v>
      </c>
      <c r="BN13" s="129">
        <f>IFERROR(VLOOKUP($O13,'Table 3 PV wS Borah_2026'!$B$10:$K$37,10,FALSE),0)</f>
        <v>0</v>
      </c>
      <c r="BO13" s="362"/>
      <c r="BP13" s="129">
        <f>IFERROR(VLOOKUP($O13,'Table 3 PV wS SOR_2030'!$B$10:$K$37,10,FALSE),0)</f>
        <v>0</v>
      </c>
      <c r="BQ13" s="129">
        <f>IFERROR(VLOOKUP($O13,'Table 3 PV wS YK_2029'!$B$10:$K$37,10,FALSE),0)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UTS_2032'!B15:K37,10,FALSE),0)</f>
        <v>0</v>
      </c>
      <c r="BT13" s="129"/>
      <c r="BU13" s="362"/>
      <c r="BV13" s="129">
        <f>IFERROR(VLOOKUP($O13,'Table 3 StdBat  DJ_2029'!$B$15:$K$37,10,FALSE),0)</f>
        <v>0</v>
      </c>
      <c r="BW13" s="129">
        <f>IFERROR(VLOOKUP($O13,'Table 3 NonE 206MW (UTN) 2031'!$B$14:$M$36,12,FALSE),0)</f>
        <v>0</v>
      </c>
      <c r="BX13" s="129">
        <f>IFERROR(VLOOKUP($O13,'Table 3 NonE 206MW (Hgtn)'!$B$14:$M$36,12,FALSE),0)</f>
        <v>0</v>
      </c>
      <c r="BY13" s="361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9">SUM(CD13:CX13)</f>
        <v>0</v>
      </c>
      <c r="DA13">
        <f t="shared" ref="DA13:DA30" si="40">O13</f>
        <v>2023</v>
      </c>
      <c r="DB13" s="89">
        <f>IFERROR(VLOOKUP($DA13,'Table 3 TransCost'!$AA$10:$AD$32,4,FALSE),0)</f>
        <v>0</v>
      </c>
      <c r="DC13" s="166">
        <f>$DB$5*DB13/1000</f>
        <v>0</v>
      </c>
    </row>
    <row r="14" spans="2:107" customFormat="1">
      <c r="B14" s="15">
        <f t="shared" ref="B14:B34" si="41">B13+1</f>
        <v>2024</v>
      </c>
      <c r="C14" s="9">
        <f t="shared" si="21"/>
        <v>0</v>
      </c>
      <c r="D14" s="45"/>
      <c r="E14" s="9">
        <f t="shared" ref="E14:E32" ca="1" si="42">SUMIF(INDIRECT("'Table 5'!$J$"&amp;$K$3&amp;":$J$"&amp;$K$4),B14,INDIRECT("'Table 5'!$c$"&amp;$K$3&amp;":$c$"&amp;$K$4))/SUMIF(INDIRECT("'Table 5'!$J$"&amp;$K$3&amp;":$J$"&amp;$K$4),B14,INDIRECT("'Table 5'!$f$"&amp;$K$3&amp;":$f$"&amp;$K$4))</f>
        <v>62.708353566421088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62.708353566421088</v>
      </c>
      <c r="H14" s="166"/>
      <c r="I14" s="166"/>
      <c r="J14" s="166"/>
      <c r="O14">
        <f t="shared" si="22"/>
        <v>2024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F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G14">
        <f t="shared" ref="BG14:BG30" si="43">O14</f>
        <v>2024</v>
      </c>
      <c r="BH14" s="129">
        <f>IFERROR(VLOOKUP($O14,'Table 3 PNC Wind_2026'!$B$10:$L$37,11,FALSE),0)</f>
        <v>0</v>
      </c>
      <c r="BI14" s="129">
        <f>IFERROR(VLOOKUP($O14,'Table 3 PNC Wind_2038'!$B$10:$L$37,11,FALSE),0)</f>
        <v>0</v>
      </c>
      <c r="BJ14" s="129">
        <f>IFERROR(VLOOKUP($O14,'Table 3 WV Wind_2026'!$B$10:$L$37,11,FALSE),0)</f>
        <v>0</v>
      </c>
      <c r="BK14" s="129">
        <f>IFERROR(VLOOKUP($O14,'Table 3 WYE Wind_2029'!$B$10:$L$37,11,FALSE),0)</f>
        <v>0</v>
      </c>
      <c r="BL14" s="129">
        <f>IFERROR(VLOOKUP($O14,'Table 3 WYE_DJ Wind_2028'!$B$10:$L$37,11,FALSE),0)</f>
        <v>0</v>
      </c>
      <c r="BM14" s="129">
        <f>IFERROR(VLOOKUP($O14,'Table 3 YK WindwS_2029'!$B$10:$L$37,11,FALSE),0)</f>
        <v>0</v>
      </c>
      <c r="BN14" s="129">
        <f>IFERROR(VLOOKUP($O14,'Table 3 PV wS Borah_2026'!$B$10:$K$37,10,FALSE),0)</f>
        <v>0</v>
      </c>
      <c r="BO14" s="362"/>
      <c r="BP14" s="129">
        <f>IFERROR(VLOOKUP($O14,'Table 3 PV wS SOR_2030'!$B$10:$K$37,10,FALSE),0)</f>
        <v>0</v>
      </c>
      <c r="BQ14" s="129">
        <f>IFERROR(VLOOKUP($O14,'Table 3 PV wS YK_2029'!$B$10:$K$37,10,FALSE),0)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UTS_2032'!B16:K38,10,FALSE),0)</f>
        <v>0</v>
      </c>
      <c r="BT14" s="361"/>
      <c r="BU14" s="362"/>
      <c r="BV14" s="129">
        <f>IFERROR(VLOOKUP($O14,'Table 3 StdBat  DJ_2029'!$B$15:$K$37,10,FALSE),0)</f>
        <v>0</v>
      </c>
      <c r="BW14" s="129">
        <f>IFERROR(VLOOKUP($O14,'Table 3 NonE 206MW (UTN) 2031'!$B$14:$M$36,12,FALSE),0)</f>
        <v>0</v>
      </c>
      <c r="BX14" s="129">
        <f>IFERROR(VLOOKUP($O14,'Table 3 NonE 206MW (Hgtn)'!$B$14:$M$36,12,FALSE),0)</f>
        <v>0</v>
      </c>
      <c r="BY14" s="361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9"/>
        <v>0</v>
      </c>
      <c r="DA14">
        <f t="shared" si="40"/>
        <v>2024</v>
      </c>
      <c r="DB14" s="89">
        <f>IFERROR(VLOOKUP($DA14,'Table 3 TransCost'!$AA$10:$AD$32,4,FALSE),0)</f>
        <v>0</v>
      </c>
      <c r="DC14" s="166">
        <f t="shared" ref="DC14:DC30" si="44">$DB$5*DB14/1000</f>
        <v>0</v>
      </c>
    </row>
    <row r="15" spans="2:107" customFormat="1">
      <c r="B15" s="15">
        <f t="shared" si="41"/>
        <v>2025</v>
      </c>
      <c r="C15" s="9">
        <f t="shared" si="21"/>
        <v>0</v>
      </c>
      <c r="D15" s="45"/>
      <c r="E15" s="9">
        <f t="shared" ca="1" si="42"/>
        <v>46.948264956281442</v>
      </c>
      <c r="F15" s="37"/>
      <c r="G15" s="14">
        <f t="shared" ref="G15:G34" ca="1" si="45">SUMIF(INDIRECT("'Table 5'!$J$"&amp;$K$3&amp;":$J$"&amp;$K$4),B15,INDIRECT("'Table 5'!$e$"&amp;$K$3&amp;":$e$"&amp;$K$4))/SUMIF(INDIRECT("'Table 5'!$J$"&amp;$K$3&amp;":$J$"&amp;$K$4),B15,INDIRECT("'Table 5'!$f$"&amp;$K$3&amp;":$f$"&amp;$K$4))</f>
        <v>46.948264956281442</v>
      </c>
      <c r="H15" s="166"/>
      <c r="I15" s="166"/>
      <c r="J15" s="166"/>
      <c r="N15" s="89"/>
      <c r="O15">
        <f t="shared" si="22"/>
        <v>2025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D15">
        <v>0</v>
      </c>
      <c r="AE15">
        <v>0</v>
      </c>
      <c r="AF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G15">
        <f t="shared" si="43"/>
        <v>2025</v>
      </c>
      <c r="BH15" s="129">
        <f>IFERROR(VLOOKUP($O15,'Table 3 PNC Wind_2026'!$B$10:$L$37,11,FALSE),0)</f>
        <v>0</v>
      </c>
      <c r="BI15" s="129">
        <f>IFERROR(VLOOKUP($O15,'Table 3 PNC Wind_2038'!$B$10:$L$37,11,FALSE),0)</f>
        <v>0</v>
      </c>
      <c r="BJ15" s="129">
        <f>IFERROR(VLOOKUP($O15,'Table 3 WV Wind_2026'!$B$10:$L$37,11,FALSE),0)</f>
        <v>0</v>
      </c>
      <c r="BK15" s="129">
        <f>IFERROR(VLOOKUP($O15,'Table 3 WYE Wind_2029'!$B$10:$L$37,11,FALSE),0)</f>
        <v>0</v>
      </c>
      <c r="BL15" s="129">
        <f>IFERROR(VLOOKUP($O15,'Table 3 WYE_DJ Wind_2028'!$B$10:$L$37,11,FALSE),0)</f>
        <v>0</v>
      </c>
      <c r="BM15" s="129">
        <f>IFERROR(VLOOKUP($O15,'Table 3 YK WindwS_2029'!$B$10:$L$37,11,FALSE),0)</f>
        <v>0</v>
      </c>
      <c r="BN15" s="129">
        <f>IFERROR(VLOOKUP($O15,'Table 3 PV wS Borah_2026'!$B$10:$K$37,10,FALSE),0)</f>
        <v>0</v>
      </c>
      <c r="BO15" s="362"/>
      <c r="BP15" s="129">
        <f>IFERROR(VLOOKUP($O15,'Table 3 PV wS SOR_2030'!$B$10:$K$37,10,FALSE),0)</f>
        <v>0</v>
      </c>
      <c r="BQ15" s="129">
        <f>IFERROR(VLOOKUP($O15,'Table 3 PV wS YK_2029'!$B$10:$K$37,10,FALSE),0)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UTS_2032'!B17:K39,10,FALSE),0)</f>
        <v>0</v>
      </c>
      <c r="BT15" s="361"/>
      <c r="BU15" s="362"/>
      <c r="BV15" s="129">
        <f>IFERROR(VLOOKUP($O15,'Table 3 StdBat  DJ_2029'!$B$15:$K$37,10,FALSE),0)</f>
        <v>0</v>
      </c>
      <c r="BW15" s="129">
        <f>IFERROR(VLOOKUP($O15,'Table 3 NonE 206MW (UTN) 2031'!$B$14:$M$36,12,FALSE),0)</f>
        <v>0</v>
      </c>
      <c r="BX15" s="129">
        <f>IFERROR(VLOOKUP($O15,'Table 3 NonE 206MW (Hgtn)'!$B$14:$M$36,12,FALSE),0)</f>
        <v>0</v>
      </c>
      <c r="BY15" s="361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0"/>
        <v>2025</v>
      </c>
      <c r="DB15" s="89">
        <f>IFERROR(VLOOKUP($DA15,'Table 3 TransCost'!$AA$10:$AD$32,4,FALSE),0)</f>
        <v>0</v>
      </c>
      <c r="DC15" s="166">
        <f t="shared" si="44"/>
        <v>0</v>
      </c>
    </row>
    <row r="16" spans="2:107" customFormat="1">
      <c r="B16" s="15">
        <f t="shared" si="41"/>
        <v>2026</v>
      </c>
      <c r="C16" s="9">
        <f t="shared" si="21"/>
        <v>0</v>
      </c>
      <c r="D16" s="45"/>
      <c r="E16" s="9">
        <f t="shared" ca="1" si="42"/>
        <v>50.152451009398149</v>
      </c>
      <c r="F16" s="37"/>
      <c r="G16" s="14">
        <f t="shared" ca="1" si="45"/>
        <v>50.152451009398149</v>
      </c>
      <c r="H16" s="166"/>
      <c r="I16" s="166"/>
      <c r="J16" s="166"/>
      <c r="O16">
        <f t="shared" si="22"/>
        <v>2026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D16">
        <v>0</v>
      </c>
      <c r="AE16">
        <v>0</v>
      </c>
      <c r="AF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G16">
        <f t="shared" si="43"/>
        <v>2026</v>
      </c>
      <c r="BH16" s="129">
        <f>IFERROR(VLOOKUP($O16,'Table 3 PNC Wind_2026'!$B$10:$L$37,11,FALSE),0)</f>
        <v>191.59144468071452</v>
      </c>
      <c r="BI16" s="129">
        <f>IFERROR(VLOOKUP($O16,'Table 3 PNC Wind_2038'!$B$10:$L$37,11,FALSE),0)</f>
        <v>0</v>
      </c>
      <c r="BJ16" s="129">
        <f>IFERROR(VLOOKUP($O16,'Table 3 WV Wind_2026'!$B$10:$L$37,11,FALSE),0)</f>
        <v>175.02113373468126</v>
      </c>
      <c r="BK16" s="129">
        <f>IFERROR(VLOOKUP($O16,'Table 3 WYE Wind_2029'!$B$10:$L$37,11,FALSE),0)</f>
        <v>0</v>
      </c>
      <c r="BL16" s="129">
        <f>IFERROR(VLOOKUP($O16,'Table 3 WYE_DJ Wind_2028'!$B$10:$L$37,11,FALSE),0)</f>
        <v>0</v>
      </c>
      <c r="BM16" s="129">
        <f>IFERROR(VLOOKUP($O16,'Table 3 YK WindwS_2029'!$B$10:$L$37,11,FALSE),0)</f>
        <v>0</v>
      </c>
      <c r="BN16" s="129">
        <f>IFERROR(VLOOKUP($O16,'Table 3 PV wS Borah_2026'!$B$10:$K$37,10,FALSE),0)</f>
        <v>183.64304804045611</v>
      </c>
      <c r="BO16" s="362"/>
      <c r="BP16" s="129">
        <f>IFERROR(VLOOKUP($O16,'Table 3 PV wS SOR_2030'!$B$10:$K$37,10,FALSE),0)</f>
        <v>0</v>
      </c>
      <c r="BQ16" s="129">
        <f>IFERROR(VLOOKUP($O16,'Table 3 PV wS YK_2029'!$B$10:$K$37,10,FALSE),0)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UTS_2032'!B18:K40,10,FALSE),0)</f>
        <v>0</v>
      </c>
      <c r="BT16" s="361"/>
      <c r="BU16" s="362"/>
      <c r="BV16" s="129">
        <f>IFERROR(VLOOKUP($O16,'Table 3 StdBat  DJ_2029'!$B$15:$K$37,10,FALSE),0)</f>
        <v>0</v>
      </c>
      <c r="BW16" s="129">
        <f>IFERROR(VLOOKUP($O16,'Table 3 NonE 206MW (UTN) 2031'!$B$14:$M$36,12,FALSE),0)</f>
        <v>0</v>
      </c>
      <c r="BX16" s="129">
        <f>IFERROR(VLOOKUP($O16,'Table 3 NonE 206MW (Hgtn)'!$B$14:$M$36,12,FALSE),0)</f>
        <v>0</v>
      </c>
      <c r="BY16" s="361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6">SUM(CD16:CX16)</f>
        <v>0</v>
      </c>
      <c r="DA16">
        <f t="shared" si="40"/>
        <v>2026</v>
      </c>
      <c r="DB16" s="89">
        <f>IFERROR(VLOOKUP($DA16,'Table 3 TransCost'!$AA$10:$AD$32,4,FALSE),0)</f>
        <v>54.441007169221002</v>
      </c>
      <c r="DC16" s="166">
        <f t="shared" si="44"/>
        <v>0</v>
      </c>
    </row>
    <row r="17" spans="2:107">
      <c r="B17" s="15">
        <f t="shared" si="41"/>
        <v>2027</v>
      </c>
      <c r="C17" s="9">
        <f t="shared" si="21"/>
        <v>0</v>
      </c>
      <c r="D17" s="45"/>
      <c r="E17" s="9">
        <f t="shared" ca="1" si="42"/>
        <v>46.047198460027438</v>
      </c>
      <c r="F17" s="37"/>
      <c r="G17" s="14">
        <f t="shared" ca="1" si="45"/>
        <v>46.047198460027438</v>
      </c>
      <c r="H17" s="166"/>
      <c r="I17" s="166"/>
      <c r="J17" s="166"/>
      <c r="O17">
        <f t="shared" si="22"/>
        <v>2027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D17">
        <v>0</v>
      </c>
      <c r="AE17">
        <v>0</v>
      </c>
      <c r="AF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66"/>
      <c r="BG17">
        <f t="shared" si="43"/>
        <v>2027</v>
      </c>
      <c r="BH17" s="129">
        <f>IFERROR(VLOOKUP($O17,'Table 3 PNC Wind_2026'!$B$10:$L$37,11,FALSE),0)</f>
        <v>195.72</v>
      </c>
      <c r="BI17" s="129">
        <f>IFERROR(VLOOKUP($O17,'Table 3 PNC Wind_2038'!$B$10:$L$37,11,FALSE),0)</f>
        <v>0</v>
      </c>
      <c r="BJ17" s="129">
        <f>IFERROR(VLOOKUP($O17,'Table 3 WV Wind_2026'!$B$10:$L$37,11,FALSE),0)</f>
        <v>178.79</v>
      </c>
      <c r="BK17" s="129">
        <f>IFERROR(VLOOKUP($O17,'Table 3 WYE Wind_2029'!$B$10:$L$37,11,FALSE),0)</f>
        <v>0</v>
      </c>
      <c r="BL17" s="129">
        <f>IFERROR(VLOOKUP($O17,'Table 3 WYE_DJ Wind_2028'!$B$10:$L$37,11,FALSE),0)</f>
        <v>0</v>
      </c>
      <c r="BM17" s="129">
        <f>IFERROR(VLOOKUP($O17,'Table 3 YK WindwS_2029'!$B$10:$L$37,11,FALSE),0)</f>
        <v>0</v>
      </c>
      <c r="BN17" s="129">
        <f>IFERROR(VLOOKUP($O17,'Table 3 PV wS Borah_2026'!$B$10:$K$37,10,FALSE),0)</f>
        <v>187.60999999999999</v>
      </c>
      <c r="BO17" s="362"/>
      <c r="BP17" s="129">
        <f>IFERROR(VLOOKUP($O17,'Table 3 PV wS SOR_2030'!$B$10:$K$37,10,FALSE),0)</f>
        <v>0</v>
      </c>
      <c r="BQ17" s="129">
        <f>IFERROR(VLOOKUP($O17,'Table 3 PV wS YK_2029'!$B$10:$K$37,10,FALSE),0)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UTS_2032'!B19:K41,10,FALSE),0)</f>
        <v>0</v>
      </c>
      <c r="BT17" s="361"/>
      <c r="BU17" s="362"/>
      <c r="BV17" s="129">
        <f>IFERROR(VLOOKUP($O17,'Table 3 StdBat  DJ_2029'!$B$15:$K$37,10,FALSE),0)</f>
        <v>0</v>
      </c>
      <c r="BW17" s="129">
        <f>IFERROR(VLOOKUP($O17,'Table 3 NonE 206MW (UTN) 2031'!$B$14:$M$36,12,FALSE),0)</f>
        <v>0</v>
      </c>
      <c r="BX17" s="129">
        <f>IFERROR(VLOOKUP($O17,'Table 3 NonE 206MW (Hgtn)'!$B$14:$M$36,12,FALSE),0)</f>
        <v>0</v>
      </c>
      <c r="BY17" s="361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6"/>
        <v>0</v>
      </c>
      <c r="DA17">
        <f t="shared" si="40"/>
        <v>2027</v>
      </c>
      <c r="DB17" s="89">
        <f>IFERROR(VLOOKUP($DA17,'Table 3 TransCost'!$AA$10:$AD$32,4,FALSE),0)</f>
        <v>55.609999999999992</v>
      </c>
      <c r="DC17" s="166">
        <f t="shared" si="44"/>
        <v>0</v>
      </c>
    </row>
    <row r="18" spans="2:107">
      <c r="B18" s="15">
        <f t="shared" si="41"/>
        <v>2028</v>
      </c>
      <c r="C18" s="9">
        <f t="shared" si="21"/>
        <v>0</v>
      </c>
      <c r="D18" s="45"/>
      <c r="E18" s="9">
        <f t="shared" ca="1" si="42"/>
        <v>44.735229396536688</v>
      </c>
      <c r="F18" s="37"/>
      <c r="G18" s="14">
        <f t="shared" ca="1" si="45"/>
        <v>44.735229396536688</v>
      </c>
      <c r="H18" s="166"/>
      <c r="I18" s="166"/>
      <c r="J18" s="166"/>
      <c r="O18">
        <f t="shared" si="22"/>
        <v>2028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D18">
        <v>0</v>
      </c>
      <c r="AE18">
        <v>0</v>
      </c>
      <c r="AF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G18">
        <f t="shared" si="43"/>
        <v>2028</v>
      </c>
      <c r="BH18" s="129">
        <f>IFERROR(VLOOKUP($O18,'Table 3 PNC Wind_2026'!$B$10:$L$37,11,FALSE),0)</f>
        <v>199.93</v>
      </c>
      <c r="BI18" s="129">
        <f>IFERROR(VLOOKUP($O18,'Table 3 PNC Wind_2038'!$B$10:$L$37,11,FALSE),0)</f>
        <v>0</v>
      </c>
      <c r="BJ18" s="129">
        <f>IFERROR(VLOOKUP($O18,'Table 3 WV Wind_2026'!$B$10:$L$37,11,FALSE),0)</f>
        <v>182.64000000000001</v>
      </c>
      <c r="BK18" s="129">
        <f>IFERROR(VLOOKUP($O18,'Table 3 WYE Wind_2029'!$B$10:$L$37,11,FALSE),0)</f>
        <v>0</v>
      </c>
      <c r="BL18" s="129">
        <f>IFERROR(VLOOKUP($O18,'Table 3 WYE_DJ Wind_2028'!$B$10:$L$37,11,FALSE),0)</f>
        <v>135.93478100351612</v>
      </c>
      <c r="BM18" s="129">
        <f>IFERROR(VLOOKUP($O18,'Table 3 YK WindwS_2029'!$B$10:$L$37,11,FALSE),0)</f>
        <v>0</v>
      </c>
      <c r="BN18" s="129">
        <f>IFERROR(VLOOKUP($O18,'Table 3 PV wS Borah_2026'!$B$10:$K$37,10,FALSE),0)</f>
        <v>191.66</v>
      </c>
      <c r="BO18" s="362"/>
      <c r="BP18" s="129">
        <f>IFERROR(VLOOKUP($O18,'Table 3 PV wS SOR_2030'!$B$10:$K$37,10,FALSE),0)</f>
        <v>0</v>
      </c>
      <c r="BQ18" s="129">
        <f>IFERROR(VLOOKUP($O18,'Table 3 PV wS YK_2029'!$B$10:$K$37,10,FALSE),0)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UTS_2032'!B20:K42,10,FALSE),0)</f>
        <v>0</v>
      </c>
      <c r="BT18" s="361"/>
      <c r="BU18" s="362"/>
      <c r="BV18" s="129">
        <f>IFERROR(VLOOKUP($O18,'Table 3 StdBat  DJ_2029'!$B$15:$K$37,10,FALSE),0)</f>
        <v>0</v>
      </c>
      <c r="BW18" s="129">
        <f>IFERROR(VLOOKUP($O18,'Table 3 NonE 206MW (UTN) 2031'!$B$14:$M$36,12,FALSE),0)</f>
        <v>0</v>
      </c>
      <c r="BX18" s="129">
        <f>IFERROR(VLOOKUP($O18,'Table 3 NonE 206MW (Hgtn)'!$B$14:$M$36,12,FALSE),0)</f>
        <v>0</v>
      </c>
      <c r="BY18" s="361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6"/>
        <v>0</v>
      </c>
      <c r="DA18">
        <f t="shared" si="40"/>
        <v>2028</v>
      </c>
      <c r="DB18" s="89">
        <f>IFERROR(VLOOKUP($DA18,'Table 3 TransCost'!$AA$10:$AD$32,4,FALSE),0)</f>
        <v>56.81</v>
      </c>
      <c r="DC18" s="166">
        <f t="shared" si="44"/>
        <v>0</v>
      </c>
    </row>
    <row r="19" spans="2:107">
      <c r="B19" s="15">
        <f t="shared" si="41"/>
        <v>2029</v>
      </c>
      <c r="C19" s="9">
        <f t="shared" si="21"/>
        <v>0</v>
      </c>
      <c r="D19" s="45"/>
      <c r="E19" s="9">
        <f t="shared" ca="1" si="42"/>
        <v>45.050089763680276</v>
      </c>
      <c r="F19" s="37"/>
      <c r="G19" s="14">
        <f t="shared" ca="1" si="45"/>
        <v>45.050089763680276</v>
      </c>
      <c r="H19" s="166"/>
      <c r="I19" s="166"/>
      <c r="J19" s="166"/>
      <c r="O19">
        <f t="shared" si="22"/>
        <v>2029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D19">
        <v>0</v>
      </c>
      <c r="AE19">
        <v>0</v>
      </c>
      <c r="AF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G19">
        <f t="shared" si="43"/>
        <v>2029</v>
      </c>
      <c r="BH19" s="129">
        <f>IFERROR(VLOOKUP($O19,'Table 3 PNC Wind_2026'!$B$10:$L$37,11,FALSE),0)</f>
        <v>204.25</v>
      </c>
      <c r="BI19" s="129">
        <f>IFERROR(VLOOKUP($O19,'Table 3 PNC Wind_2038'!$B$10:$L$37,11,FALSE),0)</f>
        <v>0</v>
      </c>
      <c r="BJ19" s="129">
        <f>IFERROR(VLOOKUP($O19,'Table 3 WV Wind_2026'!$B$10:$L$37,11,FALSE),0)</f>
        <v>186.58</v>
      </c>
      <c r="BK19" s="129">
        <f>IFERROR(VLOOKUP($O19,'Table 3 WYE Wind_2029'!$B$10:$L$37,11,FALSE),0)</f>
        <v>201.85568416390288</v>
      </c>
      <c r="BL19" s="129">
        <f>IFERROR(VLOOKUP($O19,'Table 3 WYE_DJ Wind_2028'!$B$10:$L$37,11,FALSE),0)</f>
        <v>138.86000000000001</v>
      </c>
      <c r="BM19" s="129">
        <f>IFERROR(VLOOKUP($O19,'Table 3 YK WindwS_2029'!$B$10:$L$37,11,FALSE),0)</f>
        <v>187.50399602844064</v>
      </c>
      <c r="BN19" s="129">
        <f>IFERROR(VLOOKUP($O19,'Table 3 PV wS Borah_2026'!$B$10:$K$37,10,FALSE),0)</f>
        <v>195.79000000000002</v>
      </c>
      <c r="BO19" s="362"/>
      <c r="BP19" s="129">
        <f>IFERROR(VLOOKUP($O19,'Table 3 PV wS SOR_2030'!$B$10:$K$37,10,FALSE),0)</f>
        <v>0</v>
      </c>
      <c r="BQ19" s="129">
        <f>IFERROR(VLOOKUP($O19,'Table 3 PV wS YK_2029'!$B$10:$K$37,10,FALSE),0)</f>
        <v>188.42976759019373</v>
      </c>
      <c r="BR19" s="129">
        <f>IFERROR(VLOOKUP($O19,'Table 3 PV wS UTN_2031'!$B$15:$K$37,10,FALSE),0)</f>
        <v>0</v>
      </c>
      <c r="BS19" s="129">
        <f>IFERROR(VLOOKUP($O19,'Table 3 PV wS UTS_2032'!B21:K43,10,FALSE),0)</f>
        <v>0</v>
      </c>
      <c r="BT19" s="361"/>
      <c r="BU19" s="362"/>
      <c r="BV19" s="129">
        <f>IFERROR(VLOOKUP($O19,'Table 3 StdBat  DJ_2029'!$B$15:$K$37,10,FALSE),0)</f>
        <v>109.22031613353437</v>
      </c>
      <c r="BW19" s="129">
        <f>IFERROR(VLOOKUP($O19,'Table 3 NonE 206MW (UTN) 2031'!$B$14:$M$36,12,FALSE),0)</f>
        <v>0</v>
      </c>
      <c r="BX19" s="129">
        <f>IFERROR(VLOOKUP($O19,'Table 3 NonE 206MW (Hgtn)'!$B$14:$M$36,12,FALSE),0)</f>
        <v>0</v>
      </c>
      <c r="BY19" s="361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6"/>
        <v>0</v>
      </c>
      <c r="DA19">
        <f t="shared" si="40"/>
        <v>2029</v>
      </c>
      <c r="DB19" s="89">
        <f>IFERROR(VLOOKUP($DA19,'Table 3 TransCost'!$AA$10:$AD$32,4,FALSE),0)</f>
        <v>58.03</v>
      </c>
      <c r="DC19" s="166">
        <f t="shared" si="44"/>
        <v>0</v>
      </c>
    </row>
    <row r="20" spans="2:107">
      <c r="B20" s="15">
        <f t="shared" si="41"/>
        <v>2030</v>
      </c>
      <c r="C20" s="9">
        <f t="shared" si="21"/>
        <v>0</v>
      </c>
      <c r="D20" s="45"/>
      <c r="E20" s="9">
        <f t="shared" ca="1" si="42"/>
        <v>41.25426463059123</v>
      </c>
      <c r="F20" s="37"/>
      <c r="G20" s="14">
        <f t="shared" ca="1" si="45"/>
        <v>41.25426463059123</v>
      </c>
      <c r="H20" s="166"/>
      <c r="I20" s="166"/>
      <c r="J20" s="166"/>
      <c r="O20">
        <f t="shared" si="22"/>
        <v>2030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D20">
        <v>0</v>
      </c>
      <c r="AE20">
        <v>0</v>
      </c>
      <c r="AF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G20">
        <f t="shared" si="43"/>
        <v>2030</v>
      </c>
      <c r="BH20" s="129">
        <f>IFERROR(VLOOKUP($O20,'Table 3 PNC Wind_2026'!$B$10:$L$37,11,FALSE),0)</f>
        <v>208.65</v>
      </c>
      <c r="BI20" s="129">
        <f>IFERROR(VLOOKUP($O20,'Table 3 PNC Wind_2038'!$B$10:$L$37,11,FALSE),0)</f>
        <v>0</v>
      </c>
      <c r="BJ20" s="129">
        <f>IFERROR(VLOOKUP($O20,'Table 3 WV Wind_2026'!$B$10:$L$37,11,FALSE),0)</f>
        <v>190.60000000000002</v>
      </c>
      <c r="BK20" s="129">
        <f>IFERROR(VLOOKUP($O20,'Table 3 WYE Wind_2029'!$B$10:$L$37,11,FALSE),0)</f>
        <v>206.2</v>
      </c>
      <c r="BL20" s="129">
        <f>IFERROR(VLOOKUP($O20,'Table 3 WYE_DJ Wind_2028'!$B$10:$L$37,11,FALSE),0)</f>
        <v>141.85999999999999</v>
      </c>
      <c r="BM20" s="129">
        <f>IFERROR(VLOOKUP($O20,'Table 3 YK WindwS_2029'!$B$10:$L$37,11,FALSE),0)</f>
        <v>191.55</v>
      </c>
      <c r="BN20" s="129">
        <f>IFERROR(VLOOKUP($O20,'Table 3 PV wS Borah_2026'!$B$10:$K$37,10,FALSE),0)</f>
        <v>200.01</v>
      </c>
      <c r="BO20" s="362"/>
      <c r="BP20" s="129">
        <f>IFERROR(VLOOKUP($O20,'Table 3 PV wS SOR_2030'!$B$10:$K$37,10,FALSE),0)</f>
        <v>219.45386985142773</v>
      </c>
      <c r="BQ20" s="129">
        <f>IFERROR(VLOOKUP($O20,'Table 3 PV wS YK_2029'!$B$10:$K$37,10,FALSE),0)</f>
        <v>192.50000000000003</v>
      </c>
      <c r="BR20" s="129">
        <f>IFERROR(VLOOKUP($O20,'Table 3 PV wS UTN_2031'!$B$15:$K$37,10,FALSE),0)</f>
        <v>0</v>
      </c>
      <c r="BS20" s="129">
        <f>IFERROR(VLOOKUP($O20,'Table 3 PV wS UTS_2032'!B22:K44,10,FALSE),0)</f>
        <v>0</v>
      </c>
      <c r="BT20" s="361"/>
      <c r="BU20" s="362"/>
      <c r="BV20" s="129">
        <f>IFERROR(VLOOKUP($O20,'Table 3 StdBat  DJ_2029'!$B$15:$K$37,10,FALSE),0)</f>
        <v>111.57</v>
      </c>
      <c r="BW20" s="129">
        <f>IFERROR(VLOOKUP($O20,'Table 3 NonE 206MW (UTN) 2031'!$B$14:$M$36,12,FALSE),0)</f>
        <v>0</v>
      </c>
      <c r="BX20" s="129">
        <f>IFERROR(VLOOKUP($O20,'Table 3 NonE 206MW (Hgtn)'!$B$14:$M$36,12,FALSE),0)</f>
        <v>0</v>
      </c>
      <c r="BY20" s="361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6"/>
        <v>0</v>
      </c>
      <c r="DA20">
        <f t="shared" si="40"/>
        <v>2030</v>
      </c>
      <c r="DB20" s="89">
        <f>IFERROR(VLOOKUP($DA20,'Table 3 TransCost'!$AA$10:$AD$32,4,FALSE),0)</f>
        <v>59.28</v>
      </c>
      <c r="DC20" s="166">
        <f t="shared" si="44"/>
        <v>0</v>
      </c>
    </row>
    <row r="21" spans="2:107">
      <c r="B21" s="15">
        <f t="shared" si="41"/>
        <v>2031</v>
      </c>
      <c r="C21" s="9">
        <f t="shared" si="21"/>
        <v>119.28815572074085</v>
      </c>
      <c r="D21" s="45"/>
      <c r="E21" s="9">
        <f t="shared" ca="1" si="42"/>
        <v>34.767732822804177</v>
      </c>
      <c r="F21" s="37"/>
      <c r="G21" s="14">
        <f t="shared" ca="1" si="45"/>
        <v>48.385102197317977</v>
      </c>
      <c r="H21" s="166"/>
      <c r="I21" s="166"/>
      <c r="J21" s="166"/>
      <c r="O21">
        <f t="shared" si="22"/>
        <v>2031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D21">
        <v>0</v>
      </c>
      <c r="AE21">
        <v>100</v>
      </c>
      <c r="AF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107.06638115631692</v>
      </c>
      <c r="BB21">
        <f t="shared" si="38"/>
        <v>0</v>
      </c>
      <c r="BG21">
        <f t="shared" si="43"/>
        <v>2031</v>
      </c>
      <c r="BH21" s="129">
        <f>IFERROR(VLOOKUP($O21,'Table 3 PNC Wind_2026'!$B$10:$L$37,11,FALSE),0)</f>
        <v>213.14000000000001</v>
      </c>
      <c r="BI21" s="129">
        <f>IFERROR(VLOOKUP($O21,'Table 3 PNC Wind_2038'!$B$10:$L$37,11,FALSE),0)</f>
        <v>0</v>
      </c>
      <c r="BJ21" s="129">
        <f>IFERROR(VLOOKUP($O21,'Table 3 WV Wind_2026'!$B$10:$L$37,11,FALSE),0)</f>
        <v>194.70000000000002</v>
      </c>
      <c r="BK21" s="129">
        <f>IFERROR(VLOOKUP($O21,'Table 3 WYE Wind_2029'!$B$10:$L$37,11,FALSE),0)</f>
        <v>210.64</v>
      </c>
      <c r="BL21" s="129">
        <f>IFERROR(VLOOKUP($O21,'Table 3 WYE_DJ Wind_2028'!$B$10:$L$37,11,FALSE),0)</f>
        <v>144.91999999999999</v>
      </c>
      <c r="BM21" s="129">
        <f>IFERROR(VLOOKUP($O21,'Table 3 YK WindwS_2029'!$B$10:$L$37,11,FALSE),0)</f>
        <v>195.67</v>
      </c>
      <c r="BN21" s="129">
        <f>IFERROR(VLOOKUP($O21,'Table 3 PV wS Borah_2026'!$B$10:$K$37,10,FALSE),0)</f>
        <v>204.32</v>
      </c>
      <c r="BO21" s="362"/>
      <c r="BP21" s="129">
        <f>IFERROR(VLOOKUP($O21,'Table 3 PV wS SOR_2030'!$B$10:$K$37,10,FALSE),0)</f>
        <v>224.18</v>
      </c>
      <c r="BQ21" s="129">
        <f>IFERROR(VLOOKUP($O21,'Table 3 PV wS YK_2029'!$B$10:$K$37,10,FALSE),0)</f>
        <v>196.64000000000001</v>
      </c>
      <c r="BR21" s="129">
        <f>IFERROR(VLOOKUP($O21,'Table 3 PV wS UTN_2031'!$B$15:$K$37,10,FALSE),0)</f>
        <v>190.34566275538936</v>
      </c>
      <c r="BS21" s="129">
        <f>IFERROR(VLOOKUP($O21,'Table 3 PV wS UTS_2032'!B23:K45,10,FALSE),0)</f>
        <v>0</v>
      </c>
      <c r="BT21" s="361"/>
      <c r="BU21" s="362"/>
      <c r="BV21" s="129">
        <f>IFERROR(VLOOKUP($O21,'Table 3 StdBat  DJ_2029'!$B$15:$K$37,10,FALSE),0)</f>
        <v>113.97</v>
      </c>
      <c r="BW21" s="129">
        <f>IFERROR(VLOOKUP($O21,'Table 3 NonE 206MW (UTN) 2031'!$B$14:$M$36,12,FALSE),0)</f>
        <v>111.41513744317196</v>
      </c>
      <c r="BX21" s="129">
        <f>IFERROR(VLOOKUP($O21,'Table 3 NonE 206MW (Hgtn)'!$B$14:$M$36,12,FALSE),0)</f>
        <v>0</v>
      </c>
      <c r="BY21" s="361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11.928815572074084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6"/>
        <v>11.928815572074084</v>
      </c>
      <c r="DA21">
        <f t="shared" si="40"/>
        <v>2031</v>
      </c>
      <c r="DB21" s="89">
        <f>IFERROR(VLOOKUP($DA21,'Table 3 TransCost'!$AA$10:$AD$32,4,FALSE),0)</f>
        <v>60.56</v>
      </c>
      <c r="DC21" s="166">
        <f t="shared" si="44"/>
        <v>0</v>
      </c>
    </row>
    <row r="22" spans="2:107">
      <c r="B22" s="15">
        <f t="shared" si="41"/>
        <v>2032</v>
      </c>
      <c r="C22" s="9">
        <f t="shared" si="21"/>
        <v>121.85224839400429</v>
      </c>
      <c r="D22" s="45"/>
      <c r="E22" s="9">
        <f t="shared" ca="1" si="42"/>
        <v>33.836612360707733</v>
      </c>
      <c r="F22" s="37"/>
      <c r="G22" s="14">
        <f t="shared" ca="1" si="45"/>
        <v>47.708680711573443</v>
      </c>
      <c r="H22" s="166"/>
      <c r="I22" s="166"/>
      <c r="J22" s="166"/>
      <c r="O22">
        <f t="shared" si="22"/>
        <v>2032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D22">
        <v>0</v>
      </c>
      <c r="AE22">
        <v>0</v>
      </c>
      <c r="AF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G22">
        <f t="shared" si="43"/>
        <v>2032</v>
      </c>
      <c r="BH22" s="129">
        <f>IFERROR(VLOOKUP($O22,'Table 3 PNC Wind_2026'!$B$10:$L$37,11,FALSE),0)</f>
        <v>217.73000000000002</v>
      </c>
      <c r="BI22" s="129">
        <f>IFERROR(VLOOKUP($O22,'Table 3 PNC Wind_2038'!$B$10:$L$37,11,FALSE),0)</f>
        <v>0</v>
      </c>
      <c r="BJ22" s="129">
        <f>IFERROR(VLOOKUP($O22,'Table 3 WV Wind_2026'!$B$10:$L$37,11,FALSE),0)</f>
        <v>198.89999999999998</v>
      </c>
      <c r="BK22" s="129">
        <f>IFERROR(VLOOKUP($O22,'Table 3 WYE Wind_2029'!$B$10:$L$37,11,FALSE),0)</f>
        <v>215.17</v>
      </c>
      <c r="BL22" s="129">
        <f>IFERROR(VLOOKUP($O22,'Table 3 WYE_DJ Wind_2028'!$B$10:$L$37,11,FALSE),0)</f>
        <v>148.05000000000001</v>
      </c>
      <c r="BM22" s="129">
        <f>IFERROR(VLOOKUP($O22,'Table 3 YK WindwS_2029'!$B$10:$L$37,11,FALSE),0)</f>
        <v>199.89000000000001</v>
      </c>
      <c r="BN22" s="129">
        <f>IFERROR(VLOOKUP($O22,'Table 3 PV wS Borah_2026'!$B$10:$K$37,10,FALSE),0)</f>
        <v>208.72</v>
      </c>
      <c r="BO22" s="362"/>
      <c r="BP22" s="129">
        <f>IFERROR(VLOOKUP($O22,'Table 3 PV wS SOR_2030'!$B$10:$K$37,10,FALSE),0)</f>
        <v>229.01000000000002</v>
      </c>
      <c r="BQ22" s="129">
        <f>IFERROR(VLOOKUP($O22,'Table 3 PV wS YK_2029'!$B$10:$K$37,10,FALSE),0)</f>
        <v>200.88000000000002</v>
      </c>
      <c r="BR22" s="129">
        <f>IFERROR(VLOOKUP($O22,'Table 3 PV wS UTN_2031'!$B$15:$K$37,10,FALSE),0)</f>
        <v>194.43999999999997</v>
      </c>
      <c r="BS22" s="129">
        <f>IFERROR(VLOOKUP($O22,'Table 3 PV wS UTS_2032'!B24:K46,10,FALSE),0)</f>
        <v>191.64159812273908</v>
      </c>
      <c r="BT22" s="361"/>
      <c r="BU22" s="362"/>
      <c r="BV22" s="129">
        <f>IFERROR(VLOOKUP($O22,'Table 3 StdBat  DJ_2029'!$B$15:$K$37,10,FALSE),0)</f>
        <v>116.42</v>
      </c>
      <c r="BW22" s="129">
        <f>IFERROR(VLOOKUP($O22,'Table 3 NonE 206MW (UTN) 2031'!$B$14:$M$36,12,FALSE),0)</f>
        <v>113.81</v>
      </c>
      <c r="BX22" s="129">
        <f>IFERROR(VLOOKUP($O22,'Table 3 NonE 206MW (Hgtn)'!$B$14:$M$36,12,FALSE),0)</f>
        <v>0</v>
      </c>
      <c r="BY22" s="361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12.18522483940043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6"/>
        <v>12.18522483940043</v>
      </c>
      <c r="DA22">
        <f t="shared" si="40"/>
        <v>2032</v>
      </c>
      <c r="DB22" s="89">
        <f>IFERROR(VLOOKUP($DA22,'Table 3 TransCost'!$AA$10:$AD$32,4,FALSE),0)</f>
        <v>61.87</v>
      </c>
      <c r="DC22" s="166">
        <f t="shared" si="44"/>
        <v>0</v>
      </c>
    </row>
    <row r="23" spans="2:107">
      <c r="B23" s="15">
        <f t="shared" si="41"/>
        <v>2033</v>
      </c>
      <c r="C23" s="9">
        <f t="shared" si="21"/>
        <v>124.47537473233405</v>
      </c>
      <c r="D23" s="45"/>
      <c r="E23" s="9">
        <f t="shared" ca="1" si="42"/>
        <v>33.620614758863248</v>
      </c>
      <c r="F23" s="37"/>
      <c r="G23" s="14">
        <f t="shared" ca="1" si="45"/>
        <v>47.830132422371697</v>
      </c>
      <c r="H23" s="166"/>
      <c r="I23" s="166"/>
      <c r="J23" s="166"/>
      <c r="O23">
        <f t="shared" si="22"/>
        <v>2033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D23">
        <v>0</v>
      </c>
      <c r="AE23">
        <v>0</v>
      </c>
      <c r="AF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G23">
        <f t="shared" si="43"/>
        <v>2033</v>
      </c>
      <c r="BH23" s="129">
        <f>IFERROR(VLOOKUP($O23,'Table 3 PNC Wind_2026'!$B$10:$L$37,11,FALSE),0)</f>
        <v>222.42</v>
      </c>
      <c r="BI23" s="129">
        <f>IFERROR(VLOOKUP($O23,'Table 3 PNC Wind_2038'!$B$10:$L$37,11,FALSE),0)</f>
        <v>0</v>
      </c>
      <c r="BJ23" s="129">
        <f>IFERROR(VLOOKUP($O23,'Table 3 WV Wind_2026'!$B$10:$L$37,11,FALSE),0)</f>
        <v>203.18</v>
      </c>
      <c r="BK23" s="129">
        <f>IFERROR(VLOOKUP($O23,'Table 3 WYE Wind_2029'!$B$10:$L$37,11,FALSE),0)</f>
        <v>219.8</v>
      </c>
      <c r="BL23" s="129">
        <f>IFERROR(VLOOKUP($O23,'Table 3 WYE_DJ Wind_2028'!$B$10:$L$37,11,FALSE),0)</f>
        <v>151.24</v>
      </c>
      <c r="BM23" s="129">
        <f>IFERROR(VLOOKUP($O23,'Table 3 YK WindwS_2029'!$B$10:$L$37,11,FALSE),0)</f>
        <v>204.19</v>
      </c>
      <c r="BN23" s="129">
        <f>IFERROR(VLOOKUP($O23,'Table 3 PV wS Borah_2026'!$B$10:$K$37,10,FALSE),0)</f>
        <v>213.22000000000003</v>
      </c>
      <c r="BO23" s="362"/>
      <c r="BP23" s="129">
        <f>IFERROR(VLOOKUP($O23,'Table 3 PV wS SOR_2030'!$B$10:$K$37,10,FALSE),0)</f>
        <v>233.94</v>
      </c>
      <c r="BQ23" s="129">
        <f>IFERROR(VLOOKUP($O23,'Table 3 PV wS YK_2029'!$B$10:$K$37,10,FALSE),0)</f>
        <v>205.2</v>
      </c>
      <c r="BR23" s="129">
        <f>IFERROR(VLOOKUP($O23,'Table 3 PV wS UTN_2031'!$B$15:$K$37,10,FALSE),0)</f>
        <v>198.63</v>
      </c>
      <c r="BS23" s="129">
        <f>IFERROR(VLOOKUP($O23,'Table 3 PV wS UTS_2032'!B25:K47,10,FALSE),0)</f>
        <v>195.77</v>
      </c>
      <c r="BT23" s="361"/>
      <c r="BU23" s="362"/>
      <c r="BV23" s="129">
        <f>IFERROR(VLOOKUP($O23,'Table 3 StdBat  DJ_2029'!$B$15:$K$37,10,FALSE),0)</f>
        <v>118.92999999999999</v>
      </c>
      <c r="BW23" s="129">
        <f>IFERROR(VLOOKUP($O23,'Table 3 NonE 206MW (UTN) 2031'!$B$14:$M$36,12,FALSE),0)</f>
        <v>116.25999999999999</v>
      </c>
      <c r="BX23" s="129">
        <f>IFERROR(VLOOKUP($O23,'Table 3 NonE 206MW (Hgtn)'!$B$14:$M$36,12,FALSE),0)</f>
        <v>0</v>
      </c>
      <c r="BY23" s="361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12.447537473233403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6"/>
        <v>12.447537473233403</v>
      </c>
      <c r="DA23">
        <f t="shared" si="40"/>
        <v>2033</v>
      </c>
      <c r="DB23" s="89">
        <f>IFERROR(VLOOKUP($DA23,'Table 3 TransCost'!$AA$10:$AD$32,4,FALSE),0)</f>
        <v>63.20000000000001</v>
      </c>
      <c r="DC23" s="166">
        <f t="shared" si="44"/>
        <v>0</v>
      </c>
    </row>
    <row r="24" spans="2:107">
      <c r="B24" s="15">
        <f t="shared" si="41"/>
        <v>2034</v>
      </c>
      <c r="C24" s="9">
        <f t="shared" si="21"/>
        <v>127.1627408993576</v>
      </c>
      <c r="D24" s="45"/>
      <c r="E24" s="9">
        <f t="shared" ca="1" si="42"/>
        <v>31.833496823653203</v>
      </c>
      <c r="F24" s="37"/>
      <c r="G24" s="14">
        <f t="shared" ca="1" si="45"/>
        <v>46.349791446867549</v>
      </c>
      <c r="H24" s="166"/>
      <c r="I24" s="166"/>
      <c r="J24" s="166"/>
      <c r="O24">
        <f t="shared" si="22"/>
        <v>2034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D24">
        <v>0</v>
      </c>
      <c r="AE24">
        <v>0</v>
      </c>
      <c r="AF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0</v>
      </c>
      <c r="BB24">
        <f t="shared" si="38"/>
        <v>0</v>
      </c>
      <c r="BG24">
        <f t="shared" si="43"/>
        <v>2034</v>
      </c>
      <c r="BH24" s="129">
        <f>IFERROR(VLOOKUP($O24,'Table 3 PNC Wind_2026'!$B$10:$L$37,11,FALSE),0)</f>
        <v>227.22</v>
      </c>
      <c r="BI24" s="129">
        <f>IFERROR(VLOOKUP($O24,'Table 3 PNC Wind_2038'!$B$10:$L$37,11,FALSE),0)</f>
        <v>0</v>
      </c>
      <c r="BJ24" s="129">
        <f>IFERROR(VLOOKUP($O24,'Table 3 WV Wind_2026'!$B$10:$L$37,11,FALSE),0)</f>
        <v>207.56</v>
      </c>
      <c r="BK24" s="129">
        <f>IFERROR(VLOOKUP($O24,'Table 3 WYE Wind_2029'!$B$10:$L$37,11,FALSE),0)</f>
        <v>224.54</v>
      </c>
      <c r="BL24" s="129">
        <f>IFERROR(VLOOKUP($O24,'Table 3 WYE_DJ Wind_2028'!$B$10:$L$37,11,FALSE),0)</f>
        <v>154.5</v>
      </c>
      <c r="BM24" s="129">
        <f>IFERROR(VLOOKUP($O24,'Table 3 YK WindwS_2029'!$B$10:$L$37,11,FALSE),0)</f>
        <v>208.59</v>
      </c>
      <c r="BN24" s="129">
        <f>IFERROR(VLOOKUP($O24,'Table 3 PV wS Borah_2026'!$B$10:$K$37,10,FALSE),0)</f>
        <v>217.82</v>
      </c>
      <c r="BO24" s="362"/>
      <c r="BP24" s="129">
        <f>IFERROR(VLOOKUP($O24,'Table 3 PV wS SOR_2030'!$B$10:$K$37,10,FALSE),0)</f>
        <v>238.98</v>
      </c>
      <c r="BQ24" s="129">
        <f>IFERROR(VLOOKUP($O24,'Table 3 PV wS YK_2029'!$B$10:$K$37,10,FALSE),0)</f>
        <v>209.62</v>
      </c>
      <c r="BR24" s="129">
        <f>IFERROR(VLOOKUP($O24,'Table 3 PV wS UTN_2031'!$B$15:$K$37,10,FALSE),0)</f>
        <v>202.91000000000003</v>
      </c>
      <c r="BS24" s="129">
        <f>IFERROR(VLOOKUP($O24,'Table 3 PV wS UTS_2032'!B26:K48,10,FALSE),0)</f>
        <v>199.99</v>
      </c>
      <c r="BT24" s="361"/>
      <c r="BU24" s="362"/>
      <c r="BV24" s="129">
        <f>IFERROR(VLOOKUP($O24,'Table 3 StdBat  DJ_2029'!$B$15:$K$37,10,FALSE),0)</f>
        <v>121.49000000000001</v>
      </c>
      <c r="BW24" s="129">
        <f>IFERROR(VLOOKUP($O24,'Table 3 NonE 206MW (UTN) 2031'!$B$14:$M$36,12,FALSE),0)</f>
        <v>118.77</v>
      </c>
      <c r="BX24" s="129">
        <f>IFERROR(VLOOKUP($O24,'Table 3 NonE 206MW (Hgtn)'!$B$14:$M$36,12,FALSE),0)</f>
        <v>0</v>
      </c>
      <c r="BY24" s="361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12.716274089935759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6"/>
        <v>12.716274089935759</v>
      </c>
      <c r="DA24">
        <f t="shared" si="40"/>
        <v>2034</v>
      </c>
      <c r="DB24" s="89">
        <f>IFERROR(VLOOKUP($DA24,'Table 3 TransCost'!$AA$10:$AD$32,4,FALSE),0)</f>
        <v>64.56</v>
      </c>
      <c r="DC24" s="166">
        <f t="shared" si="44"/>
        <v>0</v>
      </c>
    </row>
    <row r="25" spans="2:107">
      <c r="B25" s="15">
        <f t="shared" si="41"/>
        <v>2035</v>
      </c>
      <c r="C25" s="9">
        <f t="shared" si="21"/>
        <v>129.90364025695931</v>
      </c>
      <c r="D25" s="45"/>
      <c r="E25" s="9">
        <f t="shared" ca="1" si="42"/>
        <v>33.124953904421652</v>
      </c>
      <c r="F25" s="37"/>
      <c r="G25" s="14">
        <f t="shared" ca="1" si="45"/>
        <v>47.954136582156735</v>
      </c>
      <c r="H25" s="166"/>
      <c r="I25" s="166"/>
      <c r="J25" s="166"/>
      <c r="O25">
        <f t="shared" si="22"/>
        <v>2035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D25">
        <v>0</v>
      </c>
      <c r="AE25">
        <v>0</v>
      </c>
      <c r="AF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G25">
        <f t="shared" si="43"/>
        <v>2035</v>
      </c>
      <c r="BH25" s="129">
        <f>IFERROR(VLOOKUP($O25,'Table 3 PNC Wind_2026'!$B$10:$L$37,11,FALSE),0)</f>
        <v>232.10999999999999</v>
      </c>
      <c r="BI25" s="129">
        <f>IFERROR(VLOOKUP($O25,'Table 3 PNC Wind_2038'!$B$10:$L$37,11,FALSE),0)</f>
        <v>0</v>
      </c>
      <c r="BJ25" s="129">
        <f>IFERROR(VLOOKUP($O25,'Table 3 WV Wind_2026'!$B$10:$L$37,11,FALSE),0)</f>
        <v>212.01999999999998</v>
      </c>
      <c r="BK25" s="129">
        <f>IFERROR(VLOOKUP($O25,'Table 3 WYE Wind_2029'!$B$10:$L$37,11,FALSE),0)</f>
        <v>229.38</v>
      </c>
      <c r="BL25" s="129">
        <f>IFERROR(VLOOKUP($O25,'Table 3 WYE_DJ Wind_2028'!$B$10:$L$37,11,FALSE),0)</f>
        <v>157.83000000000001</v>
      </c>
      <c r="BM25" s="129">
        <f>IFERROR(VLOOKUP($O25,'Table 3 YK WindwS_2029'!$B$10:$L$37,11,FALSE),0)</f>
        <v>213.07999999999998</v>
      </c>
      <c r="BN25" s="129">
        <f>IFERROR(VLOOKUP($O25,'Table 3 PV wS Borah_2026'!$B$10:$K$37,10,FALSE),0)</f>
        <v>222.51</v>
      </c>
      <c r="BO25" s="362"/>
      <c r="BP25" s="129">
        <f>IFERROR(VLOOKUP($O25,'Table 3 PV wS SOR_2030'!$B$10:$K$37,10,FALSE),0)</f>
        <v>244.12</v>
      </c>
      <c r="BQ25" s="129">
        <f>IFERROR(VLOOKUP($O25,'Table 3 PV wS YK_2029'!$B$10:$K$37,10,FALSE),0)</f>
        <v>214.14</v>
      </c>
      <c r="BR25" s="129">
        <f>IFERROR(VLOOKUP($O25,'Table 3 PV wS UTN_2031'!$B$15:$K$37,10,FALSE),0)</f>
        <v>207.28</v>
      </c>
      <c r="BS25" s="129">
        <f>IFERROR(VLOOKUP($O25,'Table 3 PV wS UTS_2032'!B27:K49,10,FALSE),0)</f>
        <v>204.3</v>
      </c>
      <c r="BT25" s="361"/>
      <c r="BU25" s="362"/>
      <c r="BV25" s="129">
        <f>IFERROR(VLOOKUP($O25,'Table 3 StdBat  DJ_2029'!$B$15:$K$37,10,FALSE),0)</f>
        <v>124.1</v>
      </c>
      <c r="BW25" s="129">
        <f>IFERROR(VLOOKUP($O25,'Table 3 NonE 206MW (UTN) 2031'!$B$14:$M$36,12,FALSE),0)</f>
        <v>121.33</v>
      </c>
      <c r="BX25" s="129">
        <f>IFERROR(VLOOKUP($O25,'Table 3 NonE 206MW (Hgtn)'!$B$14:$M$36,12,FALSE),0)</f>
        <v>0</v>
      </c>
      <c r="BY25" s="361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12.990364025695932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6"/>
        <v>12.990364025695932</v>
      </c>
      <c r="DA25">
        <f t="shared" si="40"/>
        <v>2035</v>
      </c>
      <c r="DB25" s="89">
        <f>IFERROR(VLOOKUP($DA25,'Table 3 TransCost'!$AA$10:$AD$32,4,FALSE),0)</f>
        <v>65.95</v>
      </c>
      <c r="DC25" s="166">
        <f t="shared" si="44"/>
        <v>0</v>
      </c>
    </row>
    <row r="26" spans="2:107">
      <c r="B26" s="15">
        <f t="shared" si="41"/>
        <v>2036</v>
      </c>
      <c r="C26" s="9">
        <f t="shared" si="21"/>
        <v>132.69807280513919</v>
      </c>
      <c r="D26" s="45"/>
      <c r="E26" s="9">
        <f t="shared" ca="1" si="42"/>
        <v>35.345191854541298</v>
      </c>
      <c r="F26" s="37"/>
      <c r="G26" s="14">
        <f t="shared" ca="1" si="45"/>
        <v>50.451985206674635</v>
      </c>
      <c r="H26" s="166"/>
      <c r="I26" s="166"/>
      <c r="J26" s="166"/>
      <c r="O26">
        <f t="shared" si="22"/>
        <v>2036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D26">
        <v>0</v>
      </c>
      <c r="AE26">
        <v>0</v>
      </c>
      <c r="AF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G26">
        <f t="shared" si="43"/>
        <v>2036</v>
      </c>
      <c r="BH26" s="129">
        <f>IFERROR(VLOOKUP($O26,'Table 3 PNC Wind_2026'!$B$10:$L$37,11,FALSE),0)</f>
        <v>237.11</v>
      </c>
      <c r="BI26" s="129">
        <f>IFERROR(VLOOKUP($O26,'Table 3 PNC Wind_2038'!$B$10:$L$37,11,FALSE),0)</f>
        <v>0</v>
      </c>
      <c r="BJ26" s="129">
        <f>IFERROR(VLOOKUP($O26,'Table 3 WV Wind_2026'!$B$10:$L$37,11,FALSE),0)</f>
        <v>216.58999999999997</v>
      </c>
      <c r="BK26" s="129">
        <f>IFERROR(VLOOKUP($O26,'Table 3 WYE Wind_2029'!$B$10:$L$37,11,FALSE),0)</f>
        <v>234.32999999999998</v>
      </c>
      <c r="BL26" s="129">
        <f>IFERROR(VLOOKUP($O26,'Table 3 WYE_DJ Wind_2028'!$B$10:$L$37,11,FALSE),0)</f>
        <v>161.23000000000002</v>
      </c>
      <c r="BM26" s="129">
        <f>IFERROR(VLOOKUP($O26,'Table 3 YK WindwS_2029'!$B$10:$L$37,11,FALSE),0)</f>
        <v>217.67</v>
      </c>
      <c r="BN26" s="129">
        <f>IFERROR(VLOOKUP($O26,'Table 3 PV wS Borah_2026'!$B$10:$K$37,10,FALSE),0)</f>
        <v>227.3</v>
      </c>
      <c r="BO26" s="362"/>
      <c r="BP26" s="129">
        <f>IFERROR(VLOOKUP($O26,'Table 3 PV wS SOR_2030'!$B$10:$K$37,10,FALSE),0)</f>
        <v>249.38</v>
      </c>
      <c r="BQ26" s="129">
        <f>IFERROR(VLOOKUP($O26,'Table 3 PV wS YK_2029'!$B$10:$K$37,10,FALSE),0)</f>
        <v>218.76000000000002</v>
      </c>
      <c r="BR26" s="129">
        <f>IFERROR(VLOOKUP($O26,'Table 3 PV wS UTN_2031'!$B$15:$K$37,10,FALSE),0)</f>
        <v>211.73999999999998</v>
      </c>
      <c r="BS26" s="129">
        <f>IFERROR(VLOOKUP($O26,'Table 3 PV wS UTS_2032'!B28:K50,10,FALSE),0)</f>
        <v>208.70000000000002</v>
      </c>
      <c r="BT26" s="361"/>
      <c r="BU26" s="362"/>
      <c r="BV26" s="129">
        <f>IFERROR(VLOOKUP($O26,'Table 3 StdBat  DJ_2029'!$B$15:$K$37,10,FALSE),0)</f>
        <v>126.78</v>
      </c>
      <c r="BW26" s="129">
        <f>IFERROR(VLOOKUP($O26,'Table 3 NonE 206MW (UTN) 2031'!$B$14:$M$36,12,FALSE),0)</f>
        <v>123.94</v>
      </c>
      <c r="BX26" s="129">
        <f>IFERROR(VLOOKUP($O26,'Table 3 NonE 206MW (Hgtn)'!$B$14:$M$36,12,FALSE),0)</f>
        <v>0</v>
      </c>
      <c r="BY26" s="361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13.269807280513918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6"/>
        <v>13.269807280513918</v>
      </c>
      <c r="DA26">
        <f t="shared" si="40"/>
        <v>2036</v>
      </c>
      <c r="DB26" s="89">
        <f>IFERROR(VLOOKUP($DA26,'Table 3 TransCost'!$AA$10:$AD$32,4,FALSE),0)</f>
        <v>67.37</v>
      </c>
      <c r="DC26" s="166">
        <f t="shared" si="44"/>
        <v>0</v>
      </c>
    </row>
    <row r="27" spans="2:107">
      <c r="B27" s="15">
        <f t="shared" si="41"/>
        <v>2037</v>
      </c>
      <c r="C27" s="9">
        <f t="shared" si="21"/>
        <v>135.55674518201286</v>
      </c>
      <c r="D27" s="45"/>
      <c r="E27" s="9">
        <f t="shared" ca="1" si="42"/>
        <v>42.840446127538847</v>
      </c>
      <c r="F27" s="37"/>
      <c r="G27" s="14">
        <f t="shared" ca="1" si="45"/>
        <v>58.314960417722951</v>
      </c>
      <c r="H27" s="166"/>
      <c r="I27" s="166"/>
      <c r="J27" s="166"/>
      <c r="O27">
        <f t="shared" si="22"/>
        <v>2037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0</v>
      </c>
      <c r="AE27">
        <v>0</v>
      </c>
      <c r="AF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G27">
        <f t="shared" si="43"/>
        <v>2037</v>
      </c>
      <c r="BH27" s="129">
        <f>IFERROR(VLOOKUP($O27,'Table 3 PNC Wind_2026'!$B$10:$L$37,11,FALSE),0)</f>
        <v>242.22</v>
      </c>
      <c r="BI27" s="129">
        <f>IFERROR(VLOOKUP($O27,'Table 3 PNC Wind_2038'!$B$10:$L$37,11,FALSE),0)</f>
        <v>0</v>
      </c>
      <c r="BJ27" s="129">
        <f>IFERROR(VLOOKUP($O27,'Table 3 WV Wind_2026'!$B$10:$L$37,11,FALSE),0)</f>
        <v>221.26</v>
      </c>
      <c r="BK27" s="129">
        <f>IFERROR(VLOOKUP($O27,'Table 3 WYE Wind_2029'!$B$10:$L$37,11,FALSE),0)</f>
        <v>239.38</v>
      </c>
      <c r="BL27" s="129">
        <f>IFERROR(VLOOKUP($O27,'Table 3 WYE_DJ Wind_2028'!$B$10:$L$37,11,FALSE),0)</f>
        <v>164.7</v>
      </c>
      <c r="BM27" s="129">
        <f>IFERROR(VLOOKUP($O27,'Table 3 YK WindwS_2029'!$B$10:$L$37,11,FALSE),0)</f>
        <v>222.35999999999999</v>
      </c>
      <c r="BN27" s="129">
        <f>IFERROR(VLOOKUP($O27,'Table 3 PV wS Borah_2026'!$B$10:$K$37,10,FALSE),0)</f>
        <v>232.20000000000002</v>
      </c>
      <c r="BO27" s="362"/>
      <c r="BP27" s="129">
        <f>IFERROR(VLOOKUP($O27,'Table 3 PV wS SOR_2030'!$B$10:$K$37,10,FALSE),0)</f>
        <v>254.76</v>
      </c>
      <c r="BQ27" s="129">
        <f>IFERROR(VLOOKUP($O27,'Table 3 PV wS YK_2029'!$B$10:$K$37,10,FALSE),0)</f>
        <v>223.47</v>
      </c>
      <c r="BR27" s="129">
        <f>IFERROR(VLOOKUP($O27,'Table 3 PV wS UTN_2031'!$B$15:$K$37,10,FALSE),0)</f>
        <v>216.31</v>
      </c>
      <c r="BS27" s="129">
        <f>IFERROR(VLOOKUP($O27,'Table 3 PV wS UTS_2032'!B29:K51,10,FALSE),0)</f>
        <v>213.2</v>
      </c>
      <c r="BT27" s="361"/>
      <c r="BU27" s="362"/>
      <c r="BV27" s="129">
        <f>IFERROR(VLOOKUP($O27,'Table 3 StdBat  DJ_2029'!$B$15:$K$37,10,FALSE),0)</f>
        <v>129.51</v>
      </c>
      <c r="BW27" s="129">
        <f>IFERROR(VLOOKUP($O27,'Table 3 NonE 206MW (UTN) 2031'!$B$14:$M$36,12,FALSE),0)</f>
        <v>126.61</v>
      </c>
      <c r="BX27" s="129">
        <f>IFERROR(VLOOKUP($O27,'Table 3 NonE 206MW (Hgtn)'!$B$14:$M$36,12,FALSE),0)</f>
        <v>103.9</v>
      </c>
      <c r="BY27" s="361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13.555674518201286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6"/>
        <v>13.555674518201286</v>
      </c>
      <c r="DA27">
        <f t="shared" si="40"/>
        <v>2037</v>
      </c>
      <c r="DB27" s="89">
        <f>IFERROR(VLOOKUP($DA27,'Table 3 TransCost'!$AA$10:$AD$32,4,FALSE),0)</f>
        <v>68.819999999999993</v>
      </c>
      <c r="DC27" s="166">
        <f t="shared" si="44"/>
        <v>0</v>
      </c>
    </row>
    <row r="28" spans="2:107">
      <c r="B28" s="15">
        <f t="shared" si="41"/>
        <v>2038</v>
      </c>
      <c r="C28" s="9">
        <f t="shared" si="21"/>
        <v>138.46895074946465</v>
      </c>
      <c r="D28" s="45"/>
      <c r="E28" s="9">
        <f t="shared" ca="1" si="42"/>
        <v>43.626009865225811</v>
      </c>
      <c r="F28" s="37"/>
      <c r="G28" s="14">
        <f t="shared" ca="1" si="45"/>
        <v>59.432967713338208</v>
      </c>
      <c r="H28" s="166"/>
      <c r="I28" s="166"/>
      <c r="J28" s="166"/>
      <c r="M28" s="111"/>
      <c r="O28">
        <f t="shared" si="22"/>
        <v>2038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D28">
        <v>0</v>
      </c>
      <c r="AE28">
        <v>0</v>
      </c>
      <c r="AF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G28">
        <f t="shared" si="43"/>
        <v>2038</v>
      </c>
      <c r="BH28" s="129">
        <f>IFERROR(VLOOKUP($O28,'Table 3 PNC Wind_2026'!$B$10:$L$37,11,FALSE),0)</f>
        <v>247.44</v>
      </c>
      <c r="BI28" s="129">
        <f>IFERROR(VLOOKUP($O28,'Table 3 PNC Wind_2038'!$B$10:$L$37,11,FALSE),0)</f>
        <v>250.03791492447499</v>
      </c>
      <c r="BJ28" s="129">
        <f>IFERROR(VLOOKUP($O28,'Table 3 WV Wind_2026'!$B$10:$L$37,11,FALSE),0)</f>
        <v>226.03</v>
      </c>
      <c r="BK28" s="129">
        <f>IFERROR(VLOOKUP($O28,'Table 3 WYE Wind_2029'!$B$10:$L$37,11,FALSE),0)</f>
        <v>244.54000000000002</v>
      </c>
      <c r="BL28" s="129">
        <f>IFERROR(VLOOKUP($O28,'Table 3 WYE_DJ Wind_2028'!$B$10:$L$37,11,FALSE),0)</f>
        <v>168.25</v>
      </c>
      <c r="BM28" s="129">
        <f>IFERROR(VLOOKUP($O28,'Table 3 YK WindwS_2029'!$B$10:$L$37,11,FALSE),0)</f>
        <v>227.16000000000003</v>
      </c>
      <c r="BN28" s="129">
        <f>IFERROR(VLOOKUP($O28,'Table 3 PV wS Borah_2026'!$B$10:$K$37,10,FALSE),0)</f>
        <v>237.2</v>
      </c>
      <c r="BO28" s="362"/>
      <c r="BP28" s="129">
        <f>IFERROR(VLOOKUP($O28,'Table 3 PV wS SOR_2030'!$B$10:$K$37,10,FALSE),0)</f>
        <v>260.25</v>
      </c>
      <c r="BQ28" s="129">
        <f>IFERROR(VLOOKUP($O28,'Table 3 PV wS YK_2029'!$B$10:$K$37,10,FALSE),0)</f>
        <v>228.29</v>
      </c>
      <c r="BR28" s="129">
        <f>IFERROR(VLOOKUP($O28,'Table 3 PV wS UTN_2031'!$B$15:$K$37,10,FALSE),0)</f>
        <v>220.96999999999997</v>
      </c>
      <c r="BS28" s="129">
        <f>IFERROR(VLOOKUP($O28,'Table 3 PV wS UTS_2032'!B30:K52,10,FALSE),0)</f>
        <v>217.79999999999998</v>
      </c>
      <c r="BT28" s="361"/>
      <c r="BU28" s="362"/>
      <c r="BV28" s="129">
        <f>IFERROR(VLOOKUP($O28,'Table 3 StdBat  DJ_2029'!$B$15:$K$37,10,FALSE),0)</f>
        <v>132.30000000000001</v>
      </c>
      <c r="BW28" s="129">
        <f>IFERROR(VLOOKUP($O28,'Table 3 NonE 206MW (UTN) 2031'!$B$14:$M$36,12,FALSE),0)</f>
        <v>129.32999999999998</v>
      </c>
      <c r="BX28" s="129">
        <f>IFERROR(VLOOKUP($O28,'Table 3 NonE 206MW (Hgtn)'!$B$14:$M$36,12,FALSE),0)</f>
        <v>106.14</v>
      </c>
      <c r="BY28" s="361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13.846895074946465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6"/>
        <v>13.846895074946465</v>
      </c>
      <c r="DA28">
        <f t="shared" si="40"/>
        <v>2038</v>
      </c>
      <c r="DB28" s="89">
        <f>IFERROR(VLOOKUP($DA28,'Table 3 TransCost'!$AA$10:$AD$32,4,FALSE),0)</f>
        <v>70.3</v>
      </c>
      <c r="DC28" s="166">
        <f t="shared" si="44"/>
        <v>0</v>
      </c>
    </row>
    <row r="29" spans="2:107" hidden="1">
      <c r="B29" s="15">
        <f t="shared" si="41"/>
        <v>2039</v>
      </c>
      <c r="C29" s="9">
        <f t="shared" si="21"/>
        <v>141.45610278372592</v>
      </c>
      <c r="D29" s="45"/>
      <c r="E29" s="9">
        <f t="shared" ca="1" si="42"/>
        <v>43.407482752716469</v>
      </c>
      <c r="F29" s="37"/>
      <c r="G29" s="14">
        <f t="shared" ca="1" si="45"/>
        <v>59.555439691497959</v>
      </c>
      <c r="H29" s="36"/>
      <c r="I29" s="166"/>
      <c r="J29" s="166"/>
      <c r="M29" s="111"/>
      <c r="O29">
        <f t="shared" si="22"/>
        <v>2039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D29">
        <v>0</v>
      </c>
      <c r="AE29">
        <v>0</v>
      </c>
      <c r="AF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G29">
        <f t="shared" si="43"/>
        <v>2039</v>
      </c>
      <c r="BH29" s="129">
        <f>IFERROR(VLOOKUP($O29,'Table 3 PNC Wind_2026'!$B$10:$L$37,11,FALSE),0)</f>
        <v>252.76999999999998</v>
      </c>
      <c r="BI29" s="129">
        <f>IFERROR(VLOOKUP($O29,'Table 3 PNC Wind_2038'!$B$10:$L$37,11,FALSE),0)</f>
        <v>255.43</v>
      </c>
      <c r="BJ29" s="129">
        <f>IFERROR(VLOOKUP($O29,'Table 3 WV Wind_2026'!$B$10:$L$37,11,FALSE),0)</f>
        <v>230.9</v>
      </c>
      <c r="BK29" s="129">
        <f>IFERROR(VLOOKUP($O29,'Table 3 WYE Wind_2029'!$B$10:$L$37,11,FALSE),0)</f>
        <v>249.81</v>
      </c>
      <c r="BL29" s="129">
        <f>IFERROR(VLOOKUP($O29,'Table 3 WYE_DJ Wind_2028'!$B$10:$L$37,11,FALSE),0)</f>
        <v>171.88</v>
      </c>
      <c r="BM29" s="129">
        <f>IFERROR(VLOOKUP($O29,'Table 3 YK WindwS_2029'!$B$10:$L$37,11,FALSE),0)</f>
        <v>232.06</v>
      </c>
      <c r="BN29" s="129">
        <f>IFERROR(VLOOKUP($O29,'Table 3 PV wS Borah_2026'!$B$10:$K$37,10,FALSE),0)</f>
        <v>242.32</v>
      </c>
      <c r="BO29" s="362"/>
      <c r="BP29" s="129">
        <f>IFERROR(VLOOKUP($O29,'Table 3 PV wS SOR_2030'!$B$10:$K$37,10,FALSE),0)</f>
        <v>265.84999999999997</v>
      </c>
      <c r="BQ29" s="129">
        <f>IFERROR(VLOOKUP($O29,'Table 3 PV wS YK_2029'!$B$10:$K$37,10,FALSE),0)</f>
        <v>233.21</v>
      </c>
      <c r="BR29" s="129">
        <f>IFERROR(VLOOKUP($O29,'Table 3 PV wS UTN_2031'!$B$15:$K$37,10,FALSE),0)</f>
        <v>225.73</v>
      </c>
      <c r="BS29" s="129">
        <f>IFERROR(VLOOKUP($O29,'Table 3 PV wS UTS_2032'!B31:K53,10,FALSE),0)</f>
        <v>222.49</v>
      </c>
      <c r="BT29" s="361"/>
      <c r="BU29" s="362"/>
      <c r="BV29" s="129">
        <f>IFERROR(VLOOKUP($O29,'Table 3 StdBat  DJ_2029'!$B$15:$K$37,10,FALSE),0)</f>
        <v>135.14999999999998</v>
      </c>
      <c r="BW29" s="129">
        <f>IFERROR(VLOOKUP($O29,'Table 3 NonE 206MW (UTN) 2031'!$B$14:$M$36,12,FALSE),0)</f>
        <v>132.12</v>
      </c>
      <c r="BX29" s="129">
        <f>IFERROR(VLOOKUP($O29,'Table 3 NonE 206MW (Hgtn)'!$B$14:$M$36,12,FALSE),0)</f>
        <v>108.43</v>
      </c>
      <c r="BY29" s="361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14.145610278372592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6"/>
        <v>14.145610278372592</v>
      </c>
      <c r="DA29">
        <f t="shared" si="40"/>
        <v>2039</v>
      </c>
      <c r="DB29" s="89">
        <f>IFERROR(VLOOKUP($DA29,'Table 3 TransCost'!$AA$10:$AD$32,4,FALSE),0)</f>
        <v>71.81</v>
      </c>
      <c r="DC29" s="166">
        <f t="shared" si="44"/>
        <v>0</v>
      </c>
    </row>
    <row r="30" spans="2:107" hidden="1">
      <c r="B30" s="15">
        <f t="shared" si="41"/>
        <v>2040</v>
      </c>
      <c r="C30" s="9">
        <f t="shared" si="21"/>
        <v>144.50749464668095</v>
      </c>
      <c r="D30" s="45"/>
      <c r="E30" s="9">
        <f t="shared" ca="1" si="42"/>
        <v>44.998109174967965</v>
      </c>
      <c r="F30" s="37"/>
      <c r="G30" s="14">
        <f t="shared" ca="1" si="45"/>
        <v>61.449326689389743</v>
      </c>
      <c r="H30" s="36"/>
      <c r="I30" s="166"/>
      <c r="J30" s="166"/>
      <c r="M30" s="111"/>
      <c r="O30">
        <f t="shared" si="22"/>
        <v>2040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D30">
        <v>0</v>
      </c>
      <c r="AE30">
        <v>0</v>
      </c>
      <c r="AF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G30">
        <f t="shared" si="43"/>
        <v>2040</v>
      </c>
      <c r="BH30" s="129">
        <f>IFERROR(VLOOKUP($O30,'Table 3 PNC Wind_2026'!$B$10:$L$37,11,FALSE),0)</f>
        <v>258.21000000000004</v>
      </c>
      <c r="BI30" s="129">
        <f>IFERROR(VLOOKUP($O30,'Table 3 PNC Wind_2038'!$B$10:$L$37,11,FALSE),0)</f>
        <v>260.93</v>
      </c>
      <c r="BJ30" s="129">
        <f>IFERROR(VLOOKUP($O30,'Table 3 WV Wind_2026'!$B$10:$L$37,11,FALSE),0)</f>
        <v>235.86999999999998</v>
      </c>
      <c r="BK30" s="129">
        <f>IFERROR(VLOOKUP($O30,'Table 3 WYE Wind_2029'!$B$10:$L$37,11,FALSE),0)</f>
        <v>255.19</v>
      </c>
      <c r="BL30" s="129">
        <f>IFERROR(VLOOKUP($O30,'Table 3 WYE_DJ Wind_2028'!$B$10:$L$37,11,FALSE),0)</f>
        <v>175.59</v>
      </c>
      <c r="BM30" s="129">
        <f>IFERROR(VLOOKUP($O30,'Table 3 YK WindwS_2029'!$B$10:$L$37,11,FALSE),0)</f>
        <v>237.06</v>
      </c>
      <c r="BN30" s="129">
        <f>IFERROR(VLOOKUP($O30,'Table 3 PV wS Borah_2026'!$B$10:$K$37,10,FALSE),0)</f>
        <v>247.54</v>
      </c>
      <c r="BO30" s="362"/>
      <c r="BP30" s="129">
        <f>IFERROR(VLOOKUP($O30,'Table 3 PV wS SOR_2030'!$B$10:$K$37,10,FALSE),0)</f>
        <v>271.58000000000004</v>
      </c>
      <c r="BQ30" s="129">
        <f>IFERROR(VLOOKUP($O30,'Table 3 PV wS YK_2029'!$B$10:$K$37,10,FALSE),0)</f>
        <v>238.24</v>
      </c>
      <c r="BR30" s="129">
        <f>IFERROR(VLOOKUP($O30,'Table 3 PV wS UTN_2031'!$B$15:$K$37,10,FALSE),0)</f>
        <v>230.59</v>
      </c>
      <c r="BS30" s="129">
        <f>IFERROR(VLOOKUP($O30,'Table 3 PV wS UTS_2032'!B32:K54,10,FALSE),0)</f>
        <v>227.28</v>
      </c>
      <c r="BT30" s="361"/>
      <c r="BU30" s="362"/>
      <c r="BV30" s="129">
        <f>IFERROR(VLOOKUP($O30,'Table 3 StdBat  DJ_2029'!$B$15:$K$37,10,FALSE),0)</f>
        <v>138.06</v>
      </c>
      <c r="BW30" s="129">
        <f>IFERROR(VLOOKUP($O30,'Table 3 NonE 206MW (UTN) 2031'!$B$14:$M$36,12,FALSE),0)</f>
        <v>134.97</v>
      </c>
      <c r="BX30" s="129">
        <f>IFERROR(VLOOKUP($O30,'Table 3 NonE 206MW (Hgtn)'!$B$14:$M$36,12,FALSE),0)</f>
        <v>110.77</v>
      </c>
      <c r="BY30" s="361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14.450749464668096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6"/>
        <v>14.450749464668096</v>
      </c>
      <c r="DA30">
        <f t="shared" si="40"/>
        <v>2040</v>
      </c>
      <c r="DB30" s="89">
        <f>IFERROR(VLOOKUP($DA30,'Table 3 TransCost'!$AA$10:$AD$32,4,FALSE),0)</f>
        <v>73.36</v>
      </c>
      <c r="DC30" s="166">
        <f t="shared" si="44"/>
        <v>0</v>
      </c>
    </row>
    <row r="31" spans="2:107" hidden="1">
      <c r="B31" s="15">
        <f t="shared" si="41"/>
        <v>2041</v>
      </c>
      <c r="C31" s="9" t="e">
        <f t="shared" si="21"/>
        <v>#N/A</v>
      </c>
      <c r="D31" s="45"/>
      <c r="E31" s="9" t="e">
        <f t="shared" ca="1" si="42"/>
        <v>#DIV/0!</v>
      </c>
      <c r="F31" s="37"/>
      <c r="G31" s="14" t="e">
        <f t="shared" ca="1" si="45"/>
        <v>#DIV/0!</v>
      </c>
      <c r="H31" s="36"/>
      <c r="I31" s="166"/>
      <c r="J31" s="166"/>
      <c r="M31" s="111"/>
      <c r="O31">
        <f t="shared" si="22"/>
        <v>2041</v>
      </c>
      <c r="P31" t="e">
        <v>#N/A</v>
      </c>
      <c r="Q31" t="e">
        <v>#N/A</v>
      </c>
      <c r="R31" t="e">
        <v>#N/A</v>
      </c>
      <c r="S31" t="e">
        <v>#N/A</v>
      </c>
      <c r="T31" t="e">
        <v>#N/A</v>
      </c>
      <c r="U31" t="e">
        <v>#N/A</v>
      </c>
      <c r="V31" t="e">
        <v>#N/A</v>
      </c>
      <c r="W31" t="e">
        <v>#N/A</v>
      </c>
      <c r="X31" t="e">
        <v>#N/A</v>
      </c>
      <c r="Y31" t="e">
        <v>#N/A</v>
      </c>
      <c r="Z31" t="e">
        <v>#N/A</v>
      </c>
      <c r="AA31" t="e">
        <v>#N/A</v>
      </c>
      <c r="AD31" t="e">
        <v>#N/A</v>
      </c>
      <c r="AE31" t="e">
        <v>#N/A</v>
      </c>
      <c r="AF31" t="e">
        <v>#N/A</v>
      </c>
      <c r="AL31" t="e">
        <f t="shared" ref="AL31:AL32" si="47">P31/P$5</f>
        <v>#N/A</v>
      </c>
      <c r="AM31" t="e">
        <f t="shared" ref="AM31:AM34" si="48">Q31/Q$5</f>
        <v>#N/A</v>
      </c>
      <c r="AN31" t="e">
        <f t="shared" ref="AN31:AN34" si="49">R31/R$5</f>
        <v>#N/A</v>
      </c>
      <c r="AO31" t="e">
        <f t="shared" ref="AO31:AO34" si="50">S31/S$5</f>
        <v>#N/A</v>
      </c>
      <c r="AP31" t="e">
        <f t="shared" ref="AP31:AP34" si="51">T31/T$5</f>
        <v>#N/A</v>
      </c>
      <c r="AQ31" t="e">
        <f t="shared" ref="AQ31:AQ34" si="52">U31/U$5</f>
        <v>#N/A</v>
      </c>
      <c r="AR31" t="e">
        <f t="shared" ref="AR31:AR34" si="53">V31/V$5</f>
        <v>#N/A</v>
      </c>
      <c r="AS31" t="e">
        <f t="shared" ref="AS31:AS34" si="54">W31/W$5</f>
        <v>#N/A</v>
      </c>
      <c r="AT31" t="e">
        <f t="shared" ref="AT31:AT34" si="55">X31/X$5</f>
        <v>#N/A</v>
      </c>
      <c r="AU31" t="e">
        <f t="shared" ref="AU31:AU34" si="56">Y31/Y$5</f>
        <v>#N/A</v>
      </c>
      <c r="AV31" t="e">
        <f t="shared" ref="AV31:AV34" si="57">Z31/Z$5</f>
        <v>#N/A</v>
      </c>
      <c r="AW31" t="e">
        <f t="shared" ref="AW31:AW34" si="58">AA31/AA$5</f>
        <v>#N/A</v>
      </c>
      <c r="AX31">
        <f t="shared" ref="AX31:AX34" si="59">AB31/AB$5</f>
        <v>0</v>
      </c>
      <c r="AY31">
        <f t="shared" ref="AY31:AY34" si="60">AC31/AC$5</f>
        <v>0</v>
      </c>
      <c r="AZ31" t="e">
        <f t="shared" ref="AZ31:AZ34" si="61">AD31/AD$5</f>
        <v>#N/A</v>
      </c>
      <c r="BA31" t="e">
        <f t="shared" ref="BA31:BA34" si="62">AE31/AE$5</f>
        <v>#N/A</v>
      </c>
      <c r="BB31" t="e">
        <f t="shared" ref="BB31:BB34" si="63">AF31/AF$5</f>
        <v>#N/A</v>
      </c>
      <c r="BG31">
        <f t="shared" ref="BG31:BG32" si="64">O31</f>
        <v>2041</v>
      </c>
      <c r="BH31" s="129">
        <f>IFERROR(VLOOKUP($O31,'Table 3 PNC Wind_2026'!$B$10:$L$37,11,FALSE),0)</f>
        <v>263.77</v>
      </c>
      <c r="BI31" s="129">
        <f>IFERROR(VLOOKUP($O31,'Table 3 PNC Wind_2038'!$B$10:$L$37,11,FALSE),0)</f>
        <v>266.55</v>
      </c>
      <c r="BJ31" s="129">
        <f>IFERROR(VLOOKUP($O31,'Table 3 WV Wind_2026'!$B$10:$L$37,11,FALSE),0)</f>
        <v>240.95</v>
      </c>
      <c r="BK31" s="129">
        <f>IFERROR(VLOOKUP($O31,'Table 3 WYE Wind_2029'!$B$10:$L$37,11,FALSE),0)</f>
        <v>260.68999999999994</v>
      </c>
      <c r="BL31" s="129">
        <f>IFERROR(VLOOKUP($O31,'Table 3 WYE_DJ Wind_2028'!$B$10:$L$37,11,FALSE),0)</f>
        <v>179.37</v>
      </c>
      <c r="BM31" s="129">
        <f>IFERROR(VLOOKUP($O31,'Table 3 YK WindwS_2029'!$B$10:$L$37,11,FALSE),0)</f>
        <v>242.16</v>
      </c>
      <c r="BN31" s="129">
        <f>IFERROR(VLOOKUP($O31,'Table 3 PV wS Borah_2026'!$B$10:$K$37,10,FALSE),0)</f>
        <v>252.87</v>
      </c>
      <c r="BO31" s="362"/>
      <c r="BP31" s="129">
        <f>IFERROR(VLOOKUP($O31,'Table 3 PV wS SOR_2030'!$B$10:$K$37,10,FALSE),0)</f>
        <v>277.43</v>
      </c>
      <c r="BQ31" s="129">
        <f>IFERROR(VLOOKUP($O31,'Table 3 PV wS YK_2029'!$B$10:$K$37,10,FALSE),0)</f>
        <v>243.37</v>
      </c>
      <c r="BR31" s="129">
        <f>IFERROR(VLOOKUP($O31,'Table 3 PV wS UTN_2031'!$B$15:$K$37,10,FALSE),0)</f>
        <v>235.56</v>
      </c>
      <c r="BS31" s="129">
        <f>IFERROR(VLOOKUP($O31,'Table 3 PV wS UTS_2032'!B33:K55,10,FALSE),0)</f>
        <v>232.17999999999998</v>
      </c>
      <c r="BT31" s="361"/>
      <c r="BU31" s="362"/>
      <c r="BV31" s="129">
        <f>IFERROR(VLOOKUP($O31,'Table 3 StdBat  DJ_2029'!$B$15:$K$37,10,FALSE),0)</f>
        <v>141.04</v>
      </c>
      <c r="BW31" s="129">
        <f>IFERROR(VLOOKUP($O31,'Table 3 NonE 206MW (UTN) 2031'!$B$14:$M$36,12,FALSE),0)</f>
        <v>137.87</v>
      </c>
      <c r="BX31" s="129">
        <f>IFERROR(VLOOKUP($O31,'Table 3 NonE 206MW (Hgtn)'!$B$14:$M$36,12,FALSE),0)</f>
        <v>113.16</v>
      </c>
      <c r="BY31" s="361"/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>
        <f>SUM(AX$13:AX31)*BT31/1000</f>
        <v>0</v>
      </c>
      <c r="CQ31">
        <f>SUM(AY$13:AY31)*BU31/1000</f>
        <v>0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5">SUM(CD31:CX31)</f>
        <v>#N/A</v>
      </c>
      <c r="DA31">
        <f t="shared" ref="DA31:DA32" si="66">O31</f>
        <v>2041</v>
      </c>
      <c r="DB31" s="89">
        <f>IFERROR(VLOOKUP($DA31,'Table 3 TransCost'!$AA$10:$AD$32,4,FALSE),0)</f>
        <v>74.94</v>
      </c>
      <c r="DC31" s="166">
        <f t="shared" ref="DC31:DC32" si="67">$DB$5*DB31/1000</f>
        <v>0</v>
      </c>
    </row>
    <row r="32" spans="2:107" hidden="1">
      <c r="B32" s="15">
        <f t="shared" si="41"/>
        <v>2042</v>
      </c>
      <c r="C32" s="9" t="e">
        <f t="shared" si="21"/>
        <v>#N/A</v>
      </c>
      <c r="D32" s="45"/>
      <c r="E32" s="9" t="e">
        <f t="shared" ca="1" si="42"/>
        <v>#VALUE!</v>
      </c>
      <c r="F32" s="37"/>
      <c r="G32" s="14" t="e">
        <f t="shared" ca="1" si="45"/>
        <v>#VALUE!</v>
      </c>
      <c r="H32" s="36"/>
      <c r="I32" s="166"/>
      <c r="J32" s="166"/>
      <c r="M32" s="111"/>
      <c r="O32">
        <f t="shared" si="22"/>
        <v>2042</v>
      </c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G32" s="335"/>
      <c r="AL32">
        <f t="shared" si="47"/>
        <v>0</v>
      </c>
      <c r="AM32">
        <f t="shared" si="48"/>
        <v>0</v>
      </c>
      <c r="AN32">
        <f t="shared" si="49"/>
        <v>0</v>
      </c>
      <c r="AO32">
        <f t="shared" si="50"/>
        <v>0</v>
      </c>
      <c r="AP32">
        <f t="shared" si="51"/>
        <v>0</v>
      </c>
      <c r="AQ32">
        <f t="shared" si="52"/>
        <v>0</v>
      </c>
      <c r="AR32">
        <f t="shared" si="53"/>
        <v>0</v>
      </c>
      <c r="AS32">
        <f t="shared" si="54"/>
        <v>0</v>
      </c>
      <c r="AT32">
        <f t="shared" si="55"/>
        <v>0</v>
      </c>
      <c r="AU32">
        <f t="shared" si="56"/>
        <v>0</v>
      </c>
      <c r="AV32">
        <f t="shared" si="57"/>
        <v>0</v>
      </c>
      <c r="AW32">
        <f t="shared" si="58"/>
        <v>0</v>
      </c>
      <c r="AX32">
        <f t="shared" si="59"/>
        <v>0</v>
      </c>
      <c r="AY32">
        <f t="shared" si="60"/>
        <v>0</v>
      </c>
      <c r="AZ32">
        <f t="shared" si="61"/>
        <v>0</v>
      </c>
      <c r="BA32">
        <f t="shared" si="62"/>
        <v>0</v>
      </c>
      <c r="BB32">
        <f t="shared" si="63"/>
        <v>0</v>
      </c>
      <c r="BG32">
        <f t="shared" si="64"/>
        <v>2042</v>
      </c>
      <c r="BH32" s="129">
        <f>IFERROR(VLOOKUP($O32,'Table 3 PNC Wind_2026'!$B$10:$L$37,11,FALSE),0)</f>
        <v>269.45</v>
      </c>
      <c r="BI32" s="129">
        <f>IFERROR(VLOOKUP($O32,'Table 3 PNC Wind_2038'!$B$10:$L$37,11,FALSE),0)</f>
        <v>272.29000000000002</v>
      </c>
      <c r="BJ32" s="129">
        <f>IFERROR(VLOOKUP($O32,'Table 3 WV Wind_2026'!$B$10:$L$37,11,FALSE),0)</f>
        <v>246.14</v>
      </c>
      <c r="BK32" s="129">
        <f>IFERROR(VLOOKUP($O32,'Table 3 WYE Wind_2029'!$B$10:$L$37,11,FALSE),0)</f>
        <v>266.29999999999995</v>
      </c>
      <c r="BL32" s="129">
        <f>IFERROR(VLOOKUP($O32,'Table 3 WYE_DJ Wind_2028'!$B$10:$L$37,11,FALSE),0)</f>
        <v>183.23</v>
      </c>
      <c r="BM32" s="129">
        <f>IFERROR(VLOOKUP($O32,'Table 3 YK WindwS_2029'!$B$10:$L$37,11,FALSE),0)</f>
        <v>247.38</v>
      </c>
      <c r="BN32" s="129">
        <f>IFERROR(VLOOKUP($O32,'Table 3 PV wS Borah_2026'!$B$10:$K$37,10,FALSE),0)</f>
        <v>258.31</v>
      </c>
      <c r="BO32" s="362"/>
      <c r="BP32" s="129">
        <f>IFERROR(VLOOKUP($O32,'Table 3 PV wS SOR_2030'!$B$10:$K$37,10,FALSE),0)</f>
        <v>283.41000000000003</v>
      </c>
      <c r="BQ32" s="129">
        <f>IFERROR(VLOOKUP($O32,'Table 3 PV wS YK_2029'!$B$10:$K$37,10,FALSE),0)</f>
        <v>248.62</v>
      </c>
      <c r="BR32" s="129">
        <f>IFERROR(VLOOKUP($O32,'Table 3 PV wS UTN_2031'!$B$15:$K$37,10,FALSE),0)</f>
        <v>240.63</v>
      </c>
      <c r="BS32" s="129">
        <f>IFERROR(VLOOKUP($O32,'Table 3 PV wS UTS_2032'!B34:K56,10,FALSE),0)</f>
        <v>237.18</v>
      </c>
      <c r="BT32" s="361"/>
      <c r="BU32" s="362"/>
      <c r="BV32" s="129">
        <f>IFERROR(VLOOKUP($O32,'Table 3 StdBat  DJ_2029'!$B$15:$K$37,10,FALSE),0)</f>
        <v>144.07999999999998</v>
      </c>
      <c r="BW32" s="129">
        <f>IFERROR(VLOOKUP($O32,'Table 3 NonE 206MW (UTN) 2031'!$B$14:$M$36,12,FALSE),0)</f>
        <v>140.84</v>
      </c>
      <c r="BX32" s="129">
        <f>IFERROR(VLOOKUP($O32,'Table 3 NonE 206MW (Hgtn)'!$B$14:$M$36,12,FALSE),0)</f>
        <v>115.6</v>
      </c>
      <c r="BY32" s="361"/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>
        <f>SUM(AX$13:AX32)*BT32/1000</f>
        <v>0</v>
      </c>
      <c r="CQ32">
        <f>SUM(AY$13:AY32)*BU32/1000</f>
        <v>0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5"/>
        <v>#N/A</v>
      </c>
      <c r="DA32">
        <f t="shared" si="66"/>
        <v>2042</v>
      </c>
      <c r="DB32" s="89">
        <f>IFERROR(VLOOKUP($DA32,'Table 3 TransCost'!$AA$10:$AD$32,4,FALSE),0)</f>
        <v>76.55</v>
      </c>
      <c r="DC32" s="166">
        <f t="shared" si="67"/>
        <v>0</v>
      </c>
    </row>
    <row r="33" spans="1:107" hidden="1">
      <c r="B33" s="15">
        <f t="shared" si="41"/>
        <v>2043</v>
      </c>
      <c r="C33" s="9" t="e">
        <f t="shared" si="21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#VALUE!</v>
      </c>
      <c r="F33" s="37"/>
      <c r="G33" s="14" t="e">
        <f t="shared" ca="1" si="45"/>
        <v>#VALUE!</v>
      </c>
      <c r="H33" s="36"/>
      <c r="I33" s="166"/>
      <c r="J33" s="166"/>
      <c r="M33" s="111"/>
      <c r="O33">
        <f t="shared" ref="O33" si="68">B33</f>
        <v>2043</v>
      </c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G33" s="335"/>
      <c r="AJ33">
        <v>0</v>
      </c>
      <c r="AL33">
        <f t="shared" si="23"/>
        <v>0</v>
      </c>
      <c r="AM33">
        <f t="shared" si="48"/>
        <v>0</v>
      </c>
      <c r="AN33">
        <f t="shared" si="49"/>
        <v>0</v>
      </c>
      <c r="AO33">
        <f t="shared" si="50"/>
        <v>0</v>
      </c>
      <c r="AP33">
        <f t="shared" si="51"/>
        <v>0</v>
      </c>
      <c r="AQ33">
        <f t="shared" si="52"/>
        <v>0</v>
      </c>
      <c r="AR33">
        <f t="shared" si="53"/>
        <v>0</v>
      </c>
      <c r="AS33">
        <f t="shared" si="54"/>
        <v>0</v>
      </c>
      <c r="AT33">
        <f t="shared" si="55"/>
        <v>0</v>
      </c>
      <c r="AU33">
        <f t="shared" si="56"/>
        <v>0</v>
      </c>
      <c r="AV33">
        <f t="shared" si="57"/>
        <v>0</v>
      </c>
      <c r="AW33">
        <f t="shared" si="58"/>
        <v>0</v>
      </c>
      <c r="AX33">
        <f t="shared" si="59"/>
        <v>0</v>
      </c>
      <c r="AY33">
        <f t="shared" si="60"/>
        <v>0</v>
      </c>
      <c r="AZ33">
        <f t="shared" si="61"/>
        <v>0</v>
      </c>
      <c r="BA33">
        <f t="shared" si="62"/>
        <v>0</v>
      </c>
      <c r="BB33">
        <f t="shared" si="63"/>
        <v>0</v>
      </c>
      <c r="BG33">
        <f t="shared" ref="BG33:BG34" si="69">O33</f>
        <v>2043</v>
      </c>
      <c r="BH33" s="129">
        <f>IFERROR(VLOOKUP($O33,'Table 3 PNC Wind_2026'!$B$10:$L$37,11,FALSE),0)</f>
        <v>275.26</v>
      </c>
      <c r="BI33" s="129">
        <f>IFERROR(VLOOKUP($O33,'Table 3 PNC Wind_2038'!$B$10:$L$37,11,FALSE),0)</f>
        <v>278.16000000000003</v>
      </c>
      <c r="BJ33" s="129">
        <f>IFERROR(VLOOKUP($O33,'Table 3 WV Wind_2026'!$B$10:$L$37,11,FALSE),0)</f>
        <v>251.45000000000002</v>
      </c>
      <c r="BK33" s="129">
        <f>IFERROR(VLOOKUP($O33,'Table 3 WYE Wind_2029'!$B$10:$L$37,11,FALSE),0)</f>
        <v>272.04000000000002</v>
      </c>
      <c r="BL33" s="129">
        <f>IFERROR(VLOOKUP($O33,'Table 3 WYE_DJ Wind_2028'!$B$10:$L$37,11,FALSE),0)</f>
        <v>187.18</v>
      </c>
      <c r="BM33" s="129">
        <f>IFERROR(VLOOKUP($O33,'Table 3 YK WindwS_2029'!$B$10:$L$37,11,FALSE),0)</f>
        <v>252.71</v>
      </c>
      <c r="BN33" s="129">
        <f>IFERROR(VLOOKUP($O33,'Table 3 PV wS Borah_2026'!$B$10:$K$37,10,FALSE),0)</f>
        <v>263.88</v>
      </c>
      <c r="BO33" s="362"/>
      <c r="BP33" s="129">
        <f>IFERROR(VLOOKUP($O33,'Table 3 PV wS SOR_2030'!$B$10:$K$37,10,FALSE),0)</f>
        <v>289.51</v>
      </c>
      <c r="BQ33" s="129">
        <f>IFERROR(VLOOKUP($O33,'Table 3 PV wS YK_2029'!$B$10:$K$37,10,FALSE),0)</f>
        <v>253.97</v>
      </c>
      <c r="BR33" s="129">
        <f>IFERROR(VLOOKUP($O33,'Table 3 PV wS UTN_2031'!$B$15:$K$37,10,FALSE),0)</f>
        <v>245.82</v>
      </c>
      <c r="BS33" s="129">
        <f>IFERROR(VLOOKUP($O33,'Table 3 PV wS UTS_2032'!B35:K57,10,FALSE),0)</f>
        <v>242.29</v>
      </c>
      <c r="BT33" s="361"/>
      <c r="BU33" s="362"/>
      <c r="BV33" s="129">
        <f>IFERROR(VLOOKUP($O33,'Table 3 StdBat  DJ_2029'!$B$15:$K$37,10,FALSE),0)</f>
        <v>147.18</v>
      </c>
      <c r="BW33" s="129">
        <f>IFERROR(VLOOKUP($O33,'Table 3 NonE 206MW (UTN) 2031'!$B$14:$M$36,12,FALSE),0)</f>
        <v>0</v>
      </c>
      <c r="BX33" s="129">
        <f>IFERROR(VLOOKUP($O33,'Table 3 NonE 206MW (Hgtn)'!$B$14:$M$36,12,FALSE),0)</f>
        <v>0</v>
      </c>
      <c r="BY33" s="361"/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>
        <f>SUM(AX$13:AX33)*BT33/1000</f>
        <v>0</v>
      </c>
      <c r="CQ33">
        <f>SUM(AY$13:AY33)*BU33/1000</f>
        <v>0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4" si="70">SUM(CD33:CX33)</f>
        <v>#N/A</v>
      </c>
      <c r="DA33">
        <f t="shared" ref="DA33:DA34" si="71">O33</f>
        <v>2043</v>
      </c>
      <c r="DB33" s="89">
        <f>IFERROR(VLOOKUP($DA33,'Table 3 TransCost'!$AA$10:$AD$32,4,FALSE),0)</f>
        <v>78.2</v>
      </c>
      <c r="DC33" s="166">
        <f t="shared" ref="DC33:DC34" si="72">$DB$5*DB33/1000</f>
        <v>0</v>
      </c>
    </row>
    <row r="34" spans="1:107" hidden="1">
      <c r="B34" s="15">
        <f t="shared" si="41"/>
        <v>2044</v>
      </c>
      <c r="C34" s="9" t="e">
        <f t="shared" si="21"/>
        <v>#N/A</v>
      </c>
      <c r="D34" s="45"/>
      <c r="E34" s="9" t="e">
        <f t="shared" ref="E34" ca="1" si="73">SUMIF(INDIRECT("'Table 5'!$J$"&amp;$K$3&amp;":$J$"&amp;$K$4),B34,INDIRECT("'Table 5'!$c$"&amp;$K$3&amp;":$c$"&amp;$K$4))/SUMIF(INDIRECT("'Table 5'!$J$"&amp;$K$3&amp;":$J$"&amp;$K$4),B34,INDIRECT("'Table 5'!$f$"&amp;$K$3&amp;":$f$"&amp;$K$4))</f>
        <v>#VALUE!</v>
      </c>
      <c r="F34" s="37"/>
      <c r="G34" s="14" t="e">
        <f t="shared" ca="1" si="45"/>
        <v>#VALUE!</v>
      </c>
      <c r="H34" s="36"/>
      <c r="I34" s="166"/>
      <c r="J34" s="166"/>
      <c r="M34" s="111"/>
      <c r="O34">
        <f t="shared" ref="O34" si="74">B34</f>
        <v>2044</v>
      </c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G34" s="335"/>
      <c r="AL34">
        <f t="shared" ref="AL34" si="75">P34/P$5</f>
        <v>0</v>
      </c>
      <c r="AM34">
        <f t="shared" si="48"/>
        <v>0</v>
      </c>
      <c r="AN34">
        <f t="shared" si="49"/>
        <v>0</v>
      </c>
      <c r="AO34">
        <f t="shared" si="50"/>
        <v>0</v>
      </c>
      <c r="AP34">
        <f t="shared" si="51"/>
        <v>0</v>
      </c>
      <c r="AQ34">
        <f t="shared" si="52"/>
        <v>0</v>
      </c>
      <c r="AR34">
        <f t="shared" si="53"/>
        <v>0</v>
      </c>
      <c r="AS34">
        <f t="shared" si="54"/>
        <v>0</v>
      </c>
      <c r="AT34">
        <f t="shared" si="55"/>
        <v>0</v>
      </c>
      <c r="AU34">
        <f t="shared" si="56"/>
        <v>0</v>
      </c>
      <c r="AV34">
        <f t="shared" si="57"/>
        <v>0</v>
      </c>
      <c r="AW34">
        <f t="shared" si="58"/>
        <v>0</v>
      </c>
      <c r="AX34">
        <f t="shared" si="59"/>
        <v>0</v>
      </c>
      <c r="AY34">
        <f t="shared" si="60"/>
        <v>0</v>
      </c>
      <c r="AZ34">
        <f t="shared" si="61"/>
        <v>0</v>
      </c>
      <c r="BA34">
        <f t="shared" si="62"/>
        <v>0</v>
      </c>
      <c r="BB34">
        <f t="shared" si="63"/>
        <v>0</v>
      </c>
      <c r="BG34">
        <f t="shared" si="69"/>
        <v>2044</v>
      </c>
      <c r="BH34" s="129">
        <f>IFERROR(VLOOKUP($O34,'Table 3 PNC Wind_2026'!$B$10:$L$37,11,FALSE),0)</f>
        <v>0</v>
      </c>
      <c r="BI34" s="129">
        <f>IFERROR(VLOOKUP($O34,'Table 3 PNC Wind_2038'!$B$10:$L$37,11,FALSE),0)</f>
        <v>0</v>
      </c>
      <c r="BJ34" s="129">
        <f>IFERROR(VLOOKUP($O34,'Table 3 WV Wind_2026'!$B$10:$L$37,11,FALSE),0)</f>
        <v>0</v>
      </c>
      <c r="BK34" s="129">
        <f>IFERROR(VLOOKUP($O34,'Table 3 WYE Wind_2029'!$B$10:$L$37,11,FALSE),0)</f>
        <v>0</v>
      </c>
      <c r="BL34" s="129">
        <f>IFERROR(VLOOKUP($O34,'Table 3 WYE_DJ Wind_2028'!$B$10:$L$37,11,FALSE),0)</f>
        <v>0</v>
      </c>
      <c r="BM34" s="129">
        <f>IFERROR(VLOOKUP($O34,'Table 3 YK WindwS_2029'!$B$10:$L$37,11,FALSE),0)</f>
        <v>0</v>
      </c>
      <c r="BN34" s="129">
        <f>IFERROR(VLOOKUP($O34,'Table 3 PV wS Borah_2026'!$B$10:$K$37,10,FALSE),0)</f>
        <v>0</v>
      </c>
      <c r="BO34" s="362"/>
      <c r="BP34" s="129">
        <f>IFERROR(VLOOKUP($O34,'Table 3 PV wS SOR_2030'!$B$10:$K$37,10,FALSE),0)</f>
        <v>0</v>
      </c>
      <c r="BQ34" s="129">
        <f>IFERROR(VLOOKUP($O34,'Table 3 PV wS YK_2029'!$B$10:$K$37,10,FALSE),0)</f>
        <v>0</v>
      </c>
      <c r="BR34" s="129">
        <f>IFERROR(VLOOKUP($O34,'Table 3 PV wS UTN_2031'!$B$15:$K$37,10,FALSE),0)</f>
        <v>0</v>
      </c>
      <c r="BS34" s="129">
        <f>IFERROR(VLOOKUP($O34,'Table 3 PV wS UTS_2032'!B36:K58,10,FALSE),0)</f>
        <v>0</v>
      </c>
      <c r="BT34" s="361"/>
      <c r="BU34" s="362"/>
      <c r="BV34" s="129">
        <f>IFERROR(VLOOKUP($O34,'Table 3 StdBat  DJ_2029'!$B$15:$K$37,10,FALSE),0)</f>
        <v>0</v>
      </c>
      <c r="BW34" s="129">
        <f>IFERROR(VLOOKUP($O34,'Table 3 NonE 206MW (UTN) 2031'!$B$14:$M$36,12,FALSE),0)</f>
        <v>0</v>
      </c>
      <c r="BX34" s="129">
        <f>IFERROR(VLOOKUP($O34,'Table 3 NonE 206MW (Hgtn)'!$B$14:$M$36,12,FALSE),0)</f>
        <v>0</v>
      </c>
      <c r="BY34" s="361"/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>
        <f>SUM(AX$13:AX34)*BT34/1000</f>
        <v>0</v>
      </c>
      <c r="CQ34">
        <f>SUM(AY$13:AY34)*BU34/1000</f>
        <v>0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70"/>
        <v>#N/A</v>
      </c>
      <c r="DA34">
        <f t="shared" si="71"/>
        <v>2044</v>
      </c>
      <c r="DB34" s="89">
        <f>IFERROR(VLOOKUP($DA34,'Table 3 TransCost'!$AA$10:$AD$32,4,FALSE),0)</f>
        <v>79.89</v>
      </c>
      <c r="DC34" s="166">
        <f t="shared" si="72"/>
        <v>0</v>
      </c>
    </row>
    <row r="35" spans="1:107">
      <c r="B35" s="15"/>
      <c r="C35" s="9"/>
      <c r="D35" s="45"/>
      <c r="E35" s="9"/>
      <c r="F35" s="37"/>
      <c r="G35" s="14"/>
      <c r="H35" s="36"/>
      <c r="I35" s="166"/>
      <c r="J35" s="166"/>
      <c r="M35" s="111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BH35" s="129"/>
      <c r="BI35" s="129"/>
      <c r="BJ35" s="129"/>
      <c r="BK35" s="129"/>
      <c r="BL35" s="333"/>
      <c r="BM35" s="129"/>
      <c r="BN35" s="129"/>
      <c r="BO35" s="333"/>
      <c r="BP35" s="129"/>
      <c r="BQ35" s="333"/>
      <c r="BR35" s="129"/>
      <c r="BS35" s="129"/>
      <c r="BT35" s="129"/>
      <c r="BU35" s="333"/>
      <c r="BV35" s="129"/>
      <c r="BW35" s="129"/>
      <c r="BX35" s="332"/>
      <c r="BY35" s="129"/>
      <c r="DB35" s="89"/>
      <c r="DC35" s="166"/>
    </row>
    <row r="36" spans="1:107" hidden="1">
      <c r="B36" s="15"/>
      <c r="C36" s="9"/>
      <c r="D36" s="45"/>
      <c r="E36" s="9"/>
      <c r="F36" s="37"/>
      <c r="G36" s="14"/>
      <c r="H36" s="36"/>
      <c r="I36" s="166"/>
      <c r="J36" s="166"/>
      <c r="M36" s="111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BH36" s="129"/>
      <c r="BI36" s="129"/>
      <c r="BJ36" s="129"/>
      <c r="BK36" s="129"/>
      <c r="BL36" s="333"/>
      <c r="BM36" s="129"/>
      <c r="BN36" s="129"/>
      <c r="BO36" s="333"/>
      <c r="BP36" s="129"/>
      <c r="BQ36" s="333"/>
      <c r="BR36" s="129"/>
      <c r="BS36" s="129"/>
      <c r="BT36" s="129"/>
      <c r="BU36" s="333"/>
      <c r="BV36" s="129"/>
      <c r="BW36" s="129"/>
      <c r="BX36" s="332"/>
      <c r="BY36" s="129"/>
      <c r="DB36" s="89"/>
      <c r="DC36" s="166"/>
    </row>
    <row r="37" spans="1:107" hidden="1">
      <c r="B37" s="15"/>
      <c r="C37" s="9"/>
      <c r="D37" s="45"/>
      <c r="E37" s="9"/>
      <c r="F37" s="37"/>
      <c r="G37" s="14"/>
      <c r="H37" s="36"/>
      <c r="I37" s="166"/>
      <c r="J37" s="166"/>
      <c r="M37" s="111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BH37" s="129"/>
      <c r="BI37" s="129"/>
      <c r="BJ37" s="129"/>
      <c r="BK37" s="129"/>
      <c r="BL37" s="333"/>
      <c r="BM37" s="129"/>
      <c r="BN37" s="129"/>
      <c r="BO37" s="333"/>
      <c r="BP37" s="129"/>
      <c r="BQ37" s="333"/>
      <c r="BR37" s="129"/>
      <c r="BS37" s="129"/>
      <c r="BT37" s="129"/>
      <c r="BU37" s="333"/>
      <c r="BV37" s="129"/>
      <c r="BW37" s="129"/>
      <c r="BX37" s="332"/>
      <c r="BY37" s="129"/>
      <c r="DB37" s="89"/>
      <c r="DC37" s="166"/>
    </row>
    <row r="38" spans="1:107" hidden="1">
      <c r="B38" s="15"/>
      <c r="C38" s="9"/>
      <c r="D38" s="45"/>
      <c r="E38" s="9"/>
      <c r="F38" s="37"/>
      <c r="G38" s="14"/>
      <c r="H38" s="36"/>
      <c r="I38" s="166"/>
      <c r="J38" s="166"/>
      <c r="M38" s="111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BH38" s="129"/>
      <c r="BI38" s="129"/>
      <c r="BJ38" s="129"/>
      <c r="BK38" s="129"/>
      <c r="BL38" s="333"/>
      <c r="BM38" s="129"/>
      <c r="BN38" s="129"/>
      <c r="BO38" s="333"/>
      <c r="BP38" s="129"/>
      <c r="BQ38" s="333"/>
      <c r="BR38" s="129"/>
      <c r="BS38" s="129"/>
      <c r="BT38" s="129"/>
      <c r="BU38" s="333"/>
      <c r="BV38" s="129"/>
      <c r="BW38" s="129"/>
      <c r="BX38" s="332"/>
      <c r="BY38" s="129"/>
      <c r="DB38" s="89"/>
      <c r="DC38" s="166"/>
    </row>
    <row r="39" spans="1:107" hidden="1">
      <c r="B39" s="160"/>
      <c r="C39" s="9"/>
      <c r="D39" s="45"/>
      <c r="E39" s="9"/>
      <c r="F39" s="37"/>
      <c r="G39" s="9"/>
      <c r="H39" s="36"/>
      <c r="I39" s="49"/>
      <c r="M39" s="111"/>
      <c r="BL39" t="s">
        <v>152</v>
      </c>
      <c r="BO39" t="s">
        <v>152</v>
      </c>
      <c r="BU39" t="s">
        <v>152</v>
      </c>
      <c r="BX39" t="s">
        <v>152</v>
      </c>
      <c r="DB39" s="89"/>
      <c r="DC39" s="166"/>
    </row>
    <row r="40" spans="1:107" ht="12" customHeight="1">
      <c r="B40" s="160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2038</v>
      </c>
      <c r="R40">
        <v>2026</v>
      </c>
      <c r="S40">
        <v>2029</v>
      </c>
      <c r="T40">
        <v>2028</v>
      </c>
      <c r="U40">
        <v>2029</v>
      </c>
      <c r="V40">
        <v>2026</v>
      </c>
      <c r="W40">
        <v>2028</v>
      </c>
      <c r="X40">
        <v>2030</v>
      </c>
      <c r="Y40">
        <v>2029</v>
      </c>
      <c r="Z40">
        <v>2031</v>
      </c>
      <c r="AA40">
        <v>2032</v>
      </c>
      <c r="AD40">
        <v>2029</v>
      </c>
      <c r="AE40">
        <v>2031</v>
      </c>
      <c r="AF40">
        <v>2037</v>
      </c>
    </row>
    <row r="41" spans="1:107">
      <c r="A41" s="416"/>
      <c r="B41" s="416"/>
      <c r="D41" s="9"/>
      <c r="F41" s="37"/>
      <c r="H41" s="36"/>
      <c r="I41"/>
      <c r="N41" t="s">
        <v>153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/>
      <c r="AC41" s="199"/>
      <c r="AD41" s="199">
        <v>0</v>
      </c>
      <c r="AE41" s="199">
        <v>1</v>
      </c>
      <c r="AF41" s="199">
        <v>0</v>
      </c>
      <c r="AG41" s="199"/>
      <c r="AH41" s="199"/>
      <c r="AI41" s="199"/>
      <c r="AJ41" s="199"/>
    </row>
    <row r="42" spans="1:107">
      <c r="A42" s="184"/>
      <c r="B42" s="55"/>
      <c r="E42" s="5"/>
      <c r="I42" s="49" t="s">
        <v>215</v>
      </c>
      <c r="P42" s="162"/>
      <c r="Q42" s="162"/>
      <c r="R42" s="162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6"/>
      <c r="H44" s="36"/>
    </row>
    <row r="45" spans="1:107">
      <c r="A45" s="417"/>
      <c r="B45" s="417"/>
      <c r="E45" s="9"/>
      <c r="G45" s="186"/>
      <c r="H45" s="36"/>
    </row>
    <row r="46" spans="1:107" ht="13.7" customHeight="1">
      <c r="A46" s="55"/>
      <c r="B46" s="55"/>
      <c r="E46" s="5"/>
      <c r="H46" s="36"/>
      <c r="I46" t="s">
        <v>216</v>
      </c>
    </row>
    <row r="47" spans="1:107" ht="21" customHeight="1">
      <c r="A47" s="417" t="str">
        <f>'Table 5'!A9</f>
        <v>15 Year</v>
      </c>
      <c r="B47" s="417"/>
      <c r="E47" s="9"/>
      <c r="G47" s="108"/>
      <c r="H47" s="36"/>
      <c r="I47" t="s">
        <v>100</v>
      </c>
      <c r="K47" s="355">
        <v>2.155E-2</v>
      </c>
    </row>
    <row r="48" spans="1:107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43.801553718393208</v>
      </c>
      <c r="D49" s="9"/>
      <c r="H49" s="36"/>
      <c r="I49"/>
    </row>
    <row r="50" spans="1:19">
      <c r="B50" s="48" t="s">
        <v>31</v>
      </c>
      <c r="E50" s="9">
        <f ca="1">'Table 5'!$C$9/'Table 5'!$F$9</f>
        <v>44.8185646109267</v>
      </c>
      <c r="G50" s="186">
        <f ca="1">'Table 5'!$G$9</f>
        <v>49.81874197604008</v>
      </c>
      <c r="H50" s="36"/>
      <c r="I50" s="205"/>
      <c r="K50" s="89"/>
      <c r="S50" s="166"/>
    </row>
    <row r="51" spans="1:19" ht="8.25" customHeight="1">
      <c r="A51" s="417"/>
      <c r="B51" s="417"/>
      <c r="E51" s="9"/>
      <c r="G51" s="108"/>
      <c r="H51" s="36"/>
    </row>
    <row r="52" spans="1:19">
      <c r="A52" s="417">
        <f>'Table 5'!A7</f>
        <v>0</v>
      </c>
      <c r="B52" s="417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86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66"/>
    </row>
    <row r="55" spans="1:19" hidden="1">
      <c r="B55" s="48"/>
      <c r="E55" s="9"/>
      <c r="G55" s="186"/>
      <c r="H55" s="36"/>
    </row>
    <row r="56" spans="1:19" hidden="1">
      <c r="A56" s="417">
        <f>'Table 5'!A10</f>
        <v>0</v>
      </c>
      <c r="B56" s="417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86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17"/>
      <c r="B61" s="417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6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15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$49.89/MWH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B2" sqref="B2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226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>
        <v>2471.0880000000002</v>
      </c>
      <c r="D26" s="127">
        <f>C26*$C$62</f>
        <v>133.90283630678405</v>
      </c>
      <c r="E26" s="127">
        <f>$C$56</f>
        <v>44.561753424658001</v>
      </c>
      <c r="F26" s="188">
        <f>$C$60</f>
        <v>13.177008391297024</v>
      </c>
      <c r="G26" s="129">
        <f t="shared" ref="G26" si="1">(D26+E26+F26)/(8.76*$C$63)</f>
        <v>67.84257631367673</v>
      </c>
      <c r="H26" s="127"/>
      <c r="I26" s="129">
        <f t="shared" ref="I26" si="2">(G26+H26)</f>
        <v>67.84257631367673</v>
      </c>
      <c r="J26" s="129">
        <f t="shared" ref="J26" si="3">ROUND(I26*$C$63*8.76,2)</f>
        <v>191.64</v>
      </c>
      <c r="K26" s="127">
        <f t="shared" ref="K26" si="4">(D26+E26+F26)</f>
        <v>191.64159812273908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ref="D27:F37" si="5">ROUND(D26*(1+IRP21_Infl_Rate),2)</f>
        <v>136.79</v>
      </c>
      <c r="E27" s="127">
        <f t="shared" si="5"/>
        <v>45.52</v>
      </c>
      <c r="F27" s="127">
        <f t="shared" si="5"/>
        <v>13.46</v>
      </c>
      <c r="G27" s="129">
        <f t="shared" ref="G27:G37" si="6">(D27+E27+F27)/(8.76*$C$63)</f>
        <v>69.304061827026601</v>
      </c>
      <c r="H27" s="127"/>
      <c r="I27" s="129">
        <f t="shared" ref="I27:I37" si="7">(G27+H27)</f>
        <v>69.304061827026601</v>
      </c>
      <c r="J27" s="129">
        <f t="shared" ref="J27:J37" si="8">ROUND(I27*$C$63*8.76,2)</f>
        <v>195.77</v>
      </c>
      <c r="K27" s="127">
        <f t="shared" ref="K27:K37" si="9">(D27+E27+F27)</f>
        <v>195.77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139.74</v>
      </c>
      <c r="E28" s="127">
        <f t="shared" si="5"/>
        <v>46.5</v>
      </c>
      <c r="F28" s="127">
        <f t="shared" si="5"/>
        <v>13.75</v>
      </c>
      <c r="G28" s="129">
        <f t="shared" si="6"/>
        <v>70.797973769152833</v>
      </c>
      <c r="H28" s="127"/>
      <c r="I28" s="129">
        <f t="shared" si="7"/>
        <v>70.797973769152833</v>
      </c>
      <c r="J28" s="129">
        <f t="shared" si="8"/>
        <v>199.99</v>
      </c>
      <c r="K28" s="127">
        <f t="shared" si="9"/>
        <v>199.99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142.75</v>
      </c>
      <c r="E29" s="127">
        <f t="shared" si="5"/>
        <v>47.5</v>
      </c>
      <c r="F29" s="127">
        <f t="shared" si="5"/>
        <v>14.05</v>
      </c>
      <c r="G29" s="129">
        <f t="shared" si="6"/>
        <v>72.32374639250925</v>
      </c>
      <c r="H29" s="127"/>
      <c r="I29" s="129">
        <f t="shared" si="7"/>
        <v>72.32374639250925</v>
      </c>
      <c r="J29" s="129">
        <f t="shared" si="8"/>
        <v>204.3</v>
      </c>
      <c r="K29" s="127">
        <f t="shared" si="9"/>
        <v>204.3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145.83000000000001</v>
      </c>
      <c r="E30" s="127">
        <f t="shared" si="5"/>
        <v>48.52</v>
      </c>
      <c r="F30" s="127">
        <f t="shared" si="5"/>
        <v>14.35</v>
      </c>
      <c r="G30" s="129">
        <f t="shared" si="6"/>
        <v>73.881379697095838</v>
      </c>
      <c r="H30" s="127"/>
      <c r="I30" s="129">
        <f t="shared" si="7"/>
        <v>73.881379697095838</v>
      </c>
      <c r="J30" s="129">
        <f t="shared" si="8"/>
        <v>208.7</v>
      </c>
      <c r="K30" s="127">
        <f t="shared" si="9"/>
        <v>208.70000000000002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148.97</v>
      </c>
      <c r="E31" s="127">
        <f t="shared" si="5"/>
        <v>49.57</v>
      </c>
      <c r="F31" s="127">
        <f t="shared" si="5"/>
        <v>14.66</v>
      </c>
      <c r="G31" s="129">
        <f t="shared" si="6"/>
        <v>75.474413758604854</v>
      </c>
      <c r="H31" s="127"/>
      <c r="I31" s="129">
        <f t="shared" si="7"/>
        <v>75.474413758604854</v>
      </c>
      <c r="J31" s="129">
        <f t="shared" si="8"/>
        <v>213.2</v>
      </c>
      <c r="K31" s="127">
        <f t="shared" si="9"/>
        <v>213.2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152.18</v>
      </c>
      <c r="E32" s="127">
        <f t="shared" si="5"/>
        <v>50.64</v>
      </c>
      <c r="F32" s="127">
        <f t="shared" si="5"/>
        <v>14.98</v>
      </c>
      <c r="G32" s="129">
        <f t="shared" si="6"/>
        <v>77.102848577036283</v>
      </c>
      <c r="H32" s="127"/>
      <c r="I32" s="129">
        <f t="shared" si="7"/>
        <v>77.102848577036283</v>
      </c>
      <c r="J32" s="129">
        <f t="shared" si="8"/>
        <v>217.8</v>
      </c>
      <c r="K32" s="127">
        <f t="shared" si="9"/>
        <v>217.79999999999998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155.46</v>
      </c>
      <c r="E33" s="127">
        <f t="shared" si="5"/>
        <v>51.73</v>
      </c>
      <c r="F33" s="127">
        <f t="shared" si="5"/>
        <v>15.3</v>
      </c>
      <c r="G33" s="129">
        <f t="shared" si="6"/>
        <v>78.763144076697913</v>
      </c>
      <c r="H33" s="127"/>
      <c r="I33" s="129">
        <f t="shared" si="7"/>
        <v>78.763144076697913</v>
      </c>
      <c r="J33" s="129">
        <f t="shared" si="8"/>
        <v>222.49</v>
      </c>
      <c r="K33" s="127">
        <f t="shared" si="9"/>
        <v>222.49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158.81</v>
      </c>
      <c r="E34" s="127">
        <f t="shared" si="5"/>
        <v>52.84</v>
      </c>
      <c r="F34" s="127">
        <f t="shared" si="5"/>
        <v>15.63</v>
      </c>
      <c r="G34" s="129">
        <f t="shared" si="6"/>
        <v>80.458840333281941</v>
      </c>
      <c r="H34" s="127"/>
      <c r="I34" s="129">
        <f t="shared" si="7"/>
        <v>80.458840333281941</v>
      </c>
      <c r="J34" s="129">
        <f t="shared" si="8"/>
        <v>227.28</v>
      </c>
      <c r="K34" s="127">
        <f t="shared" si="9"/>
        <v>227.28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162.22999999999999</v>
      </c>
      <c r="E35" s="127">
        <f t="shared" si="5"/>
        <v>53.98</v>
      </c>
      <c r="F35" s="127">
        <f t="shared" si="5"/>
        <v>15.97</v>
      </c>
      <c r="G35" s="129">
        <f t="shared" si="6"/>
        <v>82.19347742248064</v>
      </c>
      <c r="H35" s="127"/>
      <c r="I35" s="129">
        <f t="shared" si="7"/>
        <v>82.19347742248064</v>
      </c>
      <c r="J35" s="129">
        <f t="shared" si="8"/>
        <v>232.18</v>
      </c>
      <c r="K35" s="127">
        <f t="shared" si="9"/>
        <v>232.17999999999998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si="5"/>
        <v>165.73</v>
      </c>
      <c r="E36" s="127">
        <f t="shared" si="5"/>
        <v>55.14</v>
      </c>
      <c r="F36" s="127">
        <f t="shared" si="5"/>
        <v>16.309999999999999</v>
      </c>
      <c r="G36" s="129">
        <f t="shared" si="6"/>
        <v>83.963515268601782</v>
      </c>
      <c r="H36" s="127"/>
      <c r="I36" s="129">
        <f t="shared" si="7"/>
        <v>83.963515268601782</v>
      </c>
      <c r="J36" s="129">
        <f t="shared" si="8"/>
        <v>237.18</v>
      </c>
      <c r="K36" s="127">
        <f t="shared" si="9"/>
        <v>237.18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si="5"/>
        <v>169.3</v>
      </c>
      <c r="E37" s="127">
        <f t="shared" si="5"/>
        <v>56.33</v>
      </c>
      <c r="F37" s="127">
        <f t="shared" si="5"/>
        <v>16.66</v>
      </c>
      <c r="G37" s="129">
        <f t="shared" si="6"/>
        <v>85.772493947337566</v>
      </c>
      <c r="H37" s="127"/>
      <c r="I37" s="129">
        <f t="shared" si="7"/>
        <v>85.772493947337566</v>
      </c>
      <c r="J37" s="129">
        <f t="shared" si="8"/>
        <v>242.29</v>
      </c>
      <c r="K37" s="127">
        <f t="shared" si="9"/>
        <v>242.29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32.2%)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UTS Solar with Storage - 32%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2032</v>
      </c>
    </row>
    <row r="55" spans="2:25">
      <c r="B55" s="85" t="s">
        <v>213</v>
      </c>
      <c r="C55" s="367">
        <f>2718196.8/1100</f>
        <v>2471.0879999999997</v>
      </c>
      <c r="D55" s="116" t="s">
        <v>65</v>
      </c>
      <c r="O55" s="261">
        <v>1100</v>
      </c>
      <c r="P55" s="116" t="s">
        <v>32</v>
      </c>
    </row>
    <row r="56" spans="2:25">
      <c r="B56" s="85" t="s">
        <v>213</v>
      </c>
      <c r="C56" s="145">
        <f>49017.9287671238/1100</f>
        <v>44.561753424658001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213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2033$</v>
      </c>
      <c r="C60" s="148">
        <f>INDEX('Table 3 TransCost'!$39:$39,1,MATCH(F60,'Table 3 TransCost'!$4:$4,0)+2)</f>
        <v>13.177008391297024</v>
      </c>
      <c r="D60" s="116" t="s">
        <v>150</v>
      </c>
      <c r="F60" s="116" t="s">
        <v>158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0.32246556589655162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89"/>
  <sheetViews>
    <sheetView view="pageBreakPreview" topLeftCell="A76" zoomScale="60" zoomScaleNormal="80" workbookViewId="0">
      <selection activeCell="A90" sqref="A90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2:32" ht="15.75">
      <c r="B2" s="1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32" ht="15.75">
      <c r="B3" s="1" t="s">
        <v>56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180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Sm Adv Nuclear - 196 MW- East Side Resource (5,050')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32" ht="15.75">
      <c r="B6" s="1"/>
      <c r="C6" s="265"/>
      <c r="D6" s="265"/>
      <c r="E6" s="265"/>
      <c r="F6" s="265"/>
      <c r="G6" s="265"/>
      <c r="H6" s="265"/>
      <c r="I6" s="265"/>
      <c r="J6" s="265"/>
      <c r="L6" s="266"/>
    </row>
    <row r="7" spans="2:32">
      <c r="B7" s="267"/>
      <c r="C7" s="267"/>
      <c r="D7" s="267"/>
      <c r="E7" s="267"/>
      <c r="F7" s="267"/>
      <c r="G7" s="267"/>
      <c r="H7" s="267"/>
      <c r="I7" s="267"/>
      <c r="J7" s="26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8" t="s">
        <v>21</v>
      </c>
      <c r="K8" s="26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6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6"/>
      <c r="AB9" s="336"/>
      <c r="AC9" s="118"/>
      <c r="AD9" s="118"/>
      <c r="AE9" s="86"/>
      <c r="AF9" s="86"/>
    </row>
    <row r="10" spans="2:32">
      <c r="C10" s="270" t="s">
        <v>1</v>
      </c>
      <c r="D10" s="270" t="s">
        <v>2</v>
      </c>
      <c r="E10" s="270" t="s">
        <v>3</v>
      </c>
      <c r="F10" s="270" t="s">
        <v>4</v>
      </c>
      <c r="G10" s="270" t="s">
        <v>5</v>
      </c>
      <c r="H10" s="270" t="s">
        <v>7</v>
      </c>
      <c r="I10" s="270" t="s">
        <v>22</v>
      </c>
      <c r="J10" s="270" t="s">
        <v>23</v>
      </c>
      <c r="K10" s="27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67"/>
      <c r="K12" s="267"/>
      <c r="L12" s="26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1"/>
      <c r="C13" s="272"/>
      <c r="D13" s="273"/>
      <c r="E13" s="274"/>
      <c r="F13" s="274"/>
      <c r="G13" s="274"/>
      <c r="H13" s="275"/>
      <c r="I13" s="275"/>
      <c r="J13" s="275"/>
      <c r="K13" s="275"/>
      <c r="L13" s="27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71">
        <v>2020</v>
      </c>
      <c r="C14" s="276"/>
      <c r="D14" s="127"/>
      <c r="E14" s="127"/>
      <c r="F14" s="127"/>
      <c r="G14" s="374">
        <f>$C$68</f>
        <v>6.7187999999999999</v>
      </c>
      <c r="H14" s="275"/>
      <c r="I14" s="275"/>
      <c r="J14" s="275"/>
      <c r="K14" s="275"/>
      <c r="L14" s="275"/>
      <c r="M14" s="127"/>
      <c r="N14" s="41"/>
      <c r="P14" s="356"/>
      <c r="V14" s="157"/>
      <c r="W14" s="118"/>
      <c r="X14" s="153"/>
      <c r="Y14" s="337"/>
      <c r="Z14" s="118"/>
      <c r="AA14" s="153"/>
      <c r="AB14" s="153"/>
      <c r="AC14" s="118"/>
      <c r="AD14" s="118"/>
      <c r="AE14" s="86"/>
      <c r="AF14" s="86"/>
    </row>
    <row r="15" spans="2:32">
      <c r="B15" s="271">
        <f t="shared" ref="B15:B36" si="0">B14+1</f>
        <v>2021</v>
      </c>
      <c r="C15" s="276"/>
      <c r="D15" s="127"/>
      <c r="E15" s="127"/>
      <c r="F15" s="127"/>
      <c r="G15" s="127">
        <f t="shared" ref="G15:G36" si="1">ROUND(G14*(1+IRP21_Infl_Rate),2)</f>
        <v>6.86</v>
      </c>
      <c r="H15" s="275"/>
      <c r="I15" s="275"/>
      <c r="J15" s="127"/>
      <c r="K15" s="275"/>
      <c r="L15" s="275"/>
      <c r="M15" s="127"/>
      <c r="N15" s="41"/>
      <c r="P15" s="356"/>
      <c r="Q15" s="356"/>
      <c r="V15" s="157"/>
      <c r="W15" s="153"/>
      <c r="X15" s="153"/>
      <c r="Y15" s="337"/>
      <c r="Z15" s="153"/>
      <c r="AA15" s="153"/>
      <c r="AB15" s="153"/>
      <c r="AC15" s="118"/>
      <c r="AD15" s="118"/>
      <c r="AE15" s="86"/>
      <c r="AF15" s="86"/>
    </row>
    <row r="16" spans="2:32">
      <c r="B16" s="271">
        <f t="shared" si="0"/>
        <v>2022</v>
      </c>
      <c r="C16" s="276"/>
      <c r="D16" s="127"/>
      <c r="E16" s="127"/>
      <c r="F16" s="127"/>
      <c r="G16" s="127">
        <f t="shared" si="1"/>
        <v>7.01</v>
      </c>
      <c r="H16" s="275"/>
      <c r="I16" s="275"/>
      <c r="J16" s="127"/>
      <c r="K16" s="275"/>
      <c r="L16" s="275"/>
      <c r="M16" s="127"/>
      <c r="N16" s="41"/>
      <c r="P16" s="356"/>
      <c r="Q16" s="356"/>
      <c r="V16" s="157"/>
      <c r="W16" s="153"/>
      <c r="X16" s="153"/>
      <c r="Y16" s="337"/>
      <c r="Z16" s="153"/>
      <c r="AA16" s="153"/>
      <c r="AB16" s="153"/>
      <c r="AC16" s="118"/>
      <c r="AD16" s="118"/>
      <c r="AE16" s="86"/>
      <c r="AF16" s="86"/>
    </row>
    <row r="17" spans="2:32">
      <c r="B17" s="271">
        <f t="shared" si="0"/>
        <v>2023</v>
      </c>
      <c r="C17" s="276"/>
      <c r="D17" s="127"/>
      <c r="E17" s="127"/>
      <c r="F17" s="127"/>
      <c r="G17" s="127">
        <f t="shared" si="1"/>
        <v>7.16</v>
      </c>
      <c r="H17" s="275"/>
      <c r="I17" s="275"/>
      <c r="J17" s="127"/>
      <c r="K17" s="275"/>
      <c r="L17" s="275"/>
      <c r="M17" s="127"/>
      <c r="N17" s="41"/>
      <c r="P17" s="356"/>
      <c r="Q17" s="356"/>
      <c r="V17" s="157"/>
      <c r="W17" s="153"/>
      <c r="X17" s="153"/>
      <c r="Y17" s="337"/>
      <c r="Z17" s="153"/>
      <c r="AA17" s="153"/>
      <c r="AB17" s="153"/>
      <c r="AC17" s="118"/>
      <c r="AD17" s="118"/>
      <c r="AE17" s="86"/>
      <c r="AF17" s="86"/>
    </row>
    <row r="18" spans="2:32">
      <c r="B18" s="271">
        <f t="shared" si="0"/>
        <v>2024</v>
      </c>
      <c r="C18" s="276"/>
      <c r="D18" s="127"/>
      <c r="E18" s="127"/>
      <c r="F18" s="127"/>
      <c r="G18" s="127">
        <f t="shared" si="1"/>
        <v>7.31</v>
      </c>
      <c r="H18" s="275"/>
      <c r="I18" s="275"/>
      <c r="J18" s="127"/>
      <c r="K18" s="275"/>
      <c r="L18" s="275"/>
      <c r="M18" s="127"/>
      <c r="N18" s="41"/>
      <c r="P18" s="356"/>
      <c r="Q18" s="356"/>
      <c r="V18" s="157"/>
      <c r="W18" s="153"/>
      <c r="X18" s="153"/>
      <c r="Y18" s="337"/>
      <c r="Z18" s="153"/>
      <c r="AA18" s="153"/>
      <c r="AB18" s="153"/>
      <c r="AC18" s="118"/>
      <c r="AD18" s="118"/>
      <c r="AE18" s="86"/>
      <c r="AF18" s="86"/>
    </row>
    <row r="19" spans="2:32">
      <c r="B19" s="271">
        <f t="shared" si="0"/>
        <v>2025</v>
      </c>
      <c r="C19" s="276"/>
      <c r="D19" s="127"/>
      <c r="E19" s="127"/>
      <c r="F19" s="127"/>
      <c r="G19" s="127">
        <f t="shared" si="1"/>
        <v>7.47</v>
      </c>
      <c r="H19" s="275"/>
      <c r="I19" s="275"/>
      <c r="J19" s="127"/>
      <c r="K19" s="275"/>
      <c r="L19" s="275"/>
      <c r="M19" s="127"/>
      <c r="N19" s="41"/>
      <c r="P19" s="356"/>
      <c r="Q19" s="356"/>
      <c r="V19" s="157"/>
      <c r="W19" s="153"/>
      <c r="X19" s="153"/>
      <c r="Y19" s="337"/>
      <c r="Z19" s="153"/>
      <c r="AA19" s="153"/>
      <c r="AB19" s="153"/>
      <c r="AC19" s="118"/>
      <c r="AD19" s="118"/>
      <c r="AE19" s="86"/>
      <c r="AF19" s="86"/>
    </row>
    <row r="20" spans="2:32">
      <c r="B20" s="271">
        <f t="shared" si="0"/>
        <v>2026</v>
      </c>
      <c r="C20" s="276"/>
      <c r="D20" s="273"/>
      <c r="E20" s="127"/>
      <c r="F20" s="127"/>
      <c r="G20" s="127">
        <f t="shared" si="1"/>
        <v>7.63</v>
      </c>
      <c r="H20" s="275"/>
      <c r="I20" s="275"/>
      <c r="J20" s="127"/>
      <c r="K20" s="275"/>
      <c r="L20" s="275"/>
      <c r="M20" s="127"/>
      <c r="N20" s="41"/>
      <c r="P20" s="356"/>
      <c r="Q20" s="356"/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71">
        <f t="shared" si="0"/>
        <v>2027</v>
      </c>
      <c r="C21" s="276"/>
      <c r="D21" s="127"/>
      <c r="E21" s="127"/>
      <c r="F21" s="127"/>
      <c r="G21" s="127">
        <f t="shared" si="1"/>
        <v>7.79</v>
      </c>
      <c r="H21" s="275"/>
      <c r="I21" s="275"/>
      <c r="J21" s="127"/>
      <c r="K21" s="275"/>
      <c r="L21" s="275"/>
      <c r="M21" s="127"/>
      <c r="N21" s="41"/>
      <c r="P21" s="356"/>
      <c r="V21" s="338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71">
        <f t="shared" si="0"/>
        <v>2028</v>
      </c>
      <c r="C22" s="356">
        <f>$C$64</f>
        <v>3799.5717060566089</v>
      </c>
      <c r="D22" s="273">
        <f>ROUND(C22*$C$70,2)</f>
        <v>255.84</v>
      </c>
      <c r="E22" s="127"/>
      <c r="F22" s="127">
        <f>$C$67</f>
        <v>222.01</v>
      </c>
      <c r="G22" s="127">
        <f t="shared" si="1"/>
        <v>7.96</v>
      </c>
      <c r="H22" s="275">
        <f t="shared" ref="H22:H26" si="2">ROUND(G22*(8.76*$H$59)+F22,2)</f>
        <v>281.7</v>
      </c>
      <c r="I22" s="275">
        <f t="shared" ref="I22:I26" si="3">ROUND(D22+E22+H22,2)</f>
        <v>537.54</v>
      </c>
      <c r="J22" s="127"/>
      <c r="K22" s="275">
        <f t="shared" ref="K22:K26" si="4">ROUND($L$59*J22/1000,2)</f>
        <v>0</v>
      </c>
      <c r="L22" s="275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56"/>
      <c r="Q22" s="356"/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71">
        <f t="shared" si="0"/>
        <v>2029</v>
      </c>
      <c r="C23" s="276"/>
      <c r="D23" s="127">
        <f t="shared" ref="D23:D36" si="7">ROUND(D22*(1+IRP21_Infl_Rate),2)</f>
        <v>261.35000000000002</v>
      </c>
      <c r="E23" s="127"/>
      <c r="F23" s="127">
        <f t="shared" ref="F23:F36" si="8">ROUND(F22*(1+IRP21_Infl_Rate),2)</f>
        <v>226.79</v>
      </c>
      <c r="G23" s="127">
        <f t="shared" si="1"/>
        <v>8.1300000000000008</v>
      </c>
      <c r="H23" s="275">
        <f t="shared" si="2"/>
        <v>287.75</v>
      </c>
      <c r="I23" s="275">
        <f t="shared" si="3"/>
        <v>549.1</v>
      </c>
      <c r="J23" s="127"/>
      <c r="K23" s="275">
        <f t="shared" si="4"/>
        <v>0</v>
      </c>
      <c r="L23" s="275">
        <f t="shared" si="5"/>
        <v>73.23</v>
      </c>
      <c r="M23" s="127">
        <f t="shared" si="6"/>
        <v>488.14</v>
      </c>
      <c r="N23" s="41"/>
      <c r="P23" s="356"/>
      <c r="Q23" s="356"/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79" customFormat="1">
      <c r="B24" s="277">
        <f t="shared" si="0"/>
        <v>2030</v>
      </c>
      <c r="C24" s="276"/>
      <c r="D24" s="127">
        <f t="shared" si="7"/>
        <v>266.98</v>
      </c>
      <c r="E24" s="127"/>
      <c r="F24" s="127">
        <f t="shared" si="8"/>
        <v>231.68</v>
      </c>
      <c r="G24" s="127">
        <f t="shared" si="1"/>
        <v>8.31</v>
      </c>
      <c r="H24" s="275">
        <f t="shared" si="2"/>
        <v>293.99</v>
      </c>
      <c r="I24" s="275">
        <f t="shared" si="3"/>
        <v>560.97</v>
      </c>
      <c r="J24" s="127"/>
      <c r="K24" s="275">
        <f t="shared" si="4"/>
        <v>0</v>
      </c>
      <c r="L24" s="275">
        <f t="shared" si="5"/>
        <v>74.81</v>
      </c>
      <c r="M24" s="127">
        <f t="shared" si="6"/>
        <v>498.66</v>
      </c>
      <c r="N24" s="50"/>
      <c r="O24" s="85"/>
      <c r="P24" s="356"/>
      <c r="Q24" s="356"/>
      <c r="V24" s="157"/>
      <c r="W24" s="153"/>
      <c r="X24" s="153"/>
      <c r="Y24" s="153"/>
      <c r="Z24" s="153"/>
      <c r="AA24" s="153"/>
      <c r="AB24" s="153"/>
      <c r="AC24" s="118"/>
      <c r="AD24" s="118"/>
      <c r="AE24" s="339"/>
      <c r="AF24" s="339"/>
    </row>
    <row r="25" spans="2:32" s="279" customFormat="1">
      <c r="B25" s="277">
        <f t="shared" si="0"/>
        <v>2031</v>
      </c>
      <c r="C25" s="276"/>
      <c r="D25" s="127">
        <f t="shared" si="7"/>
        <v>272.73</v>
      </c>
      <c r="E25" s="127"/>
      <c r="F25" s="127">
        <f t="shared" si="8"/>
        <v>236.67</v>
      </c>
      <c r="G25" s="127">
        <f t="shared" si="1"/>
        <v>8.49</v>
      </c>
      <c r="H25" s="275">
        <f t="shared" si="2"/>
        <v>300.33</v>
      </c>
      <c r="I25" s="275">
        <f t="shared" si="3"/>
        <v>573.05999999999995</v>
      </c>
      <c r="J25" s="127"/>
      <c r="K25" s="275">
        <f t="shared" si="4"/>
        <v>0</v>
      </c>
      <c r="L25" s="275">
        <f t="shared" si="5"/>
        <v>76.42</v>
      </c>
      <c r="M25" s="127">
        <f t="shared" si="6"/>
        <v>509.4</v>
      </c>
      <c r="N25" s="50"/>
      <c r="O25" s="85"/>
      <c r="P25" s="356"/>
      <c r="Q25" s="356"/>
      <c r="V25" s="157"/>
      <c r="W25" s="153"/>
      <c r="X25" s="153"/>
      <c r="Y25" s="153"/>
      <c r="Z25" s="153"/>
      <c r="AA25" s="153"/>
      <c r="AB25" s="153"/>
      <c r="AC25" s="118"/>
      <c r="AD25" s="118"/>
      <c r="AE25" s="339"/>
      <c r="AF25" s="339"/>
    </row>
    <row r="26" spans="2:32" s="279" customFormat="1">
      <c r="B26" s="277">
        <f t="shared" si="0"/>
        <v>2032</v>
      </c>
      <c r="C26" s="276"/>
      <c r="D26" s="127">
        <f t="shared" si="7"/>
        <v>278.61</v>
      </c>
      <c r="E26" s="127"/>
      <c r="F26" s="127">
        <f t="shared" si="8"/>
        <v>241.77</v>
      </c>
      <c r="G26" s="127">
        <f t="shared" si="1"/>
        <v>8.67</v>
      </c>
      <c r="H26" s="275">
        <f t="shared" si="2"/>
        <v>306.77999999999997</v>
      </c>
      <c r="I26" s="275">
        <f t="shared" si="3"/>
        <v>585.39</v>
      </c>
      <c r="J26" s="127"/>
      <c r="K26" s="275">
        <f t="shared" si="4"/>
        <v>0</v>
      </c>
      <c r="L26" s="275">
        <f t="shared" si="5"/>
        <v>78.069999999999993</v>
      </c>
      <c r="M26" s="127">
        <f t="shared" si="6"/>
        <v>520.38</v>
      </c>
      <c r="N26" s="50"/>
      <c r="O26" s="85"/>
      <c r="P26" s="356"/>
      <c r="Q26" s="356"/>
      <c r="V26" s="157"/>
      <c r="W26" s="153"/>
      <c r="X26" s="153"/>
      <c r="Y26" s="153"/>
      <c r="Z26" s="153"/>
      <c r="AA26" s="153"/>
      <c r="AB26" s="153"/>
      <c r="AC26" s="118"/>
      <c r="AD26" s="118"/>
      <c r="AE26" s="339"/>
      <c r="AF26" s="339"/>
    </row>
    <row r="27" spans="2:32" s="279" customFormat="1">
      <c r="B27" s="277">
        <f t="shared" si="0"/>
        <v>2033</v>
      </c>
      <c r="C27" s="278"/>
      <c r="D27" s="127">
        <f t="shared" si="7"/>
        <v>284.61</v>
      </c>
      <c r="E27" s="127"/>
      <c r="F27" s="127">
        <f t="shared" si="8"/>
        <v>246.98</v>
      </c>
      <c r="G27" s="127">
        <f t="shared" si="1"/>
        <v>8.86</v>
      </c>
      <c r="H27" s="275">
        <f t="shared" ref="H27:H36" si="9">ROUND(G27*(8.76*$H$59)+F27,2)</f>
        <v>313.42</v>
      </c>
      <c r="I27" s="275">
        <f>ROUND(D27+E27+H27,2)</f>
        <v>598.03</v>
      </c>
      <c r="J27" s="127"/>
      <c r="K27" s="275">
        <f t="shared" ref="K27:K36" si="10">ROUND($L$59*J27/1000,2)</f>
        <v>0</v>
      </c>
      <c r="L27" s="275">
        <f t="shared" ref="L27:L36" si="11">ROUND(I27*1000/8760/$H$59+K27,2)</f>
        <v>79.75</v>
      </c>
      <c r="M27" s="127">
        <f>(D27+E27+F27)</f>
        <v>531.59</v>
      </c>
      <c r="N27" s="50"/>
      <c r="O27" s="85"/>
      <c r="P27" s="356"/>
      <c r="Q27" s="356"/>
      <c r="S27" s="358"/>
      <c r="V27" s="157"/>
      <c r="W27" s="153"/>
      <c r="X27" s="153"/>
      <c r="Y27" s="153"/>
      <c r="Z27" s="153"/>
      <c r="AA27" s="153"/>
      <c r="AB27" s="153"/>
      <c r="AC27" s="118"/>
      <c r="AD27" s="118"/>
      <c r="AE27" s="339"/>
      <c r="AF27" s="339"/>
    </row>
    <row r="28" spans="2:32" s="279" customFormat="1">
      <c r="B28" s="277">
        <f t="shared" si="0"/>
        <v>2034</v>
      </c>
      <c r="C28" s="278"/>
      <c r="D28" s="127">
        <f t="shared" si="7"/>
        <v>290.74</v>
      </c>
      <c r="E28" s="127"/>
      <c r="F28" s="127">
        <f t="shared" si="8"/>
        <v>252.3</v>
      </c>
      <c r="G28" s="127">
        <f t="shared" si="1"/>
        <v>9.0500000000000007</v>
      </c>
      <c r="H28" s="275">
        <f t="shared" si="9"/>
        <v>320.16000000000003</v>
      </c>
      <c r="I28" s="275">
        <f t="shared" ref="I28:I36" si="12">ROUND(D28+E28+H28,2)</f>
        <v>610.9</v>
      </c>
      <c r="J28" s="127"/>
      <c r="K28" s="275">
        <f t="shared" si="10"/>
        <v>0</v>
      </c>
      <c r="L28" s="275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56"/>
      <c r="V28" s="157"/>
      <c r="W28" s="153"/>
      <c r="X28" s="153"/>
      <c r="Y28" s="153"/>
      <c r="Z28" s="153"/>
      <c r="AA28" s="153"/>
      <c r="AB28" s="153"/>
      <c r="AC28" s="118"/>
      <c r="AD28" s="118"/>
      <c r="AE28" s="339"/>
      <c r="AF28" s="339"/>
    </row>
    <row r="29" spans="2:32">
      <c r="B29" s="271">
        <f t="shared" si="0"/>
        <v>2035</v>
      </c>
      <c r="C29" s="276"/>
      <c r="D29" s="127">
        <f t="shared" si="7"/>
        <v>297.01</v>
      </c>
      <c r="E29" s="127"/>
      <c r="F29" s="127">
        <f t="shared" si="8"/>
        <v>257.74</v>
      </c>
      <c r="G29" s="127">
        <f t="shared" si="1"/>
        <v>9.25</v>
      </c>
      <c r="H29" s="275">
        <f t="shared" si="9"/>
        <v>327.10000000000002</v>
      </c>
      <c r="I29" s="275">
        <f t="shared" si="12"/>
        <v>624.11</v>
      </c>
      <c r="J29" s="127"/>
      <c r="K29" s="275">
        <f t="shared" si="10"/>
        <v>0</v>
      </c>
      <c r="L29" s="275">
        <f t="shared" si="11"/>
        <v>83.23</v>
      </c>
      <c r="M29" s="127">
        <f t="shared" si="13"/>
        <v>554.75</v>
      </c>
      <c r="N29" s="50"/>
      <c r="Q29" s="356"/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71">
        <f t="shared" si="0"/>
        <v>2036</v>
      </c>
      <c r="C30" s="276"/>
      <c r="D30" s="127">
        <f t="shared" si="7"/>
        <v>303.41000000000003</v>
      </c>
      <c r="E30" s="127"/>
      <c r="F30" s="127">
        <f t="shared" si="8"/>
        <v>263.29000000000002</v>
      </c>
      <c r="G30" s="127">
        <f t="shared" si="1"/>
        <v>9.4499999999999993</v>
      </c>
      <c r="H30" s="275">
        <f t="shared" si="9"/>
        <v>334.15</v>
      </c>
      <c r="I30" s="275">
        <f t="shared" si="12"/>
        <v>637.55999999999995</v>
      </c>
      <c r="J30" s="127"/>
      <c r="K30" s="275">
        <f t="shared" si="10"/>
        <v>0</v>
      </c>
      <c r="L30" s="275">
        <f t="shared" si="11"/>
        <v>85.02</v>
      </c>
      <c r="M30" s="127">
        <f t="shared" si="13"/>
        <v>566.70000000000005</v>
      </c>
      <c r="N30" s="50"/>
      <c r="Q30" s="356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1">
        <f t="shared" si="0"/>
        <v>2037</v>
      </c>
      <c r="C31" s="276"/>
      <c r="D31" s="127">
        <f t="shared" si="7"/>
        <v>309.95</v>
      </c>
      <c r="E31" s="127"/>
      <c r="F31" s="127">
        <f t="shared" si="8"/>
        <v>268.95999999999998</v>
      </c>
      <c r="G31" s="127">
        <f t="shared" si="1"/>
        <v>9.65</v>
      </c>
      <c r="H31" s="275">
        <f t="shared" si="9"/>
        <v>341.32</v>
      </c>
      <c r="I31" s="275">
        <f t="shared" si="12"/>
        <v>651.27</v>
      </c>
      <c r="J31" s="127"/>
      <c r="K31" s="275">
        <f t="shared" si="10"/>
        <v>0</v>
      </c>
      <c r="L31" s="275">
        <f t="shared" si="11"/>
        <v>86.85</v>
      </c>
      <c r="M31" s="127">
        <f t="shared" si="13"/>
        <v>578.91</v>
      </c>
      <c r="N31" s="50"/>
      <c r="Q31" s="356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1">
        <f t="shared" si="0"/>
        <v>2038</v>
      </c>
      <c r="C32" s="276"/>
      <c r="D32" s="127">
        <f t="shared" si="7"/>
        <v>316.63</v>
      </c>
      <c r="E32" s="127"/>
      <c r="F32" s="127">
        <f t="shared" si="8"/>
        <v>274.76</v>
      </c>
      <c r="G32" s="127">
        <f t="shared" si="1"/>
        <v>9.86</v>
      </c>
      <c r="H32" s="275">
        <f t="shared" si="9"/>
        <v>348.7</v>
      </c>
      <c r="I32" s="275">
        <f t="shared" si="12"/>
        <v>665.33</v>
      </c>
      <c r="J32" s="127"/>
      <c r="K32" s="275">
        <f t="shared" si="10"/>
        <v>0</v>
      </c>
      <c r="L32" s="275">
        <f t="shared" si="11"/>
        <v>88.73</v>
      </c>
      <c r="M32" s="127">
        <f t="shared" si="13"/>
        <v>591.39</v>
      </c>
      <c r="N32" s="50"/>
      <c r="Q32" s="356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1">
        <f t="shared" si="0"/>
        <v>2039</v>
      </c>
      <c r="C33" s="276"/>
      <c r="D33" s="127">
        <f t="shared" si="7"/>
        <v>323.45</v>
      </c>
      <c r="E33" s="127"/>
      <c r="F33" s="127">
        <f t="shared" si="8"/>
        <v>280.68</v>
      </c>
      <c r="G33" s="127">
        <f t="shared" si="1"/>
        <v>10.07</v>
      </c>
      <c r="H33" s="275">
        <f t="shared" si="9"/>
        <v>356.19</v>
      </c>
      <c r="I33" s="275">
        <f t="shared" si="12"/>
        <v>679.64</v>
      </c>
      <c r="J33" s="127"/>
      <c r="K33" s="275">
        <f t="shared" si="10"/>
        <v>0</v>
      </c>
      <c r="L33" s="275">
        <f t="shared" si="11"/>
        <v>90.64</v>
      </c>
      <c r="M33" s="127">
        <f t="shared" si="13"/>
        <v>604.13</v>
      </c>
      <c r="Q33" s="356"/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1">
        <f t="shared" si="0"/>
        <v>2040</v>
      </c>
      <c r="C34" s="276"/>
      <c r="D34" s="127">
        <f t="shared" si="7"/>
        <v>330.42</v>
      </c>
      <c r="E34" s="127"/>
      <c r="F34" s="127">
        <f t="shared" si="8"/>
        <v>286.73</v>
      </c>
      <c r="G34" s="127">
        <f t="shared" si="1"/>
        <v>10.29</v>
      </c>
      <c r="H34" s="275">
        <f t="shared" si="9"/>
        <v>363.89</v>
      </c>
      <c r="I34" s="275">
        <f t="shared" si="12"/>
        <v>694.31</v>
      </c>
      <c r="J34" s="127"/>
      <c r="K34" s="275">
        <f t="shared" si="10"/>
        <v>0</v>
      </c>
      <c r="L34" s="275">
        <f t="shared" si="11"/>
        <v>92.59</v>
      </c>
      <c r="M34" s="127">
        <f t="shared" si="13"/>
        <v>617.15000000000009</v>
      </c>
      <c r="Q34" s="356"/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1">
        <f t="shared" si="0"/>
        <v>2041</v>
      </c>
      <c r="C35" s="276"/>
      <c r="D35" s="127">
        <f t="shared" si="7"/>
        <v>337.54</v>
      </c>
      <c r="E35" s="127"/>
      <c r="F35" s="127">
        <f t="shared" si="8"/>
        <v>292.91000000000003</v>
      </c>
      <c r="G35" s="127">
        <f t="shared" si="1"/>
        <v>10.51</v>
      </c>
      <c r="H35" s="275">
        <f t="shared" si="9"/>
        <v>371.72</v>
      </c>
      <c r="I35" s="275">
        <f t="shared" si="12"/>
        <v>709.26</v>
      </c>
      <c r="J35" s="127"/>
      <c r="K35" s="275">
        <f t="shared" si="10"/>
        <v>0</v>
      </c>
      <c r="L35" s="275">
        <f t="shared" si="11"/>
        <v>94.59</v>
      </c>
      <c r="M35" s="127">
        <f t="shared" si="13"/>
        <v>630.45000000000005</v>
      </c>
      <c r="Q35" s="356"/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1">
        <f t="shared" si="0"/>
        <v>2042</v>
      </c>
      <c r="C36" s="276"/>
      <c r="D36" s="127">
        <f t="shared" si="7"/>
        <v>344.81</v>
      </c>
      <c r="E36" s="127"/>
      <c r="F36" s="127">
        <f t="shared" si="8"/>
        <v>299.22000000000003</v>
      </c>
      <c r="G36" s="127">
        <f t="shared" si="1"/>
        <v>10.74</v>
      </c>
      <c r="H36" s="275">
        <f t="shared" si="9"/>
        <v>379.75</v>
      </c>
      <c r="I36" s="275">
        <f t="shared" si="12"/>
        <v>724.56</v>
      </c>
      <c r="J36" s="127"/>
      <c r="K36" s="275">
        <f t="shared" si="10"/>
        <v>0</v>
      </c>
      <c r="L36" s="275">
        <f t="shared" si="11"/>
        <v>96.63</v>
      </c>
      <c r="M36" s="127">
        <f t="shared" si="13"/>
        <v>644.03</v>
      </c>
      <c r="Q36" s="356"/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1"/>
      <c r="P37" s="28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1"/>
      <c r="O38" s="280"/>
      <c r="P38" s="28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1" t="s">
        <v>174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2" t="str">
        <f>D10</f>
        <v>(b)</v>
      </c>
      <c r="D41" s="275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2" t="str">
        <f>H10</f>
        <v>(f)</v>
      </c>
      <c r="D42" s="275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2" t="str">
        <f>I10</f>
        <v>(g)</v>
      </c>
      <c r="D43" s="27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2" t="str">
        <f>J10</f>
        <v>(h)</v>
      </c>
      <c r="D44" s="28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2" t="str">
        <f>K10</f>
        <v>(i)</v>
      </c>
      <c r="D45" s="275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2" t="str">
        <f>L10</f>
        <v>(i)</v>
      </c>
      <c r="D46" s="27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181</v>
      </c>
      <c r="D48" s="284"/>
      <c r="E48" s="284"/>
      <c r="F48" s="284"/>
      <c r="G48" s="284"/>
      <c r="H48" s="284"/>
      <c r="I48" s="284"/>
      <c r="J48" s="284"/>
      <c r="K48" s="285"/>
      <c r="L48" s="286"/>
    </row>
    <row r="49" spans="2:22" ht="5.25" customHeight="1"/>
    <row r="50" spans="2:22" ht="5.25" customHeight="1"/>
    <row r="51" spans="2:22">
      <c r="C51" s="287" t="s">
        <v>106</v>
      </c>
      <c r="D51" s="288"/>
      <c r="E51" s="287"/>
      <c r="F51" s="287"/>
      <c r="G51" s="289" t="s">
        <v>32</v>
      </c>
      <c r="H51" s="289" t="s">
        <v>107</v>
      </c>
      <c r="I51" s="289" t="s">
        <v>108</v>
      </c>
      <c r="J51" s="289" t="s">
        <v>33</v>
      </c>
    </row>
    <row r="52" spans="2:22">
      <c r="C52" s="279" t="s">
        <v>109</v>
      </c>
      <c r="G52" s="290">
        <f>C63</f>
        <v>345</v>
      </c>
      <c r="H52" s="41">
        <f>G52/G54</f>
        <v>1</v>
      </c>
      <c r="I52" s="291">
        <f>C64</f>
        <v>3799.5717060566089</v>
      </c>
      <c r="J52" s="292">
        <f>C67</f>
        <v>222.01</v>
      </c>
      <c r="Q52" s="116"/>
      <c r="R52" s="116"/>
      <c r="S52" s="116"/>
      <c r="T52" s="116"/>
      <c r="U52" s="116"/>
      <c r="V52" s="116"/>
    </row>
    <row r="53" spans="2:22">
      <c r="C53" s="279"/>
      <c r="G53" s="293">
        <f>D63</f>
        <v>0</v>
      </c>
      <c r="H53" s="294">
        <f>1-H52</f>
        <v>0</v>
      </c>
      <c r="I53" s="295">
        <f>D64</f>
        <v>0</v>
      </c>
      <c r="J53" s="296">
        <f>D67</f>
        <v>0</v>
      </c>
      <c r="Q53" s="359"/>
      <c r="R53" s="116"/>
      <c r="S53" s="116"/>
      <c r="T53" s="116"/>
      <c r="U53" s="116"/>
      <c r="V53" s="116"/>
    </row>
    <row r="54" spans="2:22">
      <c r="C54" s="279" t="s">
        <v>110</v>
      </c>
      <c r="G54" s="290">
        <f>G52+G53</f>
        <v>345</v>
      </c>
      <c r="H54" s="41">
        <f>H52+H53</f>
        <v>1</v>
      </c>
      <c r="I54" s="291">
        <f>ROUND(((G52*I52)+(G53*I53))/G54,0)</f>
        <v>3800</v>
      </c>
      <c r="J54" s="292">
        <f>ROUND(((G52*J52)+(G53*J53))/G54,2)</f>
        <v>222.01</v>
      </c>
      <c r="Q54" s="359"/>
      <c r="R54" s="116"/>
      <c r="S54" s="116"/>
      <c r="T54" s="118"/>
      <c r="U54" s="116"/>
      <c r="V54" s="116"/>
    </row>
    <row r="55" spans="2:22">
      <c r="C55" s="279"/>
      <c r="G55" s="290"/>
      <c r="H55" s="41"/>
      <c r="I55" s="297"/>
      <c r="J55" s="298"/>
      <c r="Q55" s="116"/>
      <c r="R55" s="116"/>
      <c r="S55" s="319"/>
      <c r="T55" s="116"/>
      <c r="U55" s="116"/>
      <c r="V55" s="116"/>
    </row>
    <row r="56" spans="2:22">
      <c r="C56" s="299" t="s">
        <v>106</v>
      </c>
      <c r="D56" s="288"/>
      <c r="E56" s="287"/>
      <c r="F56" s="287"/>
      <c r="G56" s="289" t="s">
        <v>32</v>
      </c>
      <c r="H56" s="289" t="s">
        <v>34</v>
      </c>
      <c r="I56" s="289" t="s">
        <v>111</v>
      </c>
      <c r="J56" s="289" t="s">
        <v>107</v>
      </c>
      <c r="K56" s="289" t="s">
        <v>112</v>
      </c>
      <c r="L56" s="289" t="s">
        <v>113</v>
      </c>
    </row>
    <row r="57" spans="2:22">
      <c r="C57" s="300" t="str">
        <f>C52</f>
        <v>SCCT Dry "F" - Turbine</v>
      </c>
      <c r="D57" s="301"/>
      <c r="E57" s="301"/>
      <c r="F57" s="301"/>
      <c r="G57" s="85">
        <f>C63</f>
        <v>345</v>
      </c>
      <c r="H57" s="41">
        <f>C71</f>
        <v>0.85562099999999996</v>
      </c>
      <c r="I57" s="302">
        <f>H57*G57</f>
        <v>295.18924499999997</v>
      </c>
      <c r="J57" s="41">
        <f>I57/I59</f>
        <v>1</v>
      </c>
      <c r="K57" s="298">
        <f>C68</f>
        <v>6.7187999999999999</v>
      </c>
      <c r="L57" s="303">
        <f>C69</f>
        <v>0</v>
      </c>
    </row>
    <row r="58" spans="2:22">
      <c r="C58" s="300">
        <f>C53</f>
        <v>0</v>
      </c>
      <c r="D58" s="301"/>
      <c r="E58" s="301"/>
      <c r="F58" s="301"/>
      <c r="G58" s="304">
        <f>D63</f>
        <v>0</v>
      </c>
      <c r="H58" s="294">
        <f>D71</f>
        <v>0</v>
      </c>
      <c r="I58" s="305">
        <f>H58*G58</f>
        <v>0</v>
      </c>
      <c r="J58" s="294">
        <f>1-J57</f>
        <v>0</v>
      </c>
      <c r="K58" s="306">
        <f>D68</f>
        <v>0</v>
      </c>
      <c r="L58" s="307">
        <f>D69</f>
        <v>0</v>
      </c>
    </row>
    <row r="59" spans="2:22">
      <c r="C59" s="279" t="s">
        <v>114</v>
      </c>
      <c r="G59" s="85">
        <f>G57+G58</f>
        <v>345</v>
      </c>
      <c r="H59" s="308">
        <f>ROUND(I59/G59,3)</f>
        <v>0.85599999999999998</v>
      </c>
      <c r="I59" s="302">
        <f>SUM(I57:I58)</f>
        <v>295.18924499999997</v>
      </c>
      <c r="J59" s="41">
        <f>J57+J58</f>
        <v>1</v>
      </c>
      <c r="K59" s="298">
        <f>ROUND(($J57*K57)+($J58*K58),2)</f>
        <v>6.72</v>
      </c>
      <c r="L59" s="309">
        <f>ROUND(($J57*L57)+($J58*L58),0)</f>
        <v>0</v>
      </c>
    </row>
    <row r="60" spans="2:22">
      <c r="H60" s="308"/>
      <c r="J60" s="41"/>
      <c r="K60" s="298"/>
      <c r="L60" s="310" t="s">
        <v>115</v>
      </c>
    </row>
    <row r="62" spans="2:22">
      <c r="C62" s="289" t="s">
        <v>116</v>
      </c>
      <c r="D62" s="289" t="s">
        <v>117</v>
      </c>
      <c r="E62" s="357"/>
      <c r="F62" s="311" t="str">
        <f>D40</f>
        <v xml:space="preserve">Plant Costs  - 2019 IRP - Table 7.1 &amp; 7.2 </v>
      </c>
      <c r="G62" s="312"/>
      <c r="H62" s="312"/>
      <c r="I62" s="312"/>
      <c r="J62" s="312"/>
      <c r="K62" s="312"/>
      <c r="L62" s="313"/>
    </row>
    <row r="63" spans="2:22">
      <c r="C63" s="85">
        <v>345</v>
      </c>
      <c r="F63" s="85" t="s">
        <v>118</v>
      </c>
      <c r="I63" s="314"/>
    </row>
    <row r="64" spans="2:22">
      <c r="B64" s="85" t="s">
        <v>179</v>
      </c>
      <c r="C64" s="297">
        <f>1310852.23858953/C63</f>
        <v>3799.5717060566089</v>
      </c>
      <c r="D64" s="297"/>
      <c r="F64" s="85" t="s">
        <v>119</v>
      </c>
    </row>
    <row r="65" spans="2:30">
      <c r="B65" s="85" t="s">
        <v>179</v>
      </c>
      <c r="C65" s="376">
        <v>222.01</v>
      </c>
      <c r="D65" s="298"/>
      <c r="F65" s="85" t="s">
        <v>120</v>
      </c>
    </row>
    <row r="66" spans="2:30">
      <c r="C66" s="315">
        <v>0</v>
      </c>
      <c r="D66" s="315"/>
      <c r="F66" s="85" t="s">
        <v>121</v>
      </c>
    </row>
    <row r="67" spans="2:30">
      <c r="B67" s="85" t="s">
        <v>179</v>
      </c>
      <c r="C67" s="298">
        <f>C65+C66</f>
        <v>222.01</v>
      </c>
      <c r="D67" s="298"/>
      <c r="F67" s="85" t="s">
        <v>122</v>
      </c>
    </row>
    <row r="68" spans="2:30">
      <c r="B68" s="85" t="s">
        <v>156</v>
      </c>
      <c r="C68" s="376">
        <v>6.7187999999999999</v>
      </c>
      <c r="D68" s="298"/>
      <c r="F68" s="85" t="s">
        <v>123</v>
      </c>
    </row>
    <row r="69" spans="2:30">
      <c r="C69" s="309"/>
      <c r="D69" s="309"/>
      <c r="F69" s="85" t="s">
        <v>124</v>
      </c>
    </row>
    <row r="70" spans="2:30">
      <c r="C70" s="316">
        <v>6.7333481514181892E-2</v>
      </c>
      <c r="D70" s="316"/>
      <c r="F70" s="85" t="s">
        <v>36</v>
      </c>
      <c r="AC70" s="118"/>
      <c r="AD70" s="118"/>
    </row>
    <row r="71" spans="2:30">
      <c r="C71" s="317">
        <v>0.85562099999999996</v>
      </c>
      <c r="D71" s="317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34" t="e">
        <f>LEFT(RIGHT(INDEX('Table 3 TransCost'!$39:$39,1,MATCH(E73,'Table 3 TransCost'!$4:$4,0)),6),5)</f>
        <v>#N/A</v>
      </c>
      <c r="C73" s="148"/>
      <c r="D73" s="116" t="s">
        <v>150</v>
      </c>
      <c r="E73" s="116"/>
      <c r="F73" s="116"/>
      <c r="AC73" s="118"/>
      <c r="AD73" s="118"/>
    </row>
    <row r="74" spans="2:30" ht="13.5" thickBot="1">
      <c r="B74" s="49"/>
      <c r="C74" s="377">
        <v>26.724569206547603</v>
      </c>
      <c r="D74" s="49"/>
      <c r="F74" s="85" t="s">
        <v>176</v>
      </c>
      <c r="G74" s="378"/>
      <c r="AC74" s="118"/>
      <c r="AD74" s="118"/>
    </row>
    <row r="75" spans="2:30" ht="13.5" thickBot="1"/>
    <row r="76" spans="2:30" ht="13.5" thickBot="1">
      <c r="C76" s="40" t="str">
        <f>"Company Official Inflation Forecast Dated "&amp;TEXT('Table 4'!$H$5,"mmmm dd, yyyy")</f>
        <v>Company Official Inflation Forecast Dated September 30, 2022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41"/>
    </row>
    <row r="77" spans="2:30">
      <c r="C77" s="87">
        <v>2017</v>
      </c>
      <c r="D77" s="41">
        <v>0.02</v>
      </c>
      <c r="G77" s="87">
        <f>C85+1</f>
        <v>2026</v>
      </c>
      <c r="H77" s="41">
        <v>2.1999999999999999E-2</v>
      </c>
      <c r="I77" s="41"/>
      <c r="J77" s="87">
        <f>G85+1</f>
        <v>2035</v>
      </c>
      <c r="K77" s="41">
        <v>2.1000000000000001E-2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2.1999999999999999E-2</v>
      </c>
      <c r="I78" s="41"/>
      <c r="J78" s="87">
        <f>J77+1</f>
        <v>2036</v>
      </c>
      <c r="K78" s="41">
        <v>2.1999999999999999E-2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2.1999999999999999E-2</v>
      </c>
      <c r="I79" s="41"/>
      <c r="J79" s="87">
        <f t="shared" ref="J79:J85" si="16">J78+1</f>
        <v>2037</v>
      </c>
      <c r="K79" s="41">
        <v>2.1999999999999999E-2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2.1999999999999999E-2</v>
      </c>
      <c r="I80" s="41"/>
      <c r="J80" s="87">
        <f t="shared" si="16"/>
        <v>2038</v>
      </c>
      <c r="K80" s="41">
        <v>2.1999999999999999E-2</v>
      </c>
      <c r="L80" s="116"/>
      <c r="M80" s="116"/>
    </row>
    <row r="81" spans="3:30">
      <c r="C81" s="87">
        <f t="shared" si="14"/>
        <v>2021</v>
      </c>
      <c r="D81" s="41">
        <v>4.3999999999999997E-2</v>
      </c>
      <c r="G81" s="87">
        <f t="shared" si="15"/>
        <v>2030</v>
      </c>
      <c r="H81" s="41">
        <v>2.1999999999999999E-2</v>
      </c>
      <c r="I81" s="41"/>
      <c r="J81" s="87">
        <f t="shared" si="16"/>
        <v>2039</v>
      </c>
      <c r="K81" s="41">
        <v>2.1000000000000001E-2</v>
      </c>
      <c r="L81" s="116"/>
      <c r="M81" s="116"/>
    </row>
    <row r="82" spans="3:30">
      <c r="C82" s="87">
        <f t="shared" si="14"/>
        <v>2022</v>
      </c>
      <c r="D82" s="41">
        <v>7.5999999999999998E-2</v>
      </c>
      <c r="G82" s="87">
        <f t="shared" si="15"/>
        <v>2031</v>
      </c>
      <c r="H82" s="41">
        <v>2.1999999999999999E-2</v>
      </c>
      <c r="I82" s="41"/>
      <c r="J82" s="87">
        <f t="shared" si="16"/>
        <v>2040</v>
      </c>
      <c r="K82" s="41">
        <v>2.1999999999999999E-2</v>
      </c>
      <c r="L82" s="116"/>
      <c r="M82" s="116"/>
    </row>
    <row r="83" spans="3:30" s="86" customFormat="1">
      <c r="C83" s="87">
        <f t="shared" si="14"/>
        <v>2023</v>
      </c>
      <c r="D83" s="41">
        <v>0.04</v>
      </c>
      <c r="G83" s="87">
        <f t="shared" si="15"/>
        <v>2032</v>
      </c>
      <c r="H83" s="41">
        <v>2.1999999999999999E-2</v>
      </c>
      <c r="I83" s="41"/>
      <c r="J83" s="87">
        <f t="shared" si="16"/>
        <v>2041</v>
      </c>
      <c r="K83" s="41">
        <v>2.1999999999999999E-2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2.1999999999999999E-2</v>
      </c>
      <c r="G84" s="87">
        <f t="shared" si="15"/>
        <v>2033</v>
      </c>
      <c r="H84" s="41">
        <v>2.1999999999999999E-2</v>
      </c>
      <c r="I84" s="41"/>
      <c r="J84" s="87">
        <f t="shared" si="16"/>
        <v>2042</v>
      </c>
      <c r="K84" s="41">
        <v>2.1999999999999999E-2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2.1000000000000001E-2</v>
      </c>
      <c r="G85" s="87">
        <f t="shared" si="15"/>
        <v>2034</v>
      </c>
      <c r="H85" s="41">
        <v>2.1000000000000001E-2</v>
      </c>
      <c r="I85" s="41"/>
      <c r="J85" s="87">
        <f t="shared" si="16"/>
        <v>2043</v>
      </c>
      <c r="K85" s="41">
        <v>2.1999999999999999E-2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18"/>
    </row>
    <row r="89" spans="3:30">
      <c r="D89" s="318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9"/>
  <sheetViews>
    <sheetView view="pageBreakPreview" topLeftCell="A38" zoomScale="60" zoomScaleNormal="70" workbookViewId="0">
      <selection activeCell="F11" sqref="F11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2:32" ht="15.75">
      <c r="B2" s="1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32" ht="15.75">
      <c r="B3" s="1" t="s">
        <v>56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207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32" ht="15.75">
      <c r="B6" s="1"/>
      <c r="C6" s="265"/>
      <c r="D6" s="265"/>
      <c r="E6" s="265"/>
      <c r="F6" s="265"/>
      <c r="G6" s="265"/>
      <c r="H6" s="265"/>
      <c r="I6" s="265"/>
      <c r="J6" s="265"/>
      <c r="L6" s="266"/>
    </row>
    <row r="7" spans="2:32">
      <c r="B7" s="267"/>
      <c r="C7" s="267"/>
      <c r="D7" s="267"/>
      <c r="E7" s="267"/>
      <c r="F7" s="267"/>
      <c r="G7" s="267"/>
      <c r="H7" s="267"/>
      <c r="I7" s="267"/>
      <c r="J7" s="26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8" t="s">
        <v>21</v>
      </c>
      <c r="K8" s="26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6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6"/>
      <c r="AB9" s="336"/>
      <c r="AC9" s="118"/>
      <c r="AD9" s="118"/>
      <c r="AE9" s="86"/>
      <c r="AF9" s="86"/>
    </row>
    <row r="10" spans="2:32">
      <c r="C10" s="270" t="s">
        <v>1</v>
      </c>
      <c r="D10" s="270" t="s">
        <v>2</v>
      </c>
      <c r="E10" s="270" t="s">
        <v>3</v>
      </c>
      <c r="F10" s="270" t="s">
        <v>4</v>
      </c>
      <c r="G10" s="270" t="s">
        <v>5</v>
      </c>
      <c r="H10" s="270" t="s">
        <v>7</v>
      </c>
      <c r="I10" s="270" t="s">
        <v>22</v>
      </c>
      <c r="J10" s="270" t="s">
        <v>23</v>
      </c>
      <c r="K10" s="27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7"/>
      <c r="K12" s="267"/>
      <c r="L12" s="26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1"/>
      <c r="C13" s="272"/>
      <c r="D13" s="273"/>
      <c r="E13" s="274"/>
      <c r="F13" s="274"/>
      <c r="G13" s="274"/>
      <c r="H13" s="275"/>
      <c r="I13" s="275"/>
      <c r="J13" s="275"/>
      <c r="K13" s="275"/>
      <c r="L13" s="27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71">
        <v>2020</v>
      </c>
      <c r="C14" s="276"/>
      <c r="D14" s="127"/>
      <c r="E14" s="127"/>
      <c r="F14" s="127"/>
      <c r="G14" s="374">
        <f>$C$68</f>
        <v>21.294</v>
      </c>
      <c r="H14" s="275"/>
      <c r="I14" s="275"/>
      <c r="J14" s="375">
        <f>$C$74</f>
        <v>26.724569206547603</v>
      </c>
      <c r="K14" s="275"/>
      <c r="L14" s="275"/>
      <c r="M14" s="127"/>
      <c r="N14" s="41"/>
      <c r="P14" s="356"/>
      <c r="V14" s="157"/>
      <c r="W14" s="118"/>
      <c r="X14" s="153"/>
      <c r="Y14" s="337"/>
      <c r="Z14" s="118"/>
      <c r="AA14" s="153"/>
      <c r="AB14" s="153"/>
      <c r="AC14" s="118"/>
      <c r="AD14" s="118"/>
      <c r="AE14" s="86"/>
      <c r="AF14" s="86"/>
    </row>
    <row r="15" spans="2:32">
      <c r="B15" s="271">
        <f t="shared" ref="B15:B36" si="0">B14+1</f>
        <v>2021</v>
      </c>
      <c r="C15" s="276"/>
      <c r="D15" s="127"/>
      <c r="E15" s="127"/>
      <c r="F15" s="127"/>
      <c r="G15" s="127">
        <f t="shared" ref="G15:G36" si="1">ROUND(G14*(1+IRP21_Infl_Rate),2)</f>
        <v>21.75</v>
      </c>
      <c r="H15" s="275"/>
      <c r="I15" s="275"/>
      <c r="J15" s="127">
        <f t="shared" ref="J15:J36" si="2">ROUND(J14*(1+IRP21_Infl_Rate),2)</f>
        <v>27.3</v>
      </c>
      <c r="K15" s="275"/>
      <c r="L15" s="275"/>
      <c r="M15" s="127"/>
      <c r="N15" s="41"/>
      <c r="P15" s="356"/>
      <c r="Q15" s="356"/>
      <c r="V15" s="157"/>
      <c r="W15" s="153"/>
      <c r="X15" s="153"/>
      <c r="Y15" s="337"/>
      <c r="Z15" s="153"/>
      <c r="AA15" s="153"/>
      <c r="AB15" s="153"/>
      <c r="AC15" s="118"/>
      <c r="AD15" s="118"/>
      <c r="AE15" s="86"/>
      <c r="AF15" s="86"/>
    </row>
    <row r="16" spans="2:32">
      <c r="B16" s="271">
        <f t="shared" si="0"/>
        <v>2022</v>
      </c>
      <c r="C16" s="276"/>
      <c r="D16" s="127"/>
      <c r="E16" s="127"/>
      <c r="F16" s="127"/>
      <c r="G16" s="127">
        <f t="shared" si="1"/>
        <v>22.22</v>
      </c>
      <c r="H16" s="275"/>
      <c r="I16" s="275"/>
      <c r="J16" s="127">
        <f t="shared" si="2"/>
        <v>27.89</v>
      </c>
      <c r="K16" s="275"/>
      <c r="L16" s="275"/>
      <c r="M16" s="127"/>
      <c r="N16" s="41"/>
      <c r="P16" s="356"/>
      <c r="Q16" s="356"/>
      <c r="V16" s="157"/>
      <c r="W16" s="153"/>
      <c r="X16" s="153"/>
      <c r="Y16" s="337"/>
      <c r="Z16" s="153"/>
      <c r="AA16" s="153"/>
      <c r="AB16" s="153"/>
      <c r="AC16" s="118"/>
      <c r="AD16" s="118"/>
      <c r="AE16" s="86"/>
      <c r="AF16" s="86"/>
    </row>
    <row r="17" spans="2:32">
      <c r="B17" s="271">
        <f t="shared" si="0"/>
        <v>2023</v>
      </c>
      <c r="C17" s="276"/>
      <c r="D17" s="127"/>
      <c r="E17" s="127"/>
      <c r="F17" s="127"/>
      <c r="G17" s="127">
        <f t="shared" si="1"/>
        <v>22.7</v>
      </c>
      <c r="H17" s="275"/>
      <c r="I17" s="275"/>
      <c r="J17" s="127">
        <f t="shared" si="2"/>
        <v>28.49</v>
      </c>
      <c r="K17" s="275"/>
      <c r="L17" s="275"/>
      <c r="M17" s="127"/>
      <c r="N17" s="41"/>
      <c r="P17" s="356"/>
      <c r="Q17" s="356"/>
      <c r="V17" s="157"/>
      <c r="W17" s="153"/>
      <c r="X17" s="153"/>
      <c r="Y17" s="337"/>
      <c r="Z17" s="153"/>
      <c r="AA17" s="153"/>
      <c r="AB17" s="153"/>
      <c r="AC17" s="118"/>
      <c r="AD17" s="118"/>
      <c r="AE17" s="86"/>
      <c r="AF17" s="86"/>
    </row>
    <row r="18" spans="2:32">
      <c r="B18" s="271">
        <f t="shared" si="0"/>
        <v>2024</v>
      </c>
      <c r="C18" s="276"/>
      <c r="D18" s="127"/>
      <c r="E18" s="127"/>
      <c r="F18" s="127"/>
      <c r="G18" s="127">
        <f t="shared" si="1"/>
        <v>23.19</v>
      </c>
      <c r="H18" s="275"/>
      <c r="I18" s="275"/>
      <c r="J18" s="127">
        <f t="shared" si="2"/>
        <v>29.1</v>
      </c>
      <c r="K18" s="275"/>
      <c r="L18" s="275"/>
      <c r="M18" s="127"/>
      <c r="N18" s="41"/>
      <c r="P18" s="356"/>
      <c r="Q18" s="356"/>
      <c r="V18" s="157"/>
      <c r="W18" s="153"/>
      <c r="X18" s="153"/>
      <c r="Y18" s="337"/>
      <c r="Z18" s="153"/>
      <c r="AA18" s="153"/>
      <c r="AB18" s="153"/>
      <c r="AC18" s="118"/>
      <c r="AD18" s="118"/>
      <c r="AE18" s="86"/>
      <c r="AF18" s="86"/>
    </row>
    <row r="19" spans="2:32">
      <c r="B19" s="271">
        <f t="shared" si="0"/>
        <v>2025</v>
      </c>
      <c r="C19" s="276"/>
      <c r="D19" s="127"/>
      <c r="E19" s="127"/>
      <c r="F19" s="127"/>
      <c r="G19" s="127">
        <f t="shared" si="1"/>
        <v>23.69</v>
      </c>
      <c r="H19" s="275"/>
      <c r="I19" s="275"/>
      <c r="J19" s="127">
        <f t="shared" si="2"/>
        <v>29.73</v>
      </c>
      <c r="K19" s="275"/>
      <c r="L19" s="275"/>
      <c r="M19" s="127"/>
      <c r="N19" s="41"/>
      <c r="P19" s="356"/>
      <c r="Q19" s="356"/>
      <c r="V19" s="157"/>
      <c r="W19" s="153"/>
      <c r="X19" s="153"/>
      <c r="Y19" s="337"/>
      <c r="Z19" s="153"/>
      <c r="AA19" s="153"/>
      <c r="AB19" s="153"/>
      <c r="AC19" s="118"/>
      <c r="AD19" s="118"/>
      <c r="AE19" s="86"/>
      <c r="AF19" s="86"/>
    </row>
    <row r="20" spans="2:32">
      <c r="B20" s="271">
        <f t="shared" si="0"/>
        <v>2026</v>
      </c>
      <c r="C20" s="276"/>
      <c r="D20" s="273"/>
      <c r="E20" s="127"/>
      <c r="F20" s="127"/>
      <c r="G20" s="127">
        <f t="shared" si="1"/>
        <v>24.2</v>
      </c>
      <c r="H20" s="275"/>
      <c r="I20" s="275"/>
      <c r="J20" s="127">
        <f t="shared" si="2"/>
        <v>30.37</v>
      </c>
      <c r="K20" s="275"/>
      <c r="L20" s="275"/>
      <c r="M20" s="127"/>
      <c r="N20" s="41"/>
      <c r="P20" s="356"/>
      <c r="Q20" s="356"/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71">
        <f t="shared" si="0"/>
        <v>2027</v>
      </c>
      <c r="C21" s="276"/>
      <c r="D21" s="127"/>
      <c r="E21" s="127"/>
      <c r="F21" s="127"/>
      <c r="G21" s="127">
        <f t="shared" si="1"/>
        <v>24.72</v>
      </c>
      <c r="H21" s="275"/>
      <c r="I21" s="275"/>
      <c r="J21" s="127">
        <f t="shared" si="2"/>
        <v>31.02</v>
      </c>
      <c r="K21" s="275"/>
      <c r="L21" s="275"/>
      <c r="M21" s="127"/>
      <c r="N21" s="41"/>
      <c r="P21" s="356"/>
      <c r="Q21" s="356"/>
      <c r="V21" s="338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71">
        <f t="shared" si="0"/>
        <v>2028</v>
      </c>
      <c r="C22" s="276"/>
      <c r="D22" s="127"/>
      <c r="E22" s="127"/>
      <c r="F22" s="127"/>
      <c r="G22" s="127">
        <f t="shared" si="1"/>
        <v>25.25</v>
      </c>
      <c r="H22" s="275"/>
      <c r="I22" s="275"/>
      <c r="J22" s="127">
        <f t="shared" si="2"/>
        <v>31.69</v>
      </c>
      <c r="K22" s="275"/>
      <c r="L22" s="275"/>
      <c r="M22" s="127"/>
      <c r="N22" s="41"/>
      <c r="P22" s="356"/>
      <c r="Q22" s="356"/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71">
        <f t="shared" si="0"/>
        <v>2029</v>
      </c>
      <c r="C23" s="276"/>
      <c r="D23" s="127"/>
      <c r="E23" s="127"/>
      <c r="F23" s="127"/>
      <c r="G23" s="127">
        <f t="shared" si="1"/>
        <v>25.79</v>
      </c>
      <c r="H23" s="275"/>
      <c r="I23" s="275"/>
      <c r="J23" s="127">
        <f t="shared" si="2"/>
        <v>32.369999999999997</v>
      </c>
      <c r="K23" s="275"/>
      <c r="L23" s="275"/>
      <c r="M23" s="127"/>
      <c r="N23" s="41"/>
      <c r="P23" s="356"/>
      <c r="Q23" s="356"/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79" customFormat="1">
      <c r="B24" s="277">
        <f t="shared" si="0"/>
        <v>2030</v>
      </c>
      <c r="C24" s="276"/>
      <c r="D24" s="127"/>
      <c r="E24" s="127"/>
      <c r="F24" s="127"/>
      <c r="G24" s="127">
        <f t="shared" si="1"/>
        <v>26.35</v>
      </c>
      <c r="H24" s="275"/>
      <c r="I24" s="275"/>
      <c r="J24" s="127">
        <f t="shared" si="2"/>
        <v>33.07</v>
      </c>
      <c r="K24" s="275"/>
      <c r="L24" s="275"/>
      <c r="M24" s="127"/>
      <c r="N24" s="50"/>
      <c r="O24" s="85"/>
      <c r="P24" s="356"/>
      <c r="Q24" s="356"/>
      <c r="V24" s="157"/>
      <c r="W24" s="153"/>
      <c r="X24" s="153"/>
      <c r="Y24" s="153"/>
      <c r="Z24" s="153"/>
      <c r="AA24" s="153"/>
      <c r="AB24" s="153"/>
      <c r="AC24" s="118"/>
      <c r="AD24" s="118"/>
      <c r="AE24" s="339"/>
      <c r="AF24" s="339"/>
    </row>
    <row r="25" spans="2:32" s="279" customFormat="1">
      <c r="B25" s="277">
        <f t="shared" si="0"/>
        <v>2031</v>
      </c>
      <c r="C25" s="356">
        <f>$C$64</f>
        <v>1319.927786794867</v>
      </c>
      <c r="D25" s="273">
        <f>ROUND(C25*$C$70,2)</f>
        <v>98.96</v>
      </c>
      <c r="E25" s="188">
        <f>$C$73</f>
        <v>12.45513744317196</v>
      </c>
      <c r="F25" s="127">
        <v>0</v>
      </c>
      <c r="G25" s="127">
        <f t="shared" si="1"/>
        <v>26.92</v>
      </c>
      <c r="H25" s="275">
        <f t="shared" ref="H25" si="3">ROUND(G25*(8.76*$H$59)+F25,2)</f>
        <v>77.819999999999993</v>
      </c>
      <c r="I25" s="275">
        <f>ROUND(D25+E25+H25,2)</f>
        <v>189.24</v>
      </c>
      <c r="J25" s="127">
        <f t="shared" si="2"/>
        <v>33.78</v>
      </c>
      <c r="K25" s="275">
        <f t="shared" ref="K25" si="4">ROUND($L$59*J25/1000,2)</f>
        <v>335.64</v>
      </c>
      <c r="L25" s="275">
        <f t="shared" ref="L25" si="5">ROUND(I25*1000/8760/$H$59+K25,2)</f>
        <v>401.1</v>
      </c>
      <c r="M25" s="127">
        <f>(D25+E25+F25)</f>
        <v>111.41513744317196</v>
      </c>
      <c r="N25" s="50"/>
      <c r="O25" s="85"/>
      <c r="P25" s="356"/>
      <c r="Q25" s="356"/>
      <c r="V25" s="157"/>
      <c r="W25" s="153"/>
      <c r="X25" s="153"/>
      <c r="Y25" s="153"/>
      <c r="Z25" s="153"/>
      <c r="AA25" s="153"/>
      <c r="AB25" s="153"/>
      <c r="AC25" s="118"/>
      <c r="AD25" s="118"/>
      <c r="AE25" s="339"/>
      <c r="AF25" s="339"/>
    </row>
    <row r="26" spans="2:32" s="279" customFormat="1">
      <c r="B26" s="277">
        <f t="shared" si="0"/>
        <v>2032</v>
      </c>
      <c r="C26" s="276"/>
      <c r="D26" s="127">
        <f t="shared" ref="D26:D36" si="6">ROUND(D25*(1+IRP21_Infl_Rate),2)</f>
        <v>101.09</v>
      </c>
      <c r="E26" s="127">
        <f t="shared" ref="E26:E36" si="7">ROUND(E25*(1+IRP21_Infl_Rate),2)</f>
        <v>12.72</v>
      </c>
      <c r="F26" s="127">
        <f t="shared" ref="F26:F36" si="8">ROUND(F25*(1+IRP21_Infl_Rate),2)</f>
        <v>0</v>
      </c>
      <c r="G26" s="127">
        <f t="shared" si="1"/>
        <v>27.5</v>
      </c>
      <c r="H26" s="275">
        <f t="shared" ref="H26" si="9">ROUND(G26*(8.76*$H$59)+F26,2)</f>
        <v>79.5</v>
      </c>
      <c r="I26" s="275">
        <f>ROUND(D26+E26+H26,2)</f>
        <v>193.31</v>
      </c>
      <c r="J26" s="127">
        <f t="shared" si="2"/>
        <v>34.51</v>
      </c>
      <c r="K26" s="275">
        <f t="shared" ref="K26" si="10">ROUND($L$59*J26/1000,2)</f>
        <v>342.89</v>
      </c>
      <c r="L26" s="275">
        <f t="shared" ref="L26" si="11">ROUND(I26*1000/8760/$H$59+K26,2)</f>
        <v>409.76</v>
      </c>
      <c r="M26" s="127">
        <f>(D26+E26+F26)</f>
        <v>113.81</v>
      </c>
      <c r="N26" s="50"/>
      <c r="O26" s="85"/>
      <c r="P26" s="356"/>
      <c r="Q26" s="356"/>
      <c r="V26" s="157"/>
      <c r="W26" s="153"/>
      <c r="X26" s="153"/>
      <c r="Y26" s="153"/>
      <c r="Z26" s="153"/>
      <c r="AA26" s="153"/>
      <c r="AB26" s="153"/>
      <c r="AC26" s="118"/>
      <c r="AD26" s="118"/>
      <c r="AE26" s="339"/>
      <c r="AF26" s="339"/>
    </row>
    <row r="27" spans="2:32" s="279" customFormat="1">
      <c r="B27" s="277">
        <f t="shared" si="0"/>
        <v>2033</v>
      </c>
      <c r="C27" s="278"/>
      <c r="D27" s="127">
        <f t="shared" si="6"/>
        <v>103.27</v>
      </c>
      <c r="E27" s="127">
        <f t="shared" si="7"/>
        <v>12.99</v>
      </c>
      <c r="F27" s="127">
        <f t="shared" si="8"/>
        <v>0</v>
      </c>
      <c r="G27" s="127">
        <f t="shared" si="1"/>
        <v>28.09</v>
      </c>
      <c r="H27" s="275">
        <f t="shared" ref="H27:H36" si="12">ROUND(G27*(8.76*$H$59)+F27,2)</f>
        <v>81.2</v>
      </c>
      <c r="I27" s="275">
        <f>ROUND(D27+E27+H27,2)</f>
        <v>197.46</v>
      </c>
      <c r="J27" s="127">
        <f t="shared" si="2"/>
        <v>35.25</v>
      </c>
      <c r="K27" s="275">
        <f t="shared" ref="K27:K32" si="13">ROUND($L$59*J27/1000,2)</f>
        <v>350.24</v>
      </c>
      <c r="L27" s="275">
        <f t="shared" ref="L27:L32" si="14">ROUND(I27*1000/8760/$H$59+K27,2)</f>
        <v>418.55</v>
      </c>
      <c r="M27" s="127">
        <f>(D27+E27+F27)</f>
        <v>116.25999999999999</v>
      </c>
      <c r="N27" s="50"/>
      <c r="O27" s="85"/>
      <c r="P27" s="356"/>
      <c r="Q27" s="356"/>
      <c r="S27" s="358"/>
      <c r="V27" s="157"/>
      <c r="W27" s="153"/>
      <c r="X27" s="153"/>
      <c r="Y27" s="153"/>
      <c r="Z27" s="153"/>
      <c r="AA27" s="153"/>
      <c r="AB27" s="153"/>
      <c r="AC27" s="118"/>
      <c r="AD27" s="118"/>
      <c r="AE27" s="339"/>
      <c r="AF27" s="339"/>
    </row>
    <row r="28" spans="2:32" s="279" customFormat="1">
      <c r="B28" s="277">
        <f t="shared" si="0"/>
        <v>2034</v>
      </c>
      <c r="C28" s="278"/>
      <c r="D28" s="127">
        <f t="shared" si="6"/>
        <v>105.5</v>
      </c>
      <c r="E28" s="127">
        <f t="shared" si="7"/>
        <v>13.27</v>
      </c>
      <c r="F28" s="127">
        <f t="shared" si="8"/>
        <v>0</v>
      </c>
      <c r="G28" s="127">
        <f t="shared" si="1"/>
        <v>28.7</v>
      </c>
      <c r="H28" s="275">
        <f t="shared" si="12"/>
        <v>82.97</v>
      </c>
      <c r="I28" s="275">
        <f t="shared" ref="I28:I36" si="15">ROUND(D28+E28+H28,2)</f>
        <v>201.74</v>
      </c>
      <c r="J28" s="127">
        <f t="shared" si="2"/>
        <v>36.01</v>
      </c>
      <c r="K28" s="275">
        <f t="shared" si="13"/>
        <v>357.8</v>
      </c>
      <c r="L28" s="275">
        <f t="shared" si="14"/>
        <v>427.59</v>
      </c>
      <c r="M28" s="127">
        <f t="shared" ref="M28:M36" si="16">(D28+E28+F28)</f>
        <v>118.77</v>
      </c>
      <c r="N28" s="50"/>
      <c r="O28" s="85"/>
      <c r="P28" s="85"/>
      <c r="V28" s="157"/>
      <c r="W28" s="153"/>
      <c r="X28" s="153"/>
      <c r="Y28" s="153"/>
      <c r="Z28" s="153"/>
      <c r="AA28" s="153"/>
      <c r="AB28" s="153"/>
      <c r="AC28" s="118"/>
      <c r="AD28" s="118"/>
      <c r="AE28" s="339"/>
      <c r="AF28" s="339"/>
    </row>
    <row r="29" spans="2:32">
      <c r="B29" s="271">
        <f t="shared" si="0"/>
        <v>2035</v>
      </c>
      <c r="C29" s="276"/>
      <c r="D29" s="127">
        <f t="shared" si="6"/>
        <v>107.77</v>
      </c>
      <c r="E29" s="127">
        <f t="shared" si="7"/>
        <v>13.56</v>
      </c>
      <c r="F29" s="127">
        <f t="shared" si="8"/>
        <v>0</v>
      </c>
      <c r="G29" s="127">
        <f t="shared" si="1"/>
        <v>29.32</v>
      </c>
      <c r="H29" s="275">
        <f t="shared" si="12"/>
        <v>84.76</v>
      </c>
      <c r="I29" s="275">
        <f t="shared" si="15"/>
        <v>206.09</v>
      </c>
      <c r="J29" s="127">
        <f t="shared" si="2"/>
        <v>36.79</v>
      </c>
      <c r="K29" s="275">
        <f t="shared" si="13"/>
        <v>365.55</v>
      </c>
      <c r="L29" s="275">
        <f t="shared" si="14"/>
        <v>436.84</v>
      </c>
      <c r="M29" s="127">
        <f t="shared" si="16"/>
        <v>121.33</v>
      </c>
      <c r="N29" s="50"/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71">
        <f t="shared" si="0"/>
        <v>2036</v>
      </c>
      <c r="C30" s="276"/>
      <c r="D30" s="127">
        <f t="shared" si="6"/>
        <v>110.09</v>
      </c>
      <c r="E30" s="127">
        <f t="shared" si="7"/>
        <v>13.85</v>
      </c>
      <c r="F30" s="127">
        <f t="shared" si="8"/>
        <v>0</v>
      </c>
      <c r="G30" s="127">
        <f t="shared" si="1"/>
        <v>29.95</v>
      </c>
      <c r="H30" s="275">
        <f t="shared" si="12"/>
        <v>86.58</v>
      </c>
      <c r="I30" s="275">
        <f t="shared" si="15"/>
        <v>210.52</v>
      </c>
      <c r="J30" s="127">
        <f t="shared" si="2"/>
        <v>37.58</v>
      </c>
      <c r="K30" s="275">
        <f t="shared" si="13"/>
        <v>373.39</v>
      </c>
      <c r="L30" s="275">
        <f t="shared" si="14"/>
        <v>446.21</v>
      </c>
      <c r="M30" s="127">
        <f t="shared" si="16"/>
        <v>123.94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1">
        <f t="shared" si="0"/>
        <v>2037</v>
      </c>
      <c r="C31" s="276"/>
      <c r="D31" s="127">
        <f t="shared" si="6"/>
        <v>112.46</v>
      </c>
      <c r="E31" s="127">
        <f t="shared" si="7"/>
        <v>14.15</v>
      </c>
      <c r="F31" s="127">
        <f t="shared" si="8"/>
        <v>0</v>
      </c>
      <c r="G31" s="127">
        <f t="shared" si="1"/>
        <v>30.6</v>
      </c>
      <c r="H31" s="275">
        <f t="shared" si="12"/>
        <v>88.46</v>
      </c>
      <c r="I31" s="275">
        <f t="shared" si="15"/>
        <v>215.07</v>
      </c>
      <c r="J31" s="127">
        <f t="shared" si="2"/>
        <v>38.39</v>
      </c>
      <c r="K31" s="275">
        <f t="shared" si="13"/>
        <v>381.44</v>
      </c>
      <c r="L31" s="275">
        <f t="shared" si="14"/>
        <v>455.84</v>
      </c>
      <c r="M31" s="127">
        <f t="shared" si="16"/>
        <v>126.61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1">
        <f t="shared" si="0"/>
        <v>2038</v>
      </c>
      <c r="C32" s="276"/>
      <c r="D32" s="127">
        <f t="shared" si="6"/>
        <v>114.88</v>
      </c>
      <c r="E32" s="127">
        <f t="shared" si="7"/>
        <v>14.45</v>
      </c>
      <c r="F32" s="127">
        <f t="shared" si="8"/>
        <v>0</v>
      </c>
      <c r="G32" s="127">
        <f t="shared" si="1"/>
        <v>31.26</v>
      </c>
      <c r="H32" s="275">
        <f t="shared" si="12"/>
        <v>90.37</v>
      </c>
      <c r="I32" s="275">
        <f t="shared" si="15"/>
        <v>219.7</v>
      </c>
      <c r="J32" s="127">
        <f t="shared" si="2"/>
        <v>39.22</v>
      </c>
      <c r="K32" s="275">
        <f t="shared" si="13"/>
        <v>389.69</v>
      </c>
      <c r="L32" s="275">
        <f t="shared" si="14"/>
        <v>465.69</v>
      </c>
      <c r="M32" s="127">
        <f t="shared" si="16"/>
        <v>129.32999999999998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1">
        <f t="shared" si="0"/>
        <v>2039</v>
      </c>
      <c r="C33" s="276"/>
      <c r="D33" s="127">
        <f t="shared" si="6"/>
        <v>117.36</v>
      </c>
      <c r="E33" s="127">
        <f t="shared" si="7"/>
        <v>14.76</v>
      </c>
      <c r="F33" s="127">
        <f t="shared" si="8"/>
        <v>0</v>
      </c>
      <c r="G33" s="127">
        <f t="shared" si="1"/>
        <v>31.93</v>
      </c>
      <c r="H33" s="275">
        <f t="shared" si="12"/>
        <v>92.3</v>
      </c>
      <c r="I33" s="275">
        <f t="shared" si="15"/>
        <v>224.42</v>
      </c>
      <c r="J33" s="127">
        <f t="shared" si="2"/>
        <v>40.07</v>
      </c>
      <c r="K33" s="275">
        <f t="shared" ref="K33:K36" si="17">ROUND($L$59*J33/1000,2)</f>
        <v>398.14</v>
      </c>
      <c r="L33" s="275">
        <f t="shared" ref="L33:L36" si="18">ROUND(I33*1000/8760/$H$59+K33,2)</f>
        <v>475.77</v>
      </c>
      <c r="M33" s="127">
        <f t="shared" si="16"/>
        <v>132.12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1">
        <f t="shared" si="0"/>
        <v>2040</v>
      </c>
      <c r="C34" s="276"/>
      <c r="D34" s="127">
        <f t="shared" si="6"/>
        <v>119.89</v>
      </c>
      <c r="E34" s="127">
        <f t="shared" si="7"/>
        <v>15.08</v>
      </c>
      <c r="F34" s="127">
        <f t="shared" si="8"/>
        <v>0</v>
      </c>
      <c r="G34" s="127">
        <f t="shared" si="1"/>
        <v>32.619999999999997</v>
      </c>
      <c r="H34" s="275">
        <f t="shared" si="12"/>
        <v>94.3</v>
      </c>
      <c r="I34" s="275">
        <f t="shared" si="15"/>
        <v>229.27</v>
      </c>
      <c r="J34" s="127">
        <f t="shared" si="2"/>
        <v>40.93</v>
      </c>
      <c r="K34" s="275">
        <f t="shared" si="17"/>
        <v>406.68</v>
      </c>
      <c r="L34" s="275">
        <f t="shared" si="18"/>
        <v>485.99</v>
      </c>
      <c r="M34" s="127">
        <f t="shared" si="16"/>
        <v>134.97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1">
        <f t="shared" si="0"/>
        <v>2041</v>
      </c>
      <c r="C35" s="276"/>
      <c r="D35" s="127">
        <f t="shared" si="6"/>
        <v>122.47</v>
      </c>
      <c r="E35" s="127">
        <f t="shared" si="7"/>
        <v>15.4</v>
      </c>
      <c r="F35" s="127">
        <f t="shared" si="8"/>
        <v>0</v>
      </c>
      <c r="G35" s="127">
        <f t="shared" si="1"/>
        <v>33.32</v>
      </c>
      <c r="H35" s="275">
        <f t="shared" si="12"/>
        <v>96.32</v>
      </c>
      <c r="I35" s="275">
        <f t="shared" si="15"/>
        <v>234.19</v>
      </c>
      <c r="J35" s="127">
        <f t="shared" si="2"/>
        <v>41.81</v>
      </c>
      <c r="K35" s="275">
        <f t="shared" si="17"/>
        <v>415.42</v>
      </c>
      <c r="L35" s="275">
        <f t="shared" si="18"/>
        <v>496.43</v>
      </c>
      <c r="M35" s="127">
        <f t="shared" si="16"/>
        <v>137.87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1">
        <f t="shared" si="0"/>
        <v>2042</v>
      </c>
      <c r="C36" s="276"/>
      <c r="D36" s="127">
        <f t="shared" si="6"/>
        <v>125.11</v>
      </c>
      <c r="E36" s="127">
        <f t="shared" si="7"/>
        <v>15.73</v>
      </c>
      <c r="F36" s="127">
        <f t="shared" si="8"/>
        <v>0</v>
      </c>
      <c r="G36" s="127">
        <f t="shared" si="1"/>
        <v>34.04</v>
      </c>
      <c r="H36" s="275">
        <f t="shared" si="12"/>
        <v>98.4</v>
      </c>
      <c r="I36" s="275">
        <f t="shared" si="15"/>
        <v>239.24</v>
      </c>
      <c r="J36" s="127">
        <f t="shared" si="2"/>
        <v>42.71</v>
      </c>
      <c r="K36" s="275">
        <f t="shared" si="17"/>
        <v>424.37</v>
      </c>
      <c r="L36" s="275">
        <f t="shared" si="18"/>
        <v>507.13</v>
      </c>
      <c r="M36" s="127">
        <f t="shared" si="16"/>
        <v>140.84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1"/>
      <c r="P37" s="28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1"/>
      <c r="O38" s="280"/>
      <c r="P38" s="28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1" t="s">
        <v>208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2" t="str">
        <f>D10</f>
        <v>(b)</v>
      </c>
      <c r="D41" s="275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2" t="str">
        <f>H10</f>
        <v>(f)</v>
      </c>
      <c r="D42" s="275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2" t="str">
        <f>I10</f>
        <v>(g)</v>
      </c>
      <c r="D43" s="27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2" t="str">
        <f>J10</f>
        <v>(h)</v>
      </c>
      <c r="D44" s="28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2" t="str">
        <f>K10</f>
        <v>(i)</v>
      </c>
      <c r="D45" s="275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2" t="str">
        <f>L10</f>
        <v>(i)</v>
      </c>
      <c r="D46" s="27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84"/>
      <c r="E48" s="284"/>
      <c r="F48" s="284"/>
      <c r="G48" s="284"/>
      <c r="H48" s="284"/>
      <c r="I48" s="284"/>
      <c r="J48" s="284"/>
      <c r="K48" s="285"/>
      <c r="L48" s="286"/>
    </row>
    <row r="49" spans="2:22" ht="5.25" customHeight="1"/>
    <row r="50" spans="2:22" ht="5.25" customHeight="1"/>
    <row r="51" spans="2:22">
      <c r="C51" s="287" t="s">
        <v>106</v>
      </c>
      <c r="D51" s="288"/>
      <c r="E51" s="287"/>
      <c r="F51" s="287"/>
      <c r="G51" s="289" t="s">
        <v>32</v>
      </c>
      <c r="H51" s="289" t="s">
        <v>107</v>
      </c>
      <c r="I51" s="289" t="s">
        <v>108</v>
      </c>
      <c r="J51" s="289" t="s">
        <v>33</v>
      </c>
    </row>
    <row r="52" spans="2:22">
      <c r="C52" s="279" t="s">
        <v>109</v>
      </c>
      <c r="G52" s="290">
        <f>C63</f>
        <v>206.11</v>
      </c>
      <c r="H52" s="41">
        <f>G52/G54</f>
        <v>1</v>
      </c>
      <c r="I52" s="291">
        <f>C64</f>
        <v>1319.927786794867</v>
      </c>
      <c r="J52" s="292">
        <f>C67</f>
        <v>0</v>
      </c>
      <c r="Q52" s="116"/>
      <c r="R52" s="116"/>
      <c r="S52" s="116"/>
      <c r="T52" s="116"/>
      <c r="U52" s="116"/>
      <c r="V52" s="116"/>
    </row>
    <row r="53" spans="2:22">
      <c r="C53" s="279"/>
      <c r="G53" s="293">
        <f>D63</f>
        <v>0</v>
      </c>
      <c r="H53" s="294">
        <f>1-H52</f>
        <v>0</v>
      </c>
      <c r="I53" s="295">
        <f>D64</f>
        <v>0</v>
      </c>
      <c r="J53" s="296">
        <f>D67</f>
        <v>0</v>
      </c>
      <c r="Q53" s="359"/>
      <c r="R53" s="116"/>
      <c r="S53" s="116"/>
      <c r="T53" s="116"/>
      <c r="U53" s="116"/>
      <c r="V53" s="116"/>
    </row>
    <row r="54" spans="2:22">
      <c r="C54" s="279" t="s">
        <v>110</v>
      </c>
      <c r="G54" s="290">
        <f>G52+G53</f>
        <v>206.11</v>
      </c>
      <c r="H54" s="41">
        <f>H52+H53</f>
        <v>1</v>
      </c>
      <c r="I54" s="291">
        <f>ROUND(((G52*I52)+(G53*I53))/G54,0)</f>
        <v>1320</v>
      </c>
      <c r="J54" s="292">
        <f>ROUND(((G52*J52)+(G53*J53))/G54,2)</f>
        <v>0</v>
      </c>
      <c r="Q54" s="359"/>
      <c r="R54" s="116"/>
      <c r="S54" s="116"/>
      <c r="T54" s="118"/>
      <c r="U54" s="116"/>
      <c r="V54" s="116"/>
    </row>
    <row r="55" spans="2:22">
      <c r="C55" s="279"/>
      <c r="G55" s="290"/>
      <c r="H55" s="41"/>
      <c r="I55" s="297"/>
      <c r="J55" s="298"/>
      <c r="Q55" s="116"/>
      <c r="R55" s="116"/>
      <c r="S55" s="319"/>
      <c r="T55" s="116"/>
      <c r="U55" s="116"/>
      <c r="V55" s="116"/>
    </row>
    <row r="56" spans="2:22">
      <c r="C56" s="299" t="s">
        <v>106</v>
      </c>
      <c r="D56" s="288"/>
      <c r="E56" s="287"/>
      <c r="F56" s="287"/>
      <c r="G56" s="289" t="s">
        <v>32</v>
      </c>
      <c r="H56" s="289" t="s">
        <v>34</v>
      </c>
      <c r="I56" s="289" t="s">
        <v>111</v>
      </c>
      <c r="J56" s="289" t="s">
        <v>107</v>
      </c>
      <c r="K56" s="289" t="s">
        <v>112</v>
      </c>
      <c r="L56" s="289" t="s">
        <v>113</v>
      </c>
    </row>
    <row r="57" spans="2:22">
      <c r="C57" s="300" t="str">
        <f>C52</f>
        <v>SCCT Dry "F" - Turbine</v>
      </c>
      <c r="D57" s="301"/>
      <c r="E57" s="301"/>
      <c r="F57" s="301"/>
      <c r="G57" s="85">
        <f>C63</f>
        <v>206.11</v>
      </c>
      <c r="H57" s="41">
        <f>C71</f>
        <v>0.33</v>
      </c>
      <c r="I57" s="302">
        <f>H57*G57</f>
        <v>68.016300000000001</v>
      </c>
      <c r="J57" s="41">
        <f>I57/I59</f>
        <v>1</v>
      </c>
      <c r="K57" s="298">
        <f>C68</f>
        <v>21.294</v>
      </c>
      <c r="L57" s="303">
        <f>C69</f>
        <v>9936</v>
      </c>
    </row>
    <row r="58" spans="2:22">
      <c r="C58" s="300">
        <f>C53</f>
        <v>0</v>
      </c>
      <c r="D58" s="301"/>
      <c r="E58" s="301"/>
      <c r="F58" s="301"/>
      <c r="G58" s="304">
        <f>D63</f>
        <v>0</v>
      </c>
      <c r="H58" s="294">
        <f>D71</f>
        <v>0</v>
      </c>
      <c r="I58" s="305">
        <f>H58*G58</f>
        <v>0</v>
      </c>
      <c r="J58" s="294">
        <f>1-J57</f>
        <v>0</v>
      </c>
      <c r="K58" s="306">
        <f>D68</f>
        <v>0</v>
      </c>
      <c r="L58" s="307">
        <f>D69</f>
        <v>0</v>
      </c>
    </row>
    <row r="59" spans="2:22">
      <c r="C59" s="279" t="s">
        <v>114</v>
      </c>
      <c r="G59" s="85">
        <f>G57+G58</f>
        <v>206.11</v>
      </c>
      <c r="H59" s="308">
        <f>ROUND(I59/G59,3)</f>
        <v>0.33</v>
      </c>
      <c r="I59" s="302">
        <f>SUM(I57:I58)</f>
        <v>68.016300000000001</v>
      </c>
      <c r="J59" s="41">
        <f>J57+J58</f>
        <v>1</v>
      </c>
      <c r="K59" s="298">
        <f>ROUND(($J57*K57)+($J58*K58),2)</f>
        <v>21.29</v>
      </c>
      <c r="L59" s="309">
        <f>ROUND(($J57*L57)+($J58*L58),0)</f>
        <v>9936</v>
      </c>
    </row>
    <row r="60" spans="2:22">
      <c r="H60" s="308"/>
      <c r="J60" s="41"/>
      <c r="K60" s="298"/>
      <c r="L60" s="310" t="s">
        <v>115</v>
      </c>
    </row>
    <row r="62" spans="2:22">
      <c r="C62" s="289" t="s">
        <v>116</v>
      </c>
      <c r="D62" s="289" t="s">
        <v>117</v>
      </c>
      <c r="E62" s="357"/>
      <c r="F62" s="311" t="str">
        <f>D40</f>
        <v xml:space="preserve">Plant Costs  - 2021 IRP - Table 7.1 &amp; 7.2 </v>
      </c>
      <c r="G62" s="312"/>
      <c r="H62" s="312"/>
      <c r="I62" s="312"/>
      <c r="J62" s="312"/>
      <c r="K62" s="312"/>
      <c r="L62" s="313"/>
    </row>
    <row r="63" spans="2:22">
      <c r="C63" s="85">
        <v>206.11</v>
      </c>
      <c r="F63" s="85" t="s">
        <v>118</v>
      </c>
      <c r="I63" s="314"/>
    </row>
    <row r="64" spans="2:22">
      <c r="B64" s="85" t="s">
        <v>204</v>
      </c>
      <c r="C64" s="297">
        <f>272050.31613629/C63</f>
        <v>1319.927786794867</v>
      </c>
      <c r="D64" s="297"/>
      <c r="F64" s="85" t="s">
        <v>119</v>
      </c>
    </row>
    <row r="65" spans="2:30">
      <c r="C65" s="298">
        <v>0</v>
      </c>
      <c r="D65" s="298"/>
      <c r="F65" s="85" t="s">
        <v>120</v>
      </c>
    </row>
    <row r="66" spans="2:30">
      <c r="C66" s="315">
        <v>0</v>
      </c>
      <c r="D66" s="315"/>
      <c r="F66" s="85" t="s">
        <v>121</v>
      </c>
    </row>
    <row r="67" spans="2:30">
      <c r="B67" s="85" t="s">
        <v>156</v>
      </c>
      <c r="C67" s="298">
        <f>C65+C66</f>
        <v>0</v>
      </c>
      <c r="D67" s="298"/>
      <c r="F67" s="85" t="s">
        <v>122</v>
      </c>
    </row>
    <row r="68" spans="2:30">
      <c r="B68" s="85" t="s">
        <v>156</v>
      </c>
      <c r="C68" s="376">
        <v>21.294</v>
      </c>
      <c r="D68" s="298"/>
      <c r="F68" s="85" t="s">
        <v>123</v>
      </c>
    </row>
    <row r="69" spans="2:30">
      <c r="C69" s="309">
        <v>9936</v>
      </c>
      <c r="D69" s="309"/>
      <c r="F69" s="85" t="s">
        <v>124</v>
      </c>
    </row>
    <row r="70" spans="2:30">
      <c r="C70" s="316">
        <v>7.4974140485106158E-2</v>
      </c>
      <c r="D70" s="316"/>
      <c r="F70" s="85" t="s">
        <v>36</v>
      </c>
      <c r="AC70" s="118"/>
      <c r="AD70" s="118"/>
    </row>
    <row r="71" spans="2:30">
      <c r="C71" s="317">
        <v>0.33</v>
      </c>
      <c r="D71" s="317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34" t="str">
        <f>LEFT(RIGHT(INDEX('Table 3 TransCost'!$39:$39,1,MATCH(E73,'Table 3 TransCost'!$4:$4,0)),6),5)</f>
        <v>2031$</v>
      </c>
      <c r="C73" s="148">
        <f>INDEX('Table 3 TransCost'!$39:$39,1,MATCH(E73,'Table 3 TransCost'!$4:$4,0)+2)</f>
        <v>12.45513744317196</v>
      </c>
      <c r="D73" s="116" t="s">
        <v>150</v>
      </c>
      <c r="E73" s="116" t="s">
        <v>146</v>
      </c>
      <c r="F73" s="116"/>
      <c r="AC73" s="118"/>
      <c r="AD73" s="118"/>
    </row>
    <row r="74" spans="2:30" ht="13.5" thickBot="1">
      <c r="B74" s="49"/>
      <c r="C74" s="377">
        <v>26.724569206547603</v>
      </c>
      <c r="D74" s="49"/>
      <c r="F74" s="85" t="s">
        <v>176</v>
      </c>
      <c r="G74" s="378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18"/>
    </row>
    <row r="79" spans="2:30">
      <c r="D79" s="318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.83203125" style="85" customWidth="1"/>
    <col min="6" max="6" width="10" style="85" customWidth="1"/>
    <col min="7" max="7" width="10.5" style="85" customWidth="1"/>
    <col min="8" max="8" width="10.5" style="85" bestFit="1" customWidth="1"/>
    <col min="9" max="9" width="11.6640625" style="85" bestFit="1" customWidth="1"/>
    <col min="10" max="10" width="11.1640625" style="85" customWidth="1"/>
    <col min="11" max="11" width="12" style="85" bestFit="1" customWidth="1"/>
    <col min="12" max="12" width="14.164062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75" hidden="1">
      <c r="B1" s="1" t="s">
        <v>35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2:32" ht="15.75">
      <c r="B2" s="1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2:32" ht="15.75">
      <c r="B3" s="1" t="s">
        <v>56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V3" s="116"/>
      <c r="W3" s="116"/>
      <c r="X3" s="116"/>
      <c r="Y3" s="116"/>
      <c r="Z3" s="116"/>
      <c r="AA3" s="116"/>
      <c r="AB3" s="116"/>
    </row>
    <row r="4" spans="2:32" ht="15.75">
      <c r="B4" s="1" t="s">
        <v>206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V4" s="116"/>
      <c r="W4" s="116"/>
      <c r="X4" s="116"/>
      <c r="Y4" s="116"/>
      <c r="Z4" s="116"/>
      <c r="AA4" s="116"/>
      <c r="AB4" s="116"/>
    </row>
    <row r="5" spans="2:32" ht="15.75">
      <c r="B5" s="1" t="str">
        <f>C48</f>
        <v>Non Emitting - 206 MW- East Side Resource (5,050')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2:32" ht="15.75">
      <c r="B6" s="1"/>
      <c r="C6" s="265"/>
      <c r="D6" s="265"/>
      <c r="E6" s="265"/>
      <c r="F6" s="265"/>
      <c r="G6" s="265"/>
      <c r="H6" s="265"/>
      <c r="I6" s="265"/>
      <c r="J6" s="265"/>
      <c r="L6" s="266"/>
    </row>
    <row r="7" spans="2:32">
      <c r="B7" s="267"/>
      <c r="C7" s="267"/>
      <c r="D7" s="267"/>
      <c r="E7" s="267"/>
      <c r="F7" s="267"/>
      <c r="G7" s="267"/>
      <c r="H7" s="267"/>
      <c r="I7" s="267"/>
      <c r="J7" s="265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68" t="s">
        <v>21</v>
      </c>
      <c r="K8" s="268" t="s">
        <v>103</v>
      </c>
      <c r="L8" s="17" t="s">
        <v>52</v>
      </c>
      <c r="M8" s="120" t="s">
        <v>151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69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36"/>
      <c r="AB9" s="336"/>
      <c r="AC9" s="118"/>
      <c r="AD9" s="118"/>
      <c r="AE9" s="86"/>
      <c r="AF9" s="86"/>
    </row>
    <row r="10" spans="2:32">
      <c r="C10" s="270" t="s">
        <v>1</v>
      </c>
      <c r="D10" s="270" t="s">
        <v>2</v>
      </c>
      <c r="E10" s="270" t="s">
        <v>3</v>
      </c>
      <c r="F10" s="270" t="s">
        <v>4</v>
      </c>
      <c r="G10" s="270" t="s">
        <v>5</v>
      </c>
      <c r="H10" s="270" t="s">
        <v>7</v>
      </c>
      <c r="I10" s="270" t="s">
        <v>22</v>
      </c>
      <c r="J10" s="270" t="s">
        <v>23</v>
      </c>
      <c r="K10" s="270" t="s">
        <v>24</v>
      </c>
      <c r="L10" s="124" t="s">
        <v>24</v>
      </c>
      <c r="M10" s="124" t="s">
        <v>178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75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67"/>
      <c r="K12" s="267"/>
      <c r="L12" s="267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8.95" customHeight="1">
      <c r="B13" s="271"/>
      <c r="C13" s="272"/>
      <c r="D13" s="273"/>
      <c r="E13" s="274"/>
      <c r="F13" s="274"/>
      <c r="G13" s="274"/>
      <c r="H13" s="275"/>
      <c r="I13" s="275"/>
      <c r="J13" s="275"/>
      <c r="K13" s="275"/>
      <c r="L13" s="275"/>
      <c r="M13" s="127"/>
      <c r="V13" s="157"/>
      <c r="W13" s="153"/>
      <c r="X13" s="153"/>
      <c r="Y13" s="153"/>
      <c r="Z13" s="118"/>
      <c r="AA13" s="153"/>
      <c r="AB13" s="153"/>
      <c r="AC13" s="118"/>
      <c r="AD13" s="118"/>
      <c r="AE13" s="86"/>
      <c r="AF13" s="86"/>
    </row>
    <row r="14" spans="2:32">
      <c r="B14" s="271">
        <v>2020</v>
      </c>
      <c r="C14" s="276"/>
      <c r="D14" s="127"/>
      <c r="E14" s="127"/>
      <c r="F14" s="127"/>
      <c r="G14" s="379">
        <f>$C$68</f>
        <v>21.294</v>
      </c>
      <c r="H14" s="275"/>
      <c r="I14" s="275"/>
      <c r="J14" s="375">
        <f>$C$74</f>
        <v>26.724569206547603</v>
      </c>
      <c r="K14" s="275"/>
      <c r="L14" s="275"/>
      <c r="M14" s="127"/>
      <c r="N14" s="41"/>
      <c r="P14" s="356"/>
      <c r="V14" s="157"/>
      <c r="W14" s="118"/>
      <c r="X14" s="153"/>
      <c r="Y14" s="337"/>
      <c r="Z14" s="118"/>
      <c r="AA14" s="153"/>
      <c r="AB14" s="153"/>
      <c r="AC14" s="118"/>
      <c r="AD14" s="118"/>
      <c r="AE14" s="86"/>
      <c r="AF14" s="86"/>
    </row>
    <row r="15" spans="2:32">
      <c r="B15" s="271">
        <f t="shared" ref="B15:B36" si="0">B14+1</f>
        <v>2021</v>
      </c>
      <c r="C15" s="276"/>
      <c r="D15" s="127"/>
      <c r="E15" s="127"/>
      <c r="F15" s="127"/>
      <c r="G15" s="127">
        <f t="shared" ref="G15:G36" si="1">ROUND(G14*(1+IRP21_Infl_Rate),2)</f>
        <v>21.75</v>
      </c>
      <c r="H15" s="275"/>
      <c r="I15" s="275"/>
      <c r="J15" s="127">
        <f t="shared" ref="J15:J36" si="2">ROUND(J14*(1+IRP21_Infl_Rate),2)</f>
        <v>27.3</v>
      </c>
      <c r="K15" s="275"/>
      <c r="L15" s="275"/>
      <c r="M15" s="127"/>
      <c r="N15" s="41"/>
      <c r="P15" s="356"/>
      <c r="Q15" s="356"/>
      <c r="V15" s="157"/>
      <c r="W15" s="153"/>
      <c r="X15" s="153"/>
      <c r="Y15" s="337"/>
      <c r="Z15" s="153"/>
      <c r="AA15" s="153"/>
      <c r="AB15" s="153"/>
      <c r="AC15" s="118"/>
      <c r="AD15" s="118"/>
      <c r="AE15" s="86"/>
      <c r="AF15" s="86"/>
    </row>
    <row r="16" spans="2:32">
      <c r="B16" s="271">
        <f t="shared" si="0"/>
        <v>2022</v>
      </c>
      <c r="C16" s="276"/>
      <c r="D16" s="127"/>
      <c r="E16" s="127"/>
      <c r="F16" s="127"/>
      <c r="G16" s="127">
        <f t="shared" si="1"/>
        <v>22.22</v>
      </c>
      <c r="H16" s="275"/>
      <c r="I16" s="275"/>
      <c r="J16" s="127">
        <f t="shared" si="2"/>
        <v>27.89</v>
      </c>
      <c r="K16" s="275"/>
      <c r="L16" s="275"/>
      <c r="M16" s="127"/>
      <c r="N16" s="41"/>
      <c r="P16" s="356"/>
      <c r="Q16" s="356"/>
      <c r="V16" s="157"/>
      <c r="W16" s="153"/>
      <c r="X16" s="153"/>
      <c r="Y16" s="337"/>
      <c r="Z16" s="153"/>
      <c r="AA16" s="153"/>
      <c r="AB16" s="153"/>
      <c r="AC16" s="118"/>
      <c r="AD16" s="118"/>
      <c r="AE16" s="86"/>
      <c r="AF16" s="86"/>
    </row>
    <row r="17" spans="2:32">
      <c r="B17" s="271">
        <f t="shared" si="0"/>
        <v>2023</v>
      </c>
      <c r="C17" s="276"/>
      <c r="D17" s="127"/>
      <c r="E17" s="127"/>
      <c r="F17" s="127"/>
      <c r="G17" s="127">
        <f t="shared" si="1"/>
        <v>22.7</v>
      </c>
      <c r="H17" s="275"/>
      <c r="I17" s="275"/>
      <c r="J17" s="127">
        <f t="shared" si="2"/>
        <v>28.49</v>
      </c>
      <c r="K17" s="275"/>
      <c r="L17" s="275"/>
      <c r="M17" s="127"/>
      <c r="N17" s="41"/>
      <c r="P17" s="356"/>
      <c r="Q17" s="356"/>
      <c r="V17" s="157"/>
      <c r="W17" s="153"/>
      <c r="X17" s="153"/>
      <c r="Y17" s="337"/>
      <c r="Z17" s="153"/>
      <c r="AA17" s="153"/>
      <c r="AB17" s="153"/>
      <c r="AC17" s="118"/>
      <c r="AD17" s="118"/>
      <c r="AE17" s="86"/>
      <c r="AF17" s="86"/>
    </row>
    <row r="18" spans="2:32">
      <c r="B18" s="271">
        <f t="shared" si="0"/>
        <v>2024</v>
      </c>
      <c r="C18" s="276"/>
      <c r="D18" s="127"/>
      <c r="E18" s="127"/>
      <c r="F18" s="127"/>
      <c r="G18" s="127">
        <f t="shared" si="1"/>
        <v>23.19</v>
      </c>
      <c r="H18" s="275"/>
      <c r="I18" s="275"/>
      <c r="J18" s="127">
        <f t="shared" si="2"/>
        <v>29.1</v>
      </c>
      <c r="K18" s="275"/>
      <c r="L18" s="275"/>
      <c r="M18" s="127"/>
      <c r="N18" s="41"/>
      <c r="P18" s="356"/>
      <c r="Q18" s="356"/>
      <c r="V18" s="157"/>
      <c r="W18" s="153"/>
      <c r="X18" s="153"/>
      <c r="Y18" s="337"/>
      <c r="Z18" s="153"/>
      <c r="AA18" s="153"/>
      <c r="AB18" s="153"/>
      <c r="AC18" s="118"/>
      <c r="AD18" s="118"/>
      <c r="AE18" s="86"/>
      <c r="AF18" s="86"/>
    </row>
    <row r="19" spans="2:32">
      <c r="B19" s="271">
        <f t="shared" si="0"/>
        <v>2025</v>
      </c>
      <c r="C19" s="276"/>
      <c r="D19" s="127"/>
      <c r="E19" s="127"/>
      <c r="F19" s="127"/>
      <c r="G19" s="127">
        <f t="shared" si="1"/>
        <v>23.69</v>
      </c>
      <c r="H19" s="275"/>
      <c r="I19" s="275"/>
      <c r="J19" s="127">
        <f t="shared" si="2"/>
        <v>29.73</v>
      </c>
      <c r="K19" s="275"/>
      <c r="L19" s="275"/>
      <c r="M19" s="127"/>
      <c r="N19" s="41"/>
      <c r="P19" s="356"/>
      <c r="Q19" s="356"/>
      <c r="V19" s="157"/>
      <c r="W19" s="153"/>
      <c r="X19" s="153"/>
      <c r="Y19" s="337"/>
      <c r="Z19" s="153"/>
      <c r="AA19" s="153"/>
      <c r="AB19" s="153"/>
      <c r="AC19" s="118"/>
      <c r="AD19" s="118"/>
      <c r="AE19" s="86"/>
      <c r="AF19" s="86"/>
    </row>
    <row r="20" spans="2:32">
      <c r="B20" s="271">
        <f t="shared" si="0"/>
        <v>2026</v>
      </c>
      <c r="C20" s="276"/>
      <c r="D20" s="273"/>
      <c r="E20" s="127"/>
      <c r="F20" s="127"/>
      <c r="G20" s="127">
        <f t="shared" si="1"/>
        <v>24.2</v>
      </c>
      <c r="H20" s="275"/>
      <c r="I20" s="275"/>
      <c r="J20" s="127">
        <f t="shared" si="2"/>
        <v>30.37</v>
      </c>
      <c r="K20" s="275"/>
      <c r="L20" s="275"/>
      <c r="M20" s="127"/>
      <c r="N20" s="41"/>
      <c r="P20" s="356"/>
      <c r="Q20" s="356"/>
      <c r="V20" s="157"/>
      <c r="W20" s="153"/>
      <c r="X20" s="153"/>
      <c r="Y20" s="153"/>
      <c r="Z20" s="153"/>
      <c r="AA20" s="153"/>
      <c r="AB20" s="153"/>
      <c r="AC20" s="118"/>
      <c r="AD20" s="118"/>
      <c r="AE20" s="86"/>
      <c r="AF20" s="86"/>
    </row>
    <row r="21" spans="2:32">
      <c r="B21" s="271">
        <f t="shared" si="0"/>
        <v>2027</v>
      </c>
      <c r="C21" s="276"/>
      <c r="D21" s="127"/>
      <c r="E21" s="127"/>
      <c r="F21" s="127"/>
      <c r="G21" s="127">
        <f t="shared" si="1"/>
        <v>24.72</v>
      </c>
      <c r="H21" s="275"/>
      <c r="I21" s="275"/>
      <c r="J21" s="127">
        <f t="shared" si="2"/>
        <v>31.02</v>
      </c>
      <c r="K21" s="275"/>
      <c r="L21" s="275"/>
      <c r="M21" s="127"/>
      <c r="N21" s="41"/>
      <c r="P21" s="356"/>
      <c r="Q21" s="356"/>
      <c r="V21" s="338"/>
      <c r="W21" s="153"/>
      <c r="X21" s="153"/>
      <c r="Y21" s="153"/>
      <c r="Z21" s="153"/>
      <c r="AA21" s="153"/>
      <c r="AB21" s="153"/>
      <c r="AC21" s="118"/>
      <c r="AD21" s="118"/>
      <c r="AE21" s="86"/>
      <c r="AF21" s="86"/>
    </row>
    <row r="22" spans="2:32">
      <c r="B22" s="271">
        <f t="shared" si="0"/>
        <v>2028</v>
      </c>
      <c r="C22" s="276"/>
      <c r="D22" s="127"/>
      <c r="E22" s="127"/>
      <c r="F22" s="127"/>
      <c r="G22" s="127">
        <f t="shared" si="1"/>
        <v>25.25</v>
      </c>
      <c r="H22" s="275"/>
      <c r="I22" s="275"/>
      <c r="J22" s="127">
        <f t="shared" si="2"/>
        <v>31.69</v>
      </c>
      <c r="K22" s="275"/>
      <c r="L22" s="275"/>
      <c r="M22" s="127"/>
      <c r="N22" s="41"/>
      <c r="P22" s="356"/>
      <c r="Q22" s="356"/>
      <c r="V22" s="157"/>
      <c r="W22" s="153"/>
      <c r="X22" s="153"/>
      <c r="Y22" s="153"/>
      <c r="Z22" s="153"/>
      <c r="AA22" s="153"/>
      <c r="AB22" s="153"/>
      <c r="AC22" s="118"/>
      <c r="AD22" s="118"/>
      <c r="AE22" s="86"/>
      <c r="AF22" s="86"/>
    </row>
    <row r="23" spans="2:32">
      <c r="B23" s="271">
        <f t="shared" si="0"/>
        <v>2029</v>
      </c>
      <c r="C23" s="276"/>
      <c r="D23" s="127"/>
      <c r="E23" s="127"/>
      <c r="F23" s="127"/>
      <c r="G23" s="127">
        <f t="shared" si="1"/>
        <v>25.79</v>
      </c>
      <c r="H23" s="275"/>
      <c r="I23" s="275"/>
      <c r="J23" s="127">
        <f t="shared" si="2"/>
        <v>32.369999999999997</v>
      </c>
      <c r="K23" s="275"/>
      <c r="L23" s="275"/>
      <c r="M23" s="127"/>
      <c r="N23" s="41"/>
      <c r="P23" s="356"/>
      <c r="Q23" s="356"/>
      <c r="V23" s="157"/>
      <c r="W23" s="153"/>
      <c r="X23" s="153"/>
      <c r="Y23" s="153"/>
      <c r="Z23" s="153"/>
      <c r="AA23" s="153"/>
      <c r="AB23" s="153"/>
      <c r="AC23" s="118"/>
      <c r="AD23" s="118"/>
      <c r="AE23" s="86"/>
      <c r="AF23" s="86"/>
    </row>
    <row r="24" spans="2:32" s="279" customFormat="1">
      <c r="B24" s="277">
        <f t="shared" si="0"/>
        <v>2030</v>
      </c>
      <c r="C24" s="276"/>
      <c r="D24" s="127"/>
      <c r="E24" s="127"/>
      <c r="F24" s="127"/>
      <c r="G24" s="127">
        <f t="shared" si="1"/>
        <v>26.35</v>
      </c>
      <c r="H24" s="275"/>
      <c r="I24" s="275"/>
      <c r="J24" s="127">
        <f t="shared" si="2"/>
        <v>33.07</v>
      </c>
      <c r="K24" s="275"/>
      <c r="L24" s="275"/>
      <c r="M24" s="127"/>
      <c r="N24" s="50"/>
      <c r="O24" s="85"/>
      <c r="P24" s="356"/>
      <c r="Q24" s="356"/>
      <c r="V24" s="157"/>
      <c r="W24" s="153"/>
      <c r="X24" s="153"/>
      <c r="Y24" s="153"/>
      <c r="Z24" s="153"/>
      <c r="AA24" s="153"/>
      <c r="AB24" s="153"/>
      <c r="AC24" s="118"/>
      <c r="AD24" s="118"/>
      <c r="AE24" s="339"/>
      <c r="AF24" s="339"/>
    </row>
    <row r="25" spans="2:32" s="279" customFormat="1">
      <c r="B25" s="277">
        <f t="shared" si="0"/>
        <v>2031</v>
      </c>
      <c r="C25" s="276"/>
      <c r="D25" s="127"/>
      <c r="E25" s="127"/>
      <c r="F25" s="127"/>
      <c r="G25" s="127">
        <f t="shared" si="1"/>
        <v>26.92</v>
      </c>
      <c r="H25" s="275"/>
      <c r="I25" s="275"/>
      <c r="J25" s="127">
        <f t="shared" si="2"/>
        <v>33.78</v>
      </c>
      <c r="K25" s="275"/>
      <c r="L25" s="275"/>
      <c r="M25" s="127"/>
      <c r="N25" s="50"/>
      <c r="O25" s="85"/>
      <c r="P25" s="356"/>
      <c r="Q25" s="356"/>
      <c r="V25" s="157"/>
      <c r="W25" s="153"/>
      <c r="X25" s="153"/>
      <c r="Y25" s="153"/>
      <c r="Z25" s="153"/>
      <c r="AA25" s="153"/>
      <c r="AB25" s="153"/>
      <c r="AC25" s="118"/>
      <c r="AD25" s="118"/>
      <c r="AE25" s="339"/>
      <c r="AF25" s="339"/>
    </row>
    <row r="26" spans="2:32" s="279" customFormat="1">
      <c r="B26" s="277">
        <f t="shared" si="0"/>
        <v>2032</v>
      </c>
      <c r="C26" s="276"/>
      <c r="D26" s="127"/>
      <c r="E26" s="127"/>
      <c r="F26" s="127"/>
      <c r="G26" s="127">
        <f t="shared" si="1"/>
        <v>27.5</v>
      </c>
      <c r="H26" s="275"/>
      <c r="I26" s="275"/>
      <c r="J26" s="127">
        <f t="shared" si="2"/>
        <v>34.51</v>
      </c>
      <c r="K26" s="275"/>
      <c r="L26" s="275"/>
      <c r="M26" s="127"/>
      <c r="N26" s="50"/>
      <c r="O26" s="85"/>
      <c r="P26" s="356"/>
      <c r="Q26" s="356"/>
      <c r="V26" s="157"/>
      <c r="W26" s="153"/>
      <c r="X26" s="153"/>
      <c r="Y26" s="153"/>
      <c r="Z26" s="153"/>
      <c r="AA26" s="153"/>
      <c r="AB26" s="153"/>
      <c r="AC26" s="118"/>
      <c r="AD26" s="118"/>
      <c r="AE26" s="339"/>
      <c r="AF26" s="339"/>
    </row>
    <row r="27" spans="2:32" s="279" customFormat="1">
      <c r="B27" s="277">
        <f t="shared" si="0"/>
        <v>2033</v>
      </c>
      <c r="C27" s="276"/>
      <c r="D27" s="127"/>
      <c r="E27" s="127"/>
      <c r="F27" s="127"/>
      <c r="G27" s="127">
        <f t="shared" si="1"/>
        <v>28.09</v>
      </c>
      <c r="H27" s="275"/>
      <c r="I27" s="275"/>
      <c r="J27" s="127">
        <f>ROUND(J26*(1+IRP21_Infl_Rate),2)</f>
        <v>35.25</v>
      </c>
      <c r="K27" s="275"/>
      <c r="L27" s="275"/>
      <c r="M27" s="127"/>
      <c r="N27" s="50"/>
      <c r="O27" s="85"/>
      <c r="P27" s="356"/>
      <c r="Q27" s="356"/>
      <c r="V27" s="157"/>
      <c r="W27" s="153"/>
      <c r="X27" s="153"/>
      <c r="Y27" s="153"/>
      <c r="Z27" s="153"/>
      <c r="AA27" s="153"/>
      <c r="AB27" s="153"/>
      <c r="AC27" s="118"/>
      <c r="AD27" s="118"/>
      <c r="AE27" s="339"/>
      <c r="AF27" s="339"/>
    </row>
    <row r="28" spans="2:32" s="279" customFormat="1">
      <c r="B28" s="277">
        <f t="shared" si="0"/>
        <v>2034</v>
      </c>
      <c r="C28" s="278"/>
      <c r="D28" s="127"/>
      <c r="E28" s="127"/>
      <c r="F28" s="127"/>
      <c r="G28" s="127">
        <f t="shared" si="1"/>
        <v>28.7</v>
      </c>
      <c r="H28" s="275"/>
      <c r="I28" s="275"/>
      <c r="J28" s="127">
        <f t="shared" si="2"/>
        <v>36.01</v>
      </c>
      <c r="K28" s="275"/>
      <c r="L28" s="275"/>
      <c r="M28" s="127"/>
      <c r="N28" s="50"/>
      <c r="O28" s="85"/>
      <c r="P28" s="85"/>
      <c r="V28" s="157"/>
      <c r="W28" s="153"/>
      <c r="X28" s="153"/>
      <c r="Y28" s="153"/>
      <c r="Z28" s="153"/>
      <c r="AA28" s="153"/>
      <c r="AB28" s="153"/>
      <c r="AC28" s="118"/>
      <c r="AD28" s="118"/>
      <c r="AE28" s="339"/>
      <c r="AF28" s="339"/>
    </row>
    <row r="29" spans="2:32">
      <c r="B29" s="271">
        <f t="shared" si="0"/>
        <v>2035</v>
      </c>
      <c r="C29" s="276"/>
      <c r="D29" s="127"/>
      <c r="E29" s="127"/>
      <c r="F29" s="127"/>
      <c r="G29" s="127">
        <f t="shared" si="1"/>
        <v>29.32</v>
      </c>
      <c r="H29" s="275"/>
      <c r="I29" s="275"/>
      <c r="J29" s="127">
        <f t="shared" si="2"/>
        <v>36.79</v>
      </c>
      <c r="K29" s="275"/>
      <c r="L29" s="275"/>
      <c r="M29" s="127"/>
      <c r="N29" s="50"/>
      <c r="V29" s="157"/>
      <c r="W29" s="153"/>
      <c r="X29" s="153"/>
      <c r="Y29" s="153"/>
      <c r="Z29" s="153"/>
      <c r="AA29" s="153"/>
      <c r="AB29" s="153"/>
      <c r="AC29" s="118"/>
      <c r="AD29" s="118"/>
      <c r="AE29" s="86"/>
      <c r="AF29" s="86"/>
    </row>
    <row r="30" spans="2:32">
      <c r="B30" s="271">
        <f t="shared" si="0"/>
        <v>2036</v>
      </c>
      <c r="C30" s="276"/>
      <c r="D30" s="127"/>
      <c r="E30" s="127"/>
      <c r="F30" s="127"/>
      <c r="G30" s="127">
        <f t="shared" si="1"/>
        <v>29.95</v>
      </c>
      <c r="H30" s="275"/>
      <c r="I30" s="275"/>
      <c r="J30" s="127">
        <f t="shared" si="2"/>
        <v>37.58</v>
      </c>
      <c r="K30" s="275"/>
      <c r="L30" s="275"/>
      <c r="M30" s="127"/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1">
        <f t="shared" si="0"/>
        <v>2037</v>
      </c>
      <c r="C31" s="356">
        <f>$C$64</f>
        <v>1385.7797810443026</v>
      </c>
      <c r="D31" s="273">
        <f>ROUND(C31*$C$70,2)</f>
        <v>103.9</v>
      </c>
      <c r="E31" s="188">
        <f>$C$73</f>
        <v>0</v>
      </c>
      <c r="F31" s="127">
        <v>0</v>
      </c>
      <c r="G31" s="127">
        <f t="shared" si="1"/>
        <v>30.6</v>
      </c>
      <c r="H31" s="275">
        <f t="shared" ref="H31:H36" si="3">ROUND(G31*(8.76*$H$59)+F31,2)</f>
        <v>88.46</v>
      </c>
      <c r="I31" s="275">
        <f t="shared" ref="I31:I36" si="4">ROUND(D31+E31+H31,2)</f>
        <v>192.36</v>
      </c>
      <c r="J31" s="127">
        <f t="shared" si="2"/>
        <v>38.39</v>
      </c>
      <c r="K31" s="275">
        <f t="shared" ref="K31:K36" si="5">ROUND($L$59*J31/1000,2)</f>
        <v>381.44</v>
      </c>
      <c r="L31" s="275">
        <f t="shared" ref="L31:L36" si="6">ROUND(I31*1000/8760/$H$59+K31,2)</f>
        <v>447.98</v>
      </c>
      <c r="M31" s="127">
        <f t="shared" ref="M31:M36" si="7">(D31+E31+F31)</f>
        <v>103.9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1">
        <f t="shared" si="0"/>
        <v>2038</v>
      </c>
      <c r="C32" s="276"/>
      <c r="D32" s="127">
        <f t="shared" ref="D32:D36" si="8">ROUND(D31*(1+IRP21_Infl_Rate),2)</f>
        <v>106.14</v>
      </c>
      <c r="E32" s="127">
        <f t="shared" ref="E32:E36" si="9">ROUND(E31*(1+IRP21_Infl_Rate),2)</f>
        <v>0</v>
      </c>
      <c r="F32" s="127">
        <f t="shared" ref="F32:F36" si="10">ROUND(F31*(1+IRP21_Infl_Rate),2)</f>
        <v>0</v>
      </c>
      <c r="G32" s="127">
        <f t="shared" si="1"/>
        <v>31.26</v>
      </c>
      <c r="H32" s="275">
        <f t="shared" si="3"/>
        <v>90.37</v>
      </c>
      <c r="I32" s="275">
        <f t="shared" si="4"/>
        <v>196.51</v>
      </c>
      <c r="J32" s="127">
        <f t="shared" si="2"/>
        <v>39.22</v>
      </c>
      <c r="K32" s="275">
        <f t="shared" si="5"/>
        <v>389.69</v>
      </c>
      <c r="L32" s="275">
        <f t="shared" si="6"/>
        <v>457.67</v>
      </c>
      <c r="M32" s="127">
        <f t="shared" si="7"/>
        <v>106.14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1">
        <f t="shared" si="0"/>
        <v>2039</v>
      </c>
      <c r="C33" s="276"/>
      <c r="D33" s="127">
        <f t="shared" si="8"/>
        <v>108.43</v>
      </c>
      <c r="E33" s="127">
        <f t="shared" si="9"/>
        <v>0</v>
      </c>
      <c r="F33" s="127">
        <f t="shared" si="10"/>
        <v>0</v>
      </c>
      <c r="G33" s="127">
        <f t="shared" si="1"/>
        <v>31.93</v>
      </c>
      <c r="H33" s="275">
        <f t="shared" si="3"/>
        <v>92.3</v>
      </c>
      <c r="I33" s="275">
        <f t="shared" si="4"/>
        <v>200.73</v>
      </c>
      <c r="J33" s="127">
        <f t="shared" si="2"/>
        <v>40.07</v>
      </c>
      <c r="K33" s="275">
        <f t="shared" si="5"/>
        <v>398.14</v>
      </c>
      <c r="L33" s="275">
        <f t="shared" si="6"/>
        <v>467.58</v>
      </c>
      <c r="M33" s="127">
        <f t="shared" si="7"/>
        <v>108.43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1">
        <f t="shared" si="0"/>
        <v>2040</v>
      </c>
      <c r="C34" s="276"/>
      <c r="D34" s="127">
        <f t="shared" si="8"/>
        <v>110.77</v>
      </c>
      <c r="E34" s="127">
        <f t="shared" si="9"/>
        <v>0</v>
      </c>
      <c r="F34" s="127">
        <f t="shared" si="10"/>
        <v>0</v>
      </c>
      <c r="G34" s="127">
        <f t="shared" si="1"/>
        <v>32.619999999999997</v>
      </c>
      <c r="H34" s="275">
        <f t="shared" si="3"/>
        <v>94.3</v>
      </c>
      <c r="I34" s="275">
        <f t="shared" si="4"/>
        <v>205.07</v>
      </c>
      <c r="J34" s="127">
        <f t="shared" si="2"/>
        <v>40.93</v>
      </c>
      <c r="K34" s="275">
        <f t="shared" si="5"/>
        <v>406.68</v>
      </c>
      <c r="L34" s="275">
        <f t="shared" si="6"/>
        <v>477.62</v>
      </c>
      <c r="M34" s="127">
        <f t="shared" si="7"/>
        <v>110.77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1">
        <f t="shared" si="0"/>
        <v>2041</v>
      </c>
      <c r="C35" s="276"/>
      <c r="D35" s="127">
        <f t="shared" si="8"/>
        <v>113.16</v>
      </c>
      <c r="E35" s="127">
        <f t="shared" si="9"/>
        <v>0</v>
      </c>
      <c r="F35" s="127">
        <f t="shared" si="10"/>
        <v>0</v>
      </c>
      <c r="G35" s="127">
        <f t="shared" si="1"/>
        <v>33.32</v>
      </c>
      <c r="H35" s="275">
        <f t="shared" si="3"/>
        <v>96.32</v>
      </c>
      <c r="I35" s="275">
        <f t="shared" si="4"/>
        <v>209.48</v>
      </c>
      <c r="J35" s="127">
        <f t="shared" si="2"/>
        <v>41.81</v>
      </c>
      <c r="K35" s="275">
        <f t="shared" si="5"/>
        <v>415.42</v>
      </c>
      <c r="L35" s="275">
        <f t="shared" si="6"/>
        <v>487.88</v>
      </c>
      <c r="M35" s="127">
        <f t="shared" si="7"/>
        <v>113.16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1">
        <f t="shared" si="0"/>
        <v>2042</v>
      </c>
      <c r="C36" s="276"/>
      <c r="D36" s="127">
        <f t="shared" si="8"/>
        <v>115.6</v>
      </c>
      <c r="E36" s="127">
        <f t="shared" si="9"/>
        <v>0</v>
      </c>
      <c r="F36" s="127">
        <f t="shared" si="10"/>
        <v>0</v>
      </c>
      <c r="G36" s="127">
        <f t="shared" si="1"/>
        <v>34.04</v>
      </c>
      <c r="H36" s="275">
        <f t="shared" si="3"/>
        <v>98.4</v>
      </c>
      <c r="I36" s="275">
        <f t="shared" si="4"/>
        <v>214</v>
      </c>
      <c r="J36" s="127">
        <f t="shared" si="2"/>
        <v>42.71</v>
      </c>
      <c r="K36" s="275">
        <f t="shared" si="5"/>
        <v>424.37</v>
      </c>
      <c r="L36" s="275">
        <f t="shared" si="6"/>
        <v>498.4</v>
      </c>
      <c r="M36" s="127">
        <f t="shared" si="7"/>
        <v>115.6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1"/>
      <c r="P37" s="280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4.25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1"/>
      <c r="O38" s="280"/>
      <c r="P38" s="280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1" t="s">
        <v>205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2" t="str">
        <f>D10</f>
        <v>(b)</v>
      </c>
      <c r="D41" s="275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2" t="str">
        <f>H10</f>
        <v>(f)</v>
      </c>
      <c r="D42" s="275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2" t="str">
        <f>I10</f>
        <v>(g)</v>
      </c>
      <c r="D43" s="275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2" t="str">
        <f>J10</f>
        <v>(h)</v>
      </c>
      <c r="D44" s="283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2" t="str">
        <f>K10</f>
        <v>(i)</v>
      </c>
      <c r="D45" s="275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2" t="str">
        <f>L10</f>
        <v>(i)</v>
      </c>
      <c r="D46" s="275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5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5" thickBot="1">
      <c r="C48" s="42" t="s">
        <v>175</v>
      </c>
      <c r="D48" s="284"/>
      <c r="E48" s="284"/>
      <c r="F48" s="284"/>
      <c r="G48" s="284"/>
      <c r="H48" s="284"/>
      <c r="I48" s="284"/>
      <c r="J48" s="284"/>
      <c r="K48" s="285"/>
      <c r="L48" s="286"/>
    </row>
    <row r="49" spans="2:22" ht="5.25" customHeight="1"/>
    <row r="50" spans="2:22" ht="5.25" customHeight="1"/>
    <row r="51" spans="2:22">
      <c r="C51" s="287" t="s">
        <v>106</v>
      </c>
      <c r="D51" s="288"/>
      <c r="E51" s="287"/>
      <c r="F51" s="287"/>
      <c r="G51" s="289" t="s">
        <v>32</v>
      </c>
      <c r="H51" s="289" t="s">
        <v>107</v>
      </c>
      <c r="I51" s="289" t="s">
        <v>108</v>
      </c>
      <c r="J51" s="289" t="s">
        <v>33</v>
      </c>
    </row>
    <row r="52" spans="2:22">
      <c r="C52" s="279" t="s">
        <v>109</v>
      </c>
      <c r="G52" s="290">
        <f>C63</f>
        <v>206.10992340000001</v>
      </c>
      <c r="H52" s="41">
        <f>G52/G54</f>
        <v>1</v>
      </c>
      <c r="I52" s="291">
        <f>C64</f>
        <v>1385.7797810443026</v>
      </c>
      <c r="J52" s="292">
        <f>C67</f>
        <v>0</v>
      </c>
      <c r="Q52" s="116"/>
      <c r="R52" s="116"/>
      <c r="S52" s="116"/>
      <c r="T52" s="116"/>
      <c r="U52" s="116"/>
      <c r="V52" s="116"/>
    </row>
    <row r="53" spans="2:22">
      <c r="C53" s="279"/>
      <c r="G53" s="293">
        <f>D63</f>
        <v>0</v>
      </c>
      <c r="H53" s="294">
        <f>1-H52</f>
        <v>0</v>
      </c>
      <c r="I53" s="295">
        <f>D64</f>
        <v>0</v>
      </c>
      <c r="J53" s="296">
        <f>D67</f>
        <v>0</v>
      </c>
      <c r="Q53" s="359"/>
      <c r="R53" s="116"/>
      <c r="S53" s="116"/>
      <c r="T53" s="116"/>
      <c r="U53" s="116"/>
      <c r="V53" s="116"/>
    </row>
    <row r="54" spans="2:22">
      <c r="C54" s="279" t="s">
        <v>110</v>
      </c>
      <c r="G54" s="290">
        <f>G52+G53</f>
        <v>206.10992340000001</v>
      </c>
      <c r="H54" s="41">
        <f>H52+H53</f>
        <v>1</v>
      </c>
      <c r="I54" s="291">
        <f>ROUND(((G52*I52)+(G53*I53))/G54,0)</f>
        <v>1386</v>
      </c>
      <c r="J54" s="292">
        <f>ROUND(((G52*J52)+(G53*J53))/G54,2)</f>
        <v>0</v>
      </c>
      <c r="Q54" s="359"/>
      <c r="R54" s="116"/>
      <c r="S54" s="116"/>
      <c r="T54" s="118"/>
      <c r="U54" s="116"/>
      <c r="V54" s="116"/>
    </row>
    <row r="55" spans="2:22">
      <c r="C55" s="279"/>
      <c r="G55" s="290"/>
      <c r="H55" s="41"/>
      <c r="I55" s="297"/>
      <c r="J55" s="298"/>
      <c r="Q55" s="116"/>
      <c r="R55" s="116"/>
      <c r="S55" s="319"/>
      <c r="T55" s="116"/>
      <c r="U55" s="116"/>
      <c r="V55" s="116"/>
    </row>
    <row r="56" spans="2:22">
      <c r="C56" s="299" t="s">
        <v>106</v>
      </c>
      <c r="D56" s="288"/>
      <c r="E56" s="287"/>
      <c r="F56" s="287"/>
      <c r="G56" s="289" t="s">
        <v>32</v>
      </c>
      <c r="H56" s="289" t="s">
        <v>34</v>
      </c>
      <c r="I56" s="289" t="s">
        <v>111</v>
      </c>
      <c r="J56" s="289" t="s">
        <v>107</v>
      </c>
      <c r="K56" s="289" t="s">
        <v>112</v>
      </c>
      <c r="L56" s="289" t="s">
        <v>113</v>
      </c>
    </row>
    <row r="57" spans="2:22">
      <c r="C57" s="300" t="str">
        <f>C52</f>
        <v>SCCT Dry "F" - Turbine</v>
      </c>
      <c r="D57" s="301"/>
      <c r="E57" s="301"/>
      <c r="F57" s="301"/>
      <c r="G57" s="85">
        <f>C63</f>
        <v>206.10992340000001</v>
      </c>
      <c r="H57" s="41">
        <f>C71</f>
        <v>0.33</v>
      </c>
      <c r="I57" s="302">
        <f>H57*G57</f>
        <v>68.016274722000006</v>
      </c>
      <c r="J57" s="41">
        <f>I57/I59</f>
        <v>1</v>
      </c>
      <c r="K57" s="298">
        <f>C68</f>
        <v>21.294</v>
      </c>
      <c r="L57" s="303">
        <f>C69</f>
        <v>9936</v>
      </c>
    </row>
    <row r="58" spans="2:22">
      <c r="C58" s="300">
        <f>C53</f>
        <v>0</v>
      </c>
      <c r="D58" s="301"/>
      <c r="E58" s="301"/>
      <c r="F58" s="301"/>
      <c r="G58" s="304">
        <f>D63</f>
        <v>0</v>
      </c>
      <c r="H58" s="294">
        <f>D71</f>
        <v>0</v>
      </c>
      <c r="I58" s="305">
        <f>H58*G58</f>
        <v>0</v>
      </c>
      <c r="J58" s="294">
        <f>1-J57</f>
        <v>0</v>
      </c>
      <c r="K58" s="306">
        <f>D68</f>
        <v>0</v>
      </c>
      <c r="L58" s="307">
        <f>D69</f>
        <v>0</v>
      </c>
    </row>
    <row r="59" spans="2:22">
      <c r="C59" s="279" t="s">
        <v>114</v>
      </c>
      <c r="G59" s="85">
        <f>G57+G58</f>
        <v>206.10992340000001</v>
      </c>
      <c r="H59" s="308">
        <f>ROUND(I59/G59,3)</f>
        <v>0.33</v>
      </c>
      <c r="I59" s="302">
        <f>SUM(I57:I58)</f>
        <v>68.016274722000006</v>
      </c>
      <c r="J59" s="41">
        <f>J57+J58</f>
        <v>1</v>
      </c>
      <c r="K59" s="298">
        <f>ROUND(($J57*K57)+($J58*K58),2)</f>
        <v>21.29</v>
      </c>
      <c r="L59" s="309">
        <f>ROUND(($J57*L57)+($J58*L58),0)</f>
        <v>9936</v>
      </c>
    </row>
    <row r="60" spans="2:22">
      <c r="H60" s="308"/>
      <c r="J60" s="41"/>
      <c r="K60" s="298"/>
      <c r="L60" s="310" t="s">
        <v>115</v>
      </c>
    </row>
    <row r="62" spans="2:22">
      <c r="C62" s="289" t="s">
        <v>116</v>
      </c>
      <c r="D62" s="289" t="s">
        <v>117</v>
      </c>
      <c r="E62" s="357"/>
      <c r="F62" s="311" t="str">
        <f>D40</f>
        <v xml:space="preserve">Plant Costs  - 2021 IRP  - Table 7.1 &amp; 7.2 </v>
      </c>
      <c r="G62" s="312"/>
      <c r="H62" s="312"/>
      <c r="I62" s="312"/>
      <c r="J62" s="312"/>
      <c r="K62" s="312"/>
      <c r="L62" s="313"/>
    </row>
    <row r="63" spans="2:22">
      <c r="C63" s="85">
        <v>206.10992340000001</v>
      </c>
      <c r="F63" s="85" t="s">
        <v>118</v>
      </c>
      <c r="I63" s="314"/>
    </row>
    <row r="64" spans="2:22">
      <c r="B64" s="85" t="s">
        <v>203</v>
      </c>
      <c r="C64" s="297">
        <f>285622.96452031/C63</f>
        <v>1385.7797810443026</v>
      </c>
      <c r="D64" s="297"/>
      <c r="F64" s="85" t="s">
        <v>119</v>
      </c>
    </row>
    <row r="65" spans="2:30">
      <c r="C65" s="298">
        <v>0</v>
      </c>
      <c r="D65" s="298"/>
      <c r="F65" s="85" t="s">
        <v>120</v>
      </c>
    </row>
    <row r="66" spans="2:30">
      <c r="C66" s="315">
        <v>0</v>
      </c>
      <c r="D66" s="315"/>
      <c r="F66" s="85" t="s">
        <v>121</v>
      </c>
    </row>
    <row r="67" spans="2:30">
      <c r="B67" s="85" t="s">
        <v>156</v>
      </c>
      <c r="C67" s="298">
        <f>C65+C66</f>
        <v>0</v>
      </c>
      <c r="D67" s="298"/>
      <c r="F67" s="85" t="s">
        <v>122</v>
      </c>
    </row>
    <row r="68" spans="2:30">
      <c r="B68" s="85" t="s">
        <v>156</v>
      </c>
      <c r="C68" s="376">
        <v>21.294</v>
      </c>
      <c r="D68" s="298"/>
      <c r="F68" s="85" t="s">
        <v>123</v>
      </c>
    </row>
    <row r="69" spans="2:30">
      <c r="C69" s="309">
        <v>9936</v>
      </c>
      <c r="D69" s="309"/>
      <c r="F69" s="85" t="s">
        <v>124</v>
      </c>
    </row>
    <row r="70" spans="2:30">
      <c r="C70" s="316">
        <v>7.4974140485106158E-2</v>
      </c>
      <c r="D70" s="316"/>
      <c r="F70" s="85" t="s">
        <v>36</v>
      </c>
      <c r="AC70" s="118"/>
      <c r="AD70" s="118"/>
    </row>
    <row r="71" spans="2:30">
      <c r="C71" s="317">
        <v>0.33</v>
      </c>
      <c r="D71" s="317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34"/>
      <c r="C73" s="148"/>
      <c r="D73" s="116"/>
      <c r="E73" s="116"/>
      <c r="F73" s="116"/>
      <c r="AC73" s="118"/>
      <c r="AD73" s="118"/>
    </row>
    <row r="74" spans="2:30" ht="13.5" thickBot="1">
      <c r="B74" s="49"/>
      <c r="C74" s="377">
        <v>26.724569206547603</v>
      </c>
      <c r="D74" s="49"/>
      <c r="F74" s="85" t="s">
        <v>176</v>
      </c>
      <c r="G74" s="378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18"/>
    </row>
    <row r="77" spans="2:30">
      <c r="D77" s="318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F11" sqref="F11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12" customFormat="1" ht="15.75" hidden="1">
      <c r="B1" s="1" t="s">
        <v>35</v>
      </c>
      <c r="C1" s="1"/>
      <c r="D1" s="1"/>
      <c r="E1" s="1"/>
      <c r="F1" s="1"/>
      <c r="G1" s="209"/>
      <c r="H1" s="1"/>
      <c r="I1" s="1"/>
      <c r="J1" s="1"/>
      <c r="K1" s="1"/>
      <c r="L1" s="210"/>
      <c r="M1" s="211"/>
      <c r="N1" s="211"/>
      <c r="O1" s="211"/>
      <c r="P1" s="211"/>
    </row>
    <row r="2" spans="2:16" s="212" customFormat="1" ht="5.25" customHeight="1">
      <c r="B2" s="1"/>
      <c r="C2" s="1"/>
      <c r="D2" s="1"/>
      <c r="E2" s="1"/>
      <c r="F2" s="1"/>
      <c r="G2" s="209"/>
      <c r="H2" s="1"/>
      <c r="I2" s="1"/>
      <c r="J2" s="1"/>
      <c r="K2" s="1"/>
      <c r="L2" s="210"/>
      <c r="M2" s="211"/>
      <c r="N2" s="211"/>
      <c r="O2" s="211"/>
      <c r="P2" s="211"/>
    </row>
    <row r="3" spans="2:16" s="212" customFormat="1" ht="15.75">
      <c r="B3" s="1" t="s">
        <v>93</v>
      </c>
      <c r="C3" s="1"/>
      <c r="D3" s="1"/>
      <c r="E3" s="1"/>
      <c r="F3" s="1"/>
      <c r="G3" s="209"/>
      <c r="H3" s="1"/>
      <c r="I3" s="1"/>
      <c r="J3" s="1"/>
      <c r="K3" s="1"/>
      <c r="L3" s="210"/>
      <c r="M3" s="211"/>
      <c r="N3" s="211"/>
      <c r="O3" s="211"/>
      <c r="P3" s="211"/>
    </row>
    <row r="4" spans="2:16" s="214" customFormat="1" ht="15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13"/>
      <c r="N4" s="213"/>
      <c r="O4" s="213"/>
      <c r="P4" s="213"/>
    </row>
    <row r="5" spans="2:16" s="214" customFormat="1" ht="15">
      <c r="B5" s="4" t="str">
        <f ca="1">'Table 1'!B5</f>
        <v>Utah 2022.Q3 - 100.0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4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3"/>
      <c r="N6" s="213"/>
      <c r="O6" s="213"/>
      <c r="P6" s="213"/>
    </row>
    <row r="7" spans="2:16">
      <c r="D7" s="215"/>
      <c r="E7" s="215"/>
      <c r="F7" s="215"/>
      <c r="G7" s="216"/>
      <c r="H7" s="216"/>
      <c r="I7" s="216"/>
      <c r="J7" s="216"/>
      <c r="K7" s="216"/>
      <c r="L7" s="216"/>
      <c r="M7" s="217"/>
    </row>
    <row r="8" spans="2:16">
      <c r="B8" s="218"/>
      <c r="C8" s="218"/>
      <c r="D8" s="219" t="s">
        <v>95</v>
      </c>
      <c r="E8" s="220"/>
      <c r="F8" s="220"/>
      <c r="G8" s="219"/>
      <c r="H8" s="219"/>
      <c r="I8" s="221" t="s">
        <v>96</v>
      </c>
      <c r="J8" s="222"/>
      <c r="K8" s="222"/>
      <c r="L8" s="223"/>
      <c r="M8" s="224" t="s">
        <v>95</v>
      </c>
      <c r="N8" s="225"/>
      <c r="O8" s="226"/>
    </row>
    <row r="9" spans="2:16">
      <c r="B9" s="227" t="s">
        <v>0</v>
      </c>
      <c r="C9" s="227" t="s">
        <v>244</v>
      </c>
      <c r="D9" s="228" t="s">
        <v>245</v>
      </c>
      <c r="E9" s="229" t="s">
        <v>246</v>
      </c>
      <c r="F9" s="229" t="s">
        <v>247</v>
      </c>
      <c r="G9" s="229" t="s">
        <v>248</v>
      </c>
      <c r="H9" s="230" t="s">
        <v>249</v>
      </c>
      <c r="I9" s="163" t="s">
        <v>250</v>
      </c>
      <c r="J9" s="163" t="s">
        <v>251</v>
      </c>
      <c r="K9" s="163" t="s">
        <v>252</v>
      </c>
      <c r="L9" s="163" t="s">
        <v>253</v>
      </c>
      <c r="M9" s="228" t="s">
        <v>254</v>
      </c>
      <c r="N9" s="229" t="s">
        <v>255</v>
      </c>
      <c r="O9" s="230" t="s">
        <v>256</v>
      </c>
    </row>
    <row r="10" spans="2:16" ht="12.75" customHeight="1">
      <c r="B10" s="208"/>
      <c r="C10" s="208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5"/>
    </row>
    <row r="11" spans="2:16" ht="12.75" customHeight="1">
      <c r="B11" s="232" t="s">
        <v>97</v>
      </c>
      <c r="C11" s="232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5"/>
    </row>
    <row r="12" spans="2:16" ht="12.75" hidden="1" customHeight="1">
      <c r="B12" s="233"/>
      <c r="C12" s="234"/>
      <c r="D12" s="8"/>
      <c r="E12" s="8"/>
      <c r="F12" s="8"/>
      <c r="G12" s="8"/>
      <c r="H12" s="13"/>
      <c r="I12" s="235"/>
      <c r="J12" s="236"/>
      <c r="K12" s="236"/>
      <c r="L12" s="237"/>
      <c r="M12" s="235"/>
      <c r="N12" s="236"/>
      <c r="O12" s="237"/>
    </row>
    <row r="13" spans="2:16" ht="12.75" customHeight="1">
      <c r="B13" s="238">
        <v>2023</v>
      </c>
      <c r="C13" s="239">
        <v>57.745611672137699</v>
      </c>
      <c r="D13" s="240">
        <v>90.355486680123434</v>
      </c>
      <c r="E13" s="240">
        <v>49.047252079925187</v>
      </c>
      <c r="F13" s="240">
        <v>36.030114103729524</v>
      </c>
      <c r="G13" s="240">
        <v>32.917295139399464</v>
      </c>
      <c r="H13" s="241">
        <v>26.970571839331139</v>
      </c>
      <c r="I13" s="242">
        <v>36.265913931662837</v>
      </c>
      <c r="J13" s="240">
        <v>136.23603502221965</v>
      </c>
      <c r="K13" s="240">
        <v>76.270897877875882</v>
      </c>
      <c r="L13" s="241">
        <v>60.507511118632841</v>
      </c>
      <c r="M13" s="242">
        <v>50.208969535999081</v>
      </c>
      <c r="N13" s="240">
        <v>44.497189522214235</v>
      </c>
      <c r="O13" s="241">
        <v>50.966244641858083</v>
      </c>
    </row>
    <row r="14" spans="2:16" ht="12.75" customHeight="1">
      <c r="B14" s="255">
        <v>2024</v>
      </c>
      <c r="C14" s="243">
        <v>62.708353566420428</v>
      </c>
      <c r="D14" s="244">
        <v>80.563294649413351</v>
      </c>
      <c r="E14" s="244">
        <v>56.642140292195585</v>
      </c>
      <c r="F14" s="244">
        <v>48.044324434278636</v>
      </c>
      <c r="G14" s="244">
        <v>35.521369434464724</v>
      </c>
      <c r="H14" s="245">
        <v>30.119424456317297</v>
      </c>
      <c r="I14" s="246">
        <v>37.153268296082402</v>
      </c>
      <c r="J14" s="244">
        <v>133.67386651532024</v>
      </c>
      <c r="K14" s="244">
        <v>94.661575895202176</v>
      </c>
      <c r="L14" s="245">
        <v>75.245176262340195</v>
      </c>
      <c r="M14" s="246">
        <v>50.24871304268158</v>
      </c>
      <c r="N14" s="244">
        <v>49.834910996535584</v>
      </c>
      <c r="O14" s="245">
        <v>58.688594140778946</v>
      </c>
    </row>
    <row r="15" spans="2:16" ht="12.75" customHeight="1">
      <c r="B15" s="255">
        <v>2025</v>
      </c>
      <c r="C15" s="243">
        <v>46.948264956281065</v>
      </c>
      <c r="D15" s="244">
        <v>32.106976841309219</v>
      </c>
      <c r="E15" s="244">
        <v>38.055954603766132</v>
      </c>
      <c r="F15" s="244">
        <v>34.708340535006059</v>
      </c>
      <c r="G15" s="244">
        <v>25.155415826450827</v>
      </c>
      <c r="H15" s="245">
        <v>25.240513465536498</v>
      </c>
      <c r="I15" s="246">
        <v>28.269030167529152</v>
      </c>
      <c r="J15" s="244">
        <v>110.49304194771796</v>
      </c>
      <c r="K15" s="244">
        <v>80.556225167753638</v>
      </c>
      <c r="L15" s="245">
        <v>69.150447670388559</v>
      </c>
      <c r="M15" s="246">
        <v>37.201776102736432</v>
      </c>
      <c r="N15" s="244">
        <v>37.532730506134946</v>
      </c>
      <c r="O15" s="245">
        <v>43.155101908397292</v>
      </c>
    </row>
    <row r="16" spans="2:16" ht="12.75" customHeight="1">
      <c r="B16" s="255">
        <v>2026</v>
      </c>
      <c r="C16" s="243">
        <v>50.152451009397907</v>
      </c>
      <c r="D16" s="244">
        <v>52.212935444867256</v>
      </c>
      <c r="E16" s="244">
        <v>51.209430148830812</v>
      </c>
      <c r="F16" s="244">
        <v>39.447404748234419</v>
      </c>
      <c r="G16" s="244">
        <v>28.840805533324058</v>
      </c>
      <c r="H16" s="245">
        <v>26.848530161590666</v>
      </c>
      <c r="I16" s="246">
        <v>32.969303810942087</v>
      </c>
      <c r="J16" s="244">
        <v>78.664204808564122</v>
      </c>
      <c r="K16" s="244">
        <v>86.015945350879861</v>
      </c>
      <c r="L16" s="245">
        <v>68.788847193646973</v>
      </c>
      <c r="M16" s="246">
        <v>43.336708904343546</v>
      </c>
      <c r="N16" s="244">
        <v>47.284579568182842</v>
      </c>
      <c r="O16" s="245">
        <v>45.579899326042145</v>
      </c>
    </row>
    <row r="17" spans="2:15" ht="12.75" customHeight="1">
      <c r="B17" s="255">
        <v>2027</v>
      </c>
      <c r="C17" s="243">
        <v>46.047198460027509</v>
      </c>
      <c r="D17" s="244">
        <v>46.224078930771398</v>
      </c>
      <c r="E17" s="244">
        <v>49.993280468232754</v>
      </c>
      <c r="F17" s="244">
        <v>36.080732573507134</v>
      </c>
      <c r="G17" s="244">
        <v>30.428411416063291</v>
      </c>
      <c r="H17" s="245">
        <v>26.070240310019141</v>
      </c>
      <c r="I17" s="246">
        <v>34.925233447869616</v>
      </c>
      <c r="J17" s="244">
        <v>63.132892247463268</v>
      </c>
      <c r="K17" s="244">
        <v>74.405582827172211</v>
      </c>
      <c r="L17" s="245">
        <v>55.807441519490133</v>
      </c>
      <c r="M17" s="246">
        <v>43.971198059192268</v>
      </c>
      <c r="N17" s="244">
        <v>46.82090528756877</v>
      </c>
      <c r="O17" s="245">
        <v>44.56546326702761</v>
      </c>
    </row>
    <row r="18" spans="2:15" ht="12.75" customHeight="1">
      <c r="B18" s="255">
        <v>2028</v>
      </c>
      <c r="C18" s="243">
        <v>44.735229396536432</v>
      </c>
      <c r="D18" s="244">
        <v>43.451391120565837</v>
      </c>
      <c r="E18" s="244">
        <v>42.932267388304929</v>
      </c>
      <c r="F18" s="244">
        <v>35.820577995058109</v>
      </c>
      <c r="G18" s="244">
        <v>29.505676911602212</v>
      </c>
      <c r="H18" s="245">
        <v>24.894390767467637</v>
      </c>
      <c r="I18" s="246">
        <v>33.73725399195672</v>
      </c>
      <c r="J18" s="244">
        <v>64.796185541589978</v>
      </c>
      <c r="K18" s="244">
        <v>70.96588644057752</v>
      </c>
      <c r="L18" s="245">
        <v>55.088456672398998</v>
      </c>
      <c r="M18" s="246">
        <v>43.589648711725026</v>
      </c>
      <c r="N18" s="244">
        <v>45.469442886937408</v>
      </c>
      <c r="O18" s="245">
        <v>45.96686429349085</v>
      </c>
    </row>
    <row r="19" spans="2:15" ht="12.75" customHeight="1">
      <c r="B19" s="255">
        <v>2029</v>
      </c>
      <c r="C19" s="243">
        <v>45.050089763680006</v>
      </c>
      <c r="D19" s="244">
        <v>44.380969007130993</v>
      </c>
      <c r="E19" s="244">
        <v>51.639627575158542</v>
      </c>
      <c r="F19" s="244">
        <v>35.282510065647863</v>
      </c>
      <c r="G19" s="244">
        <v>31.322655234777471</v>
      </c>
      <c r="H19" s="245">
        <v>24.593591815407478</v>
      </c>
      <c r="I19" s="246">
        <v>32.200838679025367</v>
      </c>
      <c r="J19" s="244">
        <v>63.99152575421197</v>
      </c>
      <c r="K19" s="244">
        <v>69.265347297214859</v>
      </c>
      <c r="L19" s="245">
        <v>54.650937840244424</v>
      </c>
      <c r="M19" s="246">
        <v>41.981659572868338</v>
      </c>
      <c r="N19" s="244">
        <v>45.757294087563949</v>
      </c>
      <c r="O19" s="245">
        <v>45.647022822696755</v>
      </c>
    </row>
    <row r="20" spans="2:15" ht="12.75" customHeight="1">
      <c r="B20" s="255">
        <v>2030</v>
      </c>
      <c r="C20" s="243">
        <v>41.254264630591216</v>
      </c>
      <c r="D20" s="244">
        <v>40.650607455492583</v>
      </c>
      <c r="E20" s="244">
        <v>43.129518076531326</v>
      </c>
      <c r="F20" s="244">
        <v>31.728560804653991</v>
      </c>
      <c r="G20" s="244">
        <v>27.85184518590404</v>
      </c>
      <c r="H20" s="245">
        <v>21.85946010732162</v>
      </c>
      <c r="I20" s="246">
        <v>28.3253874421248</v>
      </c>
      <c r="J20" s="244">
        <v>59.132965888010077</v>
      </c>
      <c r="K20" s="244">
        <v>64.372476337734724</v>
      </c>
      <c r="L20" s="245">
        <v>54.363219037039414</v>
      </c>
      <c r="M20" s="246">
        <v>38.523615252513402</v>
      </c>
      <c r="N20" s="244">
        <v>43.250072694100027</v>
      </c>
      <c r="O20" s="245">
        <v>41.682777162269559</v>
      </c>
    </row>
    <row r="21" spans="2:15" ht="12.75" customHeight="1">
      <c r="B21" s="255">
        <v>2031</v>
      </c>
      <c r="C21" s="243">
        <v>34.767732822804419</v>
      </c>
      <c r="D21" s="244">
        <v>28.172259528040485</v>
      </c>
      <c r="E21" s="244">
        <v>32.709694860097287</v>
      </c>
      <c r="F21" s="244">
        <v>29.48131785199066</v>
      </c>
      <c r="G21" s="244">
        <v>24.043781332102501</v>
      </c>
      <c r="H21" s="245">
        <v>19.745684886009943</v>
      </c>
      <c r="I21" s="246">
        <v>26.560860947537133</v>
      </c>
      <c r="J21" s="244">
        <v>58.088257677716513</v>
      </c>
      <c r="K21" s="244">
        <v>61.873240077709475</v>
      </c>
      <c r="L21" s="245">
        <v>39.353826660006412</v>
      </c>
      <c r="M21" s="246">
        <v>29.880927473767709</v>
      </c>
      <c r="N21" s="244">
        <v>33.721011778788849</v>
      </c>
      <c r="O21" s="245">
        <v>32.886267430176659</v>
      </c>
    </row>
    <row r="22" spans="2:15" ht="12.75" customHeight="1">
      <c r="B22" s="255">
        <v>2032</v>
      </c>
      <c r="C22" s="243">
        <v>33.836612360707889</v>
      </c>
      <c r="D22" s="244">
        <v>27.653781018697767</v>
      </c>
      <c r="E22" s="244">
        <v>32.742538521381029</v>
      </c>
      <c r="F22" s="244">
        <v>27.095416811633132</v>
      </c>
      <c r="G22" s="244">
        <v>20.668296531614121</v>
      </c>
      <c r="H22" s="245">
        <v>16.910935268631626</v>
      </c>
      <c r="I22" s="246">
        <v>24.730719582512354</v>
      </c>
      <c r="J22" s="244">
        <v>59.515669122140814</v>
      </c>
      <c r="K22" s="244">
        <v>64.234379249064105</v>
      </c>
      <c r="L22" s="245">
        <v>36.963286424590478</v>
      </c>
      <c r="M22" s="246">
        <v>29.576782130947919</v>
      </c>
      <c r="N22" s="244">
        <v>33.776646743425481</v>
      </c>
      <c r="O22" s="245">
        <v>31.480714735488096</v>
      </c>
    </row>
    <row r="23" spans="2:15" ht="12.75" customHeight="1">
      <c r="B23" s="255">
        <v>2033</v>
      </c>
      <c r="C23" s="243">
        <v>33.620614758863297</v>
      </c>
      <c r="D23" s="244">
        <v>25.99007987133157</v>
      </c>
      <c r="E23" s="244">
        <v>33.164223255112411</v>
      </c>
      <c r="F23" s="244">
        <v>24.903641601669531</v>
      </c>
      <c r="G23" s="244">
        <v>20.718712980082259</v>
      </c>
      <c r="H23" s="245">
        <v>17.279438446503413</v>
      </c>
      <c r="I23" s="246">
        <v>24.589844670922393</v>
      </c>
      <c r="J23" s="244">
        <v>58.06014656870876</v>
      </c>
      <c r="K23" s="244">
        <v>66.120952293802333</v>
      </c>
      <c r="L23" s="245">
        <v>36.677204403513834</v>
      </c>
      <c r="M23" s="246">
        <v>30.083590158755662</v>
      </c>
      <c r="N23" s="244">
        <v>35.705826801913894</v>
      </c>
      <c r="O23" s="245">
        <v>29.567908160808265</v>
      </c>
    </row>
    <row r="24" spans="2:15" ht="12.75" customHeight="1">
      <c r="B24" s="255">
        <v>2034</v>
      </c>
      <c r="C24" s="243">
        <v>31.833496823652695</v>
      </c>
      <c r="D24" s="244">
        <v>24.159405270125916</v>
      </c>
      <c r="E24" s="244">
        <v>29.965011950493125</v>
      </c>
      <c r="F24" s="244">
        <v>23.745094034838221</v>
      </c>
      <c r="G24" s="244">
        <v>20.601224230637982</v>
      </c>
      <c r="H24" s="245">
        <v>16.706921007346804</v>
      </c>
      <c r="I24" s="246">
        <v>23.344336430705876</v>
      </c>
      <c r="J24" s="244">
        <v>56.625756221016651</v>
      </c>
      <c r="K24" s="244">
        <v>63.748829214550476</v>
      </c>
      <c r="L24" s="245">
        <v>35.576202226445496</v>
      </c>
      <c r="M24" s="246">
        <v>27.385986139574037</v>
      </c>
      <c r="N24" s="244">
        <v>32.277570443846287</v>
      </c>
      <c r="O24" s="245">
        <v>27.183685727726708</v>
      </c>
    </row>
    <row r="25" spans="2:15" ht="12.75" customHeight="1">
      <c r="B25" s="255">
        <v>2035</v>
      </c>
      <c r="C25" s="243">
        <v>33.124953904421908</v>
      </c>
      <c r="D25" s="244">
        <v>25.069925827665994</v>
      </c>
      <c r="E25" s="244">
        <v>30.983488806081226</v>
      </c>
      <c r="F25" s="244">
        <v>25.654943443487287</v>
      </c>
      <c r="G25" s="244">
        <v>21.162716438389072</v>
      </c>
      <c r="H25" s="245">
        <v>17.394484631424589</v>
      </c>
      <c r="I25" s="246">
        <v>24.54531256112622</v>
      </c>
      <c r="J25" s="244">
        <v>60.104071994928184</v>
      </c>
      <c r="K25" s="244">
        <v>64.70396469159553</v>
      </c>
      <c r="L25" s="245">
        <v>37.073230768238503</v>
      </c>
      <c r="M25" s="246">
        <v>28.715271441017389</v>
      </c>
      <c r="N25" s="244">
        <v>33.104412343503284</v>
      </c>
      <c r="O25" s="245">
        <v>28.244445234587996</v>
      </c>
    </row>
    <row r="26" spans="2:15" ht="12.75" customHeight="1">
      <c r="B26" s="255">
        <v>2036</v>
      </c>
      <c r="C26" s="243">
        <v>35.345191854541689</v>
      </c>
      <c r="D26" s="244">
        <v>26.127010454738574</v>
      </c>
      <c r="E26" s="244">
        <v>30.421431985614799</v>
      </c>
      <c r="F26" s="244">
        <v>25.826751302033262</v>
      </c>
      <c r="G26" s="244">
        <v>22.771243881698492</v>
      </c>
      <c r="H26" s="245">
        <v>18.707618347830188</v>
      </c>
      <c r="I26" s="246">
        <v>26.564171479133474</v>
      </c>
      <c r="J26" s="244">
        <v>63.861163714829715</v>
      </c>
      <c r="K26" s="244">
        <v>72.080432071407401</v>
      </c>
      <c r="L26" s="245">
        <v>42.91825908864579</v>
      </c>
      <c r="M26" s="246">
        <v>30.646597372852067</v>
      </c>
      <c r="N26" s="244">
        <v>34.202856502538339</v>
      </c>
      <c r="O26" s="245">
        <v>29.215677143366989</v>
      </c>
    </row>
    <row r="27" spans="2:15" ht="12.75" customHeight="1">
      <c r="B27" s="255">
        <v>2037</v>
      </c>
      <c r="C27" s="243">
        <v>42.840446127539359</v>
      </c>
      <c r="D27" s="244">
        <v>36.444372887826091</v>
      </c>
      <c r="E27" s="244">
        <v>38.701763212859539</v>
      </c>
      <c r="F27" s="244">
        <v>26.557176432006301</v>
      </c>
      <c r="G27" s="244">
        <v>25.370818005351765</v>
      </c>
      <c r="H27" s="245">
        <v>19.449065614872442</v>
      </c>
      <c r="I27" s="246">
        <v>27.434600364650912</v>
      </c>
      <c r="J27" s="244">
        <v>68.742212220796901</v>
      </c>
      <c r="K27" s="244">
        <v>82.392476075204314</v>
      </c>
      <c r="L27" s="245">
        <v>63.68545188708562</v>
      </c>
      <c r="M27" s="246">
        <v>36.134284485792641</v>
      </c>
      <c r="N27" s="244">
        <v>44.681028119352128</v>
      </c>
      <c r="O27" s="245">
        <v>43.762880518933535</v>
      </c>
    </row>
    <row r="28" spans="2:15" ht="12.75" customHeight="1">
      <c r="B28" s="255">
        <v>2038</v>
      </c>
      <c r="C28" s="243">
        <v>43.626009865225726</v>
      </c>
      <c r="D28" s="244">
        <v>36.203572791574466</v>
      </c>
      <c r="E28" s="244">
        <v>39.079033419506715</v>
      </c>
      <c r="F28" s="244">
        <v>26.872409536134331</v>
      </c>
      <c r="G28" s="244">
        <v>24.820998307991982</v>
      </c>
      <c r="H28" s="245">
        <v>18.417439272552528</v>
      </c>
      <c r="I28" s="246">
        <v>26.39979770019961</v>
      </c>
      <c r="J28" s="244">
        <v>68.008383612439275</v>
      </c>
      <c r="K28" s="244">
        <v>80.29656725504465</v>
      </c>
      <c r="L28" s="245">
        <v>62.013771389687228</v>
      </c>
      <c r="M28" s="246">
        <v>36.177531751684683</v>
      </c>
      <c r="N28" s="244">
        <v>46.528947554936011</v>
      </c>
      <c r="O28" s="245">
        <v>57.778135021756732</v>
      </c>
    </row>
    <row r="29" spans="2:15" ht="12.75" customHeight="1">
      <c r="B29" s="255">
        <v>2039</v>
      </c>
      <c r="C29" s="243">
        <v>43.407482752715616</v>
      </c>
      <c r="D29" s="244">
        <v>37.14147110034061</v>
      </c>
      <c r="E29" s="244">
        <v>38.143257188162814</v>
      </c>
      <c r="F29" s="244">
        <v>27.066372774357117</v>
      </c>
      <c r="G29" s="244">
        <v>24.617530000633248</v>
      </c>
      <c r="H29" s="245">
        <v>19.105636828504903</v>
      </c>
      <c r="I29" s="246">
        <v>27.075187658933302</v>
      </c>
      <c r="J29" s="244">
        <v>71.04767011942802</v>
      </c>
      <c r="K29" s="244">
        <v>82.993550373826139</v>
      </c>
      <c r="L29" s="245">
        <v>62.521957878055673</v>
      </c>
      <c r="M29" s="246">
        <v>36.839895272554571</v>
      </c>
      <c r="N29" s="244">
        <v>46.966078181187314</v>
      </c>
      <c r="O29" s="245">
        <v>46.46015810868753</v>
      </c>
    </row>
    <row r="30" spans="2:15" ht="12.75" customHeight="1">
      <c r="B30" s="256">
        <v>2040</v>
      </c>
      <c r="C30" s="248">
        <v>44.998109174967354</v>
      </c>
      <c r="D30" s="249">
        <v>42.683529416791373</v>
      </c>
      <c r="E30" s="249">
        <v>38.906849686707233</v>
      </c>
      <c r="F30" s="249">
        <v>29.375812346897217</v>
      </c>
      <c r="G30" s="249">
        <v>25.103586234174255</v>
      </c>
      <c r="H30" s="250">
        <v>20.008127591898365</v>
      </c>
      <c r="I30" s="251">
        <v>26.851846640528489</v>
      </c>
      <c r="J30" s="249">
        <v>75.305613037600153</v>
      </c>
      <c r="K30" s="249">
        <v>79.756124898252153</v>
      </c>
      <c r="L30" s="250">
        <v>65.415286648963061</v>
      </c>
      <c r="M30" s="251">
        <v>38.137002115737928</v>
      </c>
      <c r="N30" s="249">
        <v>48.125466996291443</v>
      </c>
      <c r="O30" s="250">
        <v>49.447459029114697</v>
      </c>
    </row>
    <row r="31" spans="2:15" ht="12.75" hidden="1" customHeight="1">
      <c r="B31" s="15"/>
      <c r="C31" s="243"/>
      <c r="D31" s="244"/>
      <c r="E31" s="244"/>
      <c r="F31" s="244"/>
      <c r="G31" s="244"/>
      <c r="H31" s="245"/>
      <c r="I31" s="246"/>
      <c r="J31" s="244"/>
      <c r="K31" s="244"/>
      <c r="L31" s="245"/>
      <c r="M31" s="246"/>
      <c r="N31" s="244"/>
      <c r="O31" s="245"/>
    </row>
    <row r="32" spans="2:15" ht="12.75" hidden="1" customHeight="1">
      <c r="B32" s="247"/>
      <c r="C32" s="248"/>
      <c r="D32" s="249"/>
      <c r="E32" s="249"/>
      <c r="F32" s="249"/>
      <c r="G32" s="249"/>
      <c r="H32" s="250"/>
      <c r="I32" s="251"/>
      <c r="J32" s="249"/>
      <c r="K32" s="249"/>
      <c r="L32" s="250"/>
      <c r="M32" s="251"/>
      <c r="N32" s="249"/>
      <c r="O32" s="250"/>
    </row>
    <row r="33" spans="2:16" ht="12.75" customHeight="1">
      <c r="D33" s="10"/>
      <c r="E33" s="10"/>
      <c r="F33" s="10"/>
      <c r="M33" s="252"/>
    </row>
    <row r="34" spans="2:16">
      <c r="B34" s="253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</row>
    <row r="38" spans="2:16" hidden="1">
      <c r="C38" s="254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4"/>
    </row>
    <row r="40" spans="2:16">
      <c r="C40" s="254"/>
    </row>
    <row r="41" spans="2:16">
      <c r="C41" s="254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17" zoomScale="80" zoomScaleNormal="100" zoomScaleSheetLayoutView="80" workbookViewId="0">
      <selection activeCell="F11" sqref="F11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2022.Q3 - 100.0 MW and 100.0% CF</v>
      </c>
      <c r="C5" s="1"/>
      <c r="D5" s="1"/>
      <c r="H5" s="96">
        <v>44834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13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4.18</v>
      </c>
      <c r="D19" s="27">
        <f t="shared" si="1"/>
        <v>4.1500000000000004</v>
      </c>
      <c r="E19" s="27">
        <f t="shared" si="2"/>
        <v>4.03</v>
      </c>
      <c r="F19" s="27">
        <f t="shared" si="3"/>
        <v>6.38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6.43</v>
      </c>
      <c r="D20" s="27">
        <f t="shared" si="1"/>
        <v>6.32</v>
      </c>
      <c r="E20" s="27">
        <f t="shared" si="2"/>
        <v>6.27</v>
      </c>
      <c r="F20" s="27">
        <f t="shared" si="3"/>
        <v>6.2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5.49</v>
      </c>
      <c r="D21" s="27">
        <f t="shared" si="1"/>
        <v>5.45</v>
      </c>
      <c r="E21" s="27">
        <f t="shared" si="2"/>
        <v>4.59</v>
      </c>
      <c r="F21" s="27">
        <f t="shared" si="3"/>
        <v>5.16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4.6399999999999997</v>
      </c>
      <c r="D22" s="27">
        <f t="shared" si="1"/>
        <v>4.6100000000000003</v>
      </c>
      <c r="E22" s="27">
        <f t="shared" si="2"/>
        <v>3.96</v>
      </c>
      <c r="F22" s="27">
        <f t="shared" si="3"/>
        <v>4.45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4.4000000000000004</v>
      </c>
      <c r="D23" s="27">
        <f t="shared" si="1"/>
        <v>4.37</v>
      </c>
      <c r="E23" s="27">
        <f t="shared" si="2"/>
        <v>3.95</v>
      </c>
      <c r="F23" s="27">
        <f t="shared" si="3"/>
        <v>4.34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4.55</v>
      </c>
      <c r="D24" s="27">
        <f t="shared" si="1"/>
        <v>4.51</v>
      </c>
      <c r="E24" s="27">
        <f t="shared" si="2"/>
        <v>4.58</v>
      </c>
      <c r="F24" s="27">
        <f t="shared" si="3"/>
        <v>4.49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4.6399999999999997</v>
      </c>
      <c r="D25" s="27">
        <f t="shared" si="1"/>
        <v>4.5999999999999996</v>
      </c>
      <c r="E25" s="27">
        <f t="shared" si="2"/>
        <v>5.08</v>
      </c>
      <c r="F25" s="27">
        <f t="shared" si="3"/>
        <v>4.58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4.6399999999999997</v>
      </c>
      <c r="D26" s="27">
        <f t="shared" si="1"/>
        <v>4.5999999999999996</v>
      </c>
      <c r="E26" s="27">
        <f t="shared" si="2"/>
        <v>5.09</v>
      </c>
      <c r="F26" s="27">
        <f t="shared" si="3"/>
        <v>4.58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4.71</v>
      </c>
      <c r="D27" s="27">
        <f t="shared" si="1"/>
        <v>4.67</v>
      </c>
      <c r="E27" s="27">
        <f t="shared" si="2"/>
        <v>5.18</v>
      </c>
      <c r="F27" s="27">
        <f t="shared" si="3"/>
        <v>4.6500000000000004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4.8499999999999996</v>
      </c>
      <c r="D28" s="27">
        <f t="shared" si="1"/>
        <v>4.8099999999999996</v>
      </c>
      <c r="E28" s="27">
        <f t="shared" si="2"/>
        <v>5.34</v>
      </c>
      <c r="F28" s="27">
        <f t="shared" si="3"/>
        <v>4.79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4.9800000000000004</v>
      </c>
      <c r="D29" s="27">
        <f t="shared" si="1"/>
        <v>4.9400000000000004</v>
      </c>
      <c r="E29" s="27">
        <f t="shared" si="2"/>
        <v>5.47</v>
      </c>
      <c r="F29" s="27">
        <f t="shared" si="3"/>
        <v>4.91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5.35</v>
      </c>
      <c r="D30" s="27">
        <f t="shared" si="1"/>
        <v>5.3</v>
      </c>
      <c r="E30" s="27">
        <f t="shared" si="2"/>
        <v>5.83</v>
      </c>
      <c r="F30" s="27">
        <f t="shared" si="3"/>
        <v>5.28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5.63</v>
      </c>
      <c r="D31" s="27">
        <f t="shared" si="1"/>
        <v>5.58</v>
      </c>
      <c r="E31" s="27">
        <f t="shared" si="2"/>
        <v>6.11</v>
      </c>
      <c r="F31" s="27">
        <f t="shared" si="3"/>
        <v>5.56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5.71</v>
      </c>
      <c r="D32" s="27">
        <f t="shared" si="1"/>
        <v>5.66</v>
      </c>
      <c r="E32" s="27">
        <f t="shared" si="2"/>
        <v>6.2</v>
      </c>
      <c r="F32" s="27">
        <f t="shared" si="3"/>
        <v>5.64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5.8</v>
      </c>
      <c r="D33" s="27">
        <f t="shared" si="1"/>
        <v>5.75</v>
      </c>
      <c r="E33" s="27">
        <f t="shared" si="2"/>
        <v>6.29</v>
      </c>
      <c r="F33" s="27">
        <f t="shared" si="3"/>
        <v>5.73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5.74</v>
      </c>
      <c r="D34" s="27">
        <f t="shared" si="1"/>
        <v>5.68</v>
      </c>
      <c r="E34" s="27">
        <f t="shared" si="2"/>
        <v>6.25</v>
      </c>
      <c r="F34" s="27">
        <f t="shared" si="3"/>
        <v>5.67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5.99</v>
      </c>
      <c r="D35" s="27">
        <f t="shared" si="1"/>
        <v>5.93</v>
      </c>
      <c r="E35" s="27">
        <f t="shared" si="2"/>
        <v>6.49</v>
      </c>
      <c r="F35" s="27">
        <f t="shared" si="3"/>
        <v>5.91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6.26</v>
      </c>
      <c r="D36" s="27">
        <f t="shared" si="1"/>
        <v>6.19</v>
      </c>
      <c r="E36" s="27">
        <f t="shared" si="2"/>
        <v>6.78</v>
      </c>
      <c r="F36" s="27">
        <f t="shared" si="3"/>
        <v>6.18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6.55</v>
      </c>
      <c r="D37" s="27">
        <f t="shared" si="1"/>
        <v>6.48</v>
      </c>
      <c r="E37" s="27">
        <f t="shared" si="2"/>
        <v>7.08</v>
      </c>
      <c r="F37" s="27">
        <f t="shared" si="3"/>
        <v>6.47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6.68</v>
      </c>
      <c r="D38" s="27">
        <f t="shared" si="1"/>
        <v>6.61</v>
      </c>
      <c r="E38" s="27">
        <f t="shared" si="2"/>
        <v>7.23</v>
      </c>
      <c r="F38" s="27">
        <f t="shared" si="3"/>
        <v>6.6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Sep 30, 2022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2.6886208634222917</v>
      </c>
      <c r="J77" s="35">
        <v>2.6690662011355299</v>
      </c>
      <c r="K77" s="35">
        <v>2.760978811967667</v>
      </c>
      <c r="L77" s="35">
        <v>2.4890915372188398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7.6820984742468417</v>
      </c>
      <c r="J78" s="35">
        <v>7.6333779819887271</v>
      </c>
      <c r="K78" s="35">
        <v>4.5404225128537163</v>
      </c>
      <c r="L78" s="35">
        <v>37.984990630048472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2.4045441027445462</v>
      </c>
      <c r="J79" s="35">
        <v>2.3871046659912234</v>
      </c>
      <c r="K79" s="35">
        <v>2.5608632108946967</v>
      </c>
      <c r="L79" s="35">
        <v>2.374204502579603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2.5896543537414964</v>
      </c>
      <c r="J80" s="35">
        <v>2.5712597125579859</v>
      </c>
      <c r="K80" s="35">
        <v>2.6926741344471128</v>
      </c>
      <c r="L80" s="35">
        <v>2.4502571890145401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2.7467972108843535</v>
      </c>
      <c r="J81" s="35">
        <v>2.7275414331567145</v>
      </c>
      <c r="K81" s="35">
        <v>2.8248636730248315</v>
      </c>
      <c r="L81" s="35">
        <v>2.6868836416697084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3.218225782312925</v>
      </c>
      <c r="J82" s="35">
        <v>3.1964446670300717</v>
      </c>
      <c r="K82" s="35">
        <v>3.2222229260167161</v>
      </c>
      <c r="L82" s="35">
        <v>3.024940818524501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3.683493502304148</v>
      </c>
      <c r="J83" s="35">
        <v>3.6590471730744554</v>
      </c>
      <c r="K83" s="35">
        <v>3.7243527515257937</v>
      </c>
      <c r="L83" s="35">
        <v>3.5482169576319782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3.8962870068027202</v>
      </c>
      <c r="J84" s="35">
        <v>3.8706130354197481</v>
      </c>
      <c r="K84" s="35">
        <v>3.9382424014831718</v>
      </c>
      <c r="L84" s="35">
        <v>3.803245880452343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5.2314910884353738</v>
      </c>
      <c r="J85" s="35">
        <v>5.1985278003944337</v>
      </c>
      <c r="K85" s="35">
        <v>5.3908184336048866</v>
      </c>
      <c r="L85" s="35">
        <v>4.7355291330102327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5.5514987689269262</v>
      </c>
      <c r="J86" s="35">
        <v>5.5164724078736835</v>
      </c>
      <c r="K86" s="35">
        <v>5.7676211178699015</v>
      </c>
      <c r="L86" s="35">
        <v>5.1897824378550199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5.0569015974665721</v>
      </c>
      <c r="J87" s="35">
        <v>5.02436529365841</v>
      </c>
      <c r="K87" s="35">
        <v>5.2208035836387641</v>
      </c>
      <c r="L87" s="35">
        <v>4.7757485729671521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5.3747377419354869</v>
      </c>
      <c r="J88" s="35">
        <v>5.3396435843049614</v>
      </c>
      <c r="K88" s="35">
        <v>5.7566802572121851</v>
      </c>
      <c r="L88" s="35">
        <v>3.5319315858043665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4.967561968400263</v>
      </c>
      <c r="J89" s="35">
        <v>4.9348646841422985</v>
      </c>
      <c r="K89" s="35">
        <v>5.0826063154683325</v>
      </c>
      <c r="L89" s="35">
        <v>4.2136372505081026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4.631321020408163</v>
      </c>
      <c r="J90" s="35">
        <v>4.6006923862052718</v>
      </c>
      <c r="K90" s="35">
        <v>4.5178186860576712</v>
      </c>
      <c r="L90" s="35">
        <v>4.5469929956150485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4.4655046938775511</v>
      </c>
      <c r="J91" s="35">
        <v>4.3035961460975081</v>
      </c>
      <c r="K91" s="35">
        <v>4.3608435841400777</v>
      </c>
      <c r="L91" s="35">
        <v>4.4303955495335874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6.3354026530612231</v>
      </c>
      <c r="J92" s="35">
        <v>6.2960354258255791</v>
      </c>
      <c r="K92" s="35">
        <v>6.437747441188141</v>
      </c>
      <c r="L92" s="35">
        <v>6.2197779213785696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7.7153546338535408</v>
      </c>
      <c r="J93" s="35">
        <v>7.6683211653455707</v>
      </c>
      <c r="K93" s="35">
        <v>7.8100543040111301</v>
      </c>
      <c r="L93" s="35">
        <v>7.6260740632654107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6.9200965306122466</v>
      </c>
      <c r="J94" s="35">
        <v>6.8779637226648598</v>
      </c>
      <c r="K94" s="35">
        <v>7.2110992536482481</v>
      </c>
      <c r="L94" s="35">
        <v>7.2444480883144866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6.6692218950437319</v>
      </c>
      <c r="J95" s="35">
        <v>6.6271246343714321</v>
      </c>
      <c r="K95" s="35">
        <v>6.0015550926963819</v>
      </c>
      <c r="L95" s="35">
        <v>6.7193045599041117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8.3024519727891146</v>
      </c>
      <c r="J96" s="35">
        <v>8.2508389874000159</v>
      </c>
      <c r="K96" s="35">
        <v>8.4395296229212295</v>
      </c>
      <c r="L96" s="35">
        <v>8.1874308301631196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7.2231577551020409</v>
      </c>
      <c r="J97" s="35">
        <v>7.1780453492221117</v>
      </c>
      <c r="K97" s="35">
        <v>7.3577262739997416</v>
      </c>
      <c r="L97" s="35">
        <v>6.9349771674744209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5.6058108163265317</v>
      </c>
      <c r="J98" s="35">
        <v>4.8968999999999996</v>
      </c>
      <c r="K98" s="35">
        <v>5.2759505324348819</v>
      </c>
      <c r="L98" s="35">
        <v>5.2471069466882083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6.3874434693877555</v>
      </c>
      <c r="J99" s="35">
        <v>6.3459000000000003</v>
      </c>
      <c r="K99" s="35">
        <v>5.9276165893354813</v>
      </c>
      <c r="L99" s="35">
        <v>6.0382014539579973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7.9399944897959189</v>
      </c>
      <c r="J100" s="35">
        <v>7.8884999999999996</v>
      </c>
      <c r="K100" s="35">
        <v>6.7750154785828638</v>
      </c>
      <c r="L100" s="35">
        <v>6.9964001615508904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8.6257087755102049</v>
      </c>
      <c r="J101" s="35">
        <v>8.5699000000000005</v>
      </c>
      <c r="K101" s="35">
        <v>6.5344919319556656</v>
      </c>
      <c r="L101" s="35">
        <v>7.8516101777059788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8.2226475510204082</v>
      </c>
      <c r="J102" s="35">
        <v>8.1693999999999996</v>
      </c>
      <c r="K102" s="35">
        <v>6.2096686363706475</v>
      </c>
      <c r="L102" s="35">
        <v>7.5184114701130866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5.8614230612244898</v>
      </c>
      <c r="J103" s="35">
        <v>5.8232999999999997</v>
      </c>
      <c r="K103" s="35">
        <v>5.1097329684578519</v>
      </c>
      <c r="L103" s="35">
        <v>5.7297402261712449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4.3884638775510201</v>
      </c>
      <c r="J104" s="35">
        <v>4.3597000000000001</v>
      </c>
      <c r="K104" s="35">
        <v>3.8043296077535116</v>
      </c>
      <c r="L104" s="35">
        <v>4.2747725363489515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4.1583618367346942</v>
      </c>
      <c r="J105" s="35">
        <v>4.1311</v>
      </c>
      <c r="K105" s="35">
        <v>3.6283254021591422</v>
      </c>
      <c r="L105" s="35">
        <v>4.0597079159935392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4.2644842857142864</v>
      </c>
      <c r="J106" s="35">
        <v>4.2365000000000004</v>
      </c>
      <c r="K106" s="35">
        <v>3.7759017440079079</v>
      </c>
      <c r="L106" s="35">
        <v>4.1571432956381269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4.6634638775510204</v>
      </c>
      <c r="J107" s="35">
        <v>4.6329000000000002</v>
      </c>
      <c r="K107" s="35">
        <v>3.8007049256730152</v>
      </c>
      <c r="L107" s="35">
        <v>4.4206731825525054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4.8088720408163264</v>
      </c>
      <c r="J108" s="35">
        <v>4.7774000000000001</v>
      </c>
      <c r="K108" s="35">
        <v>3.7790603955351969</v>
      </c>
      <c r="L108" s="35">
        <v>4.5468848142164795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4.6277495918367357</v>
      </c>
      <c r="J109" s="35">
        <v>4.5975000000000001</v>
      </c>
      <c r="K109" s="35">
        <v>4.0692420866651897</v>
      </c>
      <c r="L109" s="35">
        <v>4.3853339256865924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4.5241781632653062</v>
      </c>
      <c r="J110" s="35">
        <v>4.4946000000000002</v>
      </c>
      <c r="K110" s="35">
        <v>4.1412179165493246</v>
      </c>
      <c r="L110" s="35">
        <v>4.3510043618739918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5.3354026530612249</v>
      </c>
      <c r="J111" s="35">
        <v>5.3006000000000002</v>
      </c>
      <c r="K111" s="35">
        <v>4.66410419724716</v>
      </c>
      <c r="L111" s="35">
        <v>4.8634235864297262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6.3935659183673472</v>
      </c>
      <c r="J112" s="35">
        <v>6.3520000000000003</v>
      </c>
      <c r="K112" s="35">
        <v>5.5518924011057829</v>
      </c>
      <c r="L112" s="35">
        <v>5.7034882067851385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6.6809128571428573</v>
      </c>
      <c r="J113" s="35">
        <v>6.6375999999999999</v>
      </c>
      <c r="K113" s="35">
        <v>5.0490972153684117</v>
      </c>
      <c r="L113" s="35">
        <v>6.2714405492730227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6.4821373469387753</v>
      </c>
      <c r="J114" s="35">
        <v>6.44</v>
      </c>
      <c r="K114" s="35">
        <v>4.831253822330603</v>
      </c>
      <c r="L114" s="35">
        <v>6.0503177705977391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4.6061169387755108</v>
      </c>
      <c r="J115" s="35">
        <v>4.5758999999999999</v>
      </c>
      <c r="K115" s="35">
        <v>4.2182683013461535</v>
      </c>
      <c r="L115" s="35">
        <v>4.7149987075928932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4.0828516326530613</v>
      </c>
      <c r="J116" s="35">
        <v>4.056</v>
      </c>
      <c r="K116" s="35">
        <v>3.2506853105440392</v>
      </c>
      <c r="L116" s="35">
        <v>3.7083347334410344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3.9457087755102043</v>
      </c>
      <c r="J117" s="35">
        <v>3.9198</v>
      </c>
      <c r="K117" s="35">
        <v>3.1730135516762683</v>
      </c>
      <c r="L117" s="35">
        <v>3.5417353796445887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3.922647551020408</v>
      </c>
      <c r="J118" s="35">
        <v>3.8967999999999998</v>
      </c>
      <c r="K118" s="35">
        <v>3.3320335326648847</v>
      </c>
      <c r="L118" s="35">
        <v>3.648257996768983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4.0989740816326536</v>
      </c>
      <c r="J119" s="35">
        <v>4.0720999999999998</v>
      </c>
      <c r="K119" s="35">
        <v>3.374804781214737</v>
      </c>
      <c r="L119" s="35">
        <v>3.9269332794830376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4.1558108163265306</v>
      </c>
      <c r="J120" s="35">
        <v>4.1284999999999998</v>
      </c>
      <c r="K120" s="35">
        <v>3.3804489290257957</v>
      </c>
      <c r="L120" s="35">
        <v>4.0783872374798067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3.8611169387755098</v>
      </c>
      <c r="J121" s="35">
        <v>3.8357000000000001</v>
      </c>
      <c r="K121" s="35">
        <v>3.7188906729989633</v>
      </c>
      <c r="L121" s="35">
        <v>3.9319817447495971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3.9338720408163268</v>
      </c>
      <c r="J122" s="35">
        <v>3.9079999999999999</v>
      </c>
      <c r="K122" s="35">
        <v>3.7988925846327679</v>
      </c>
      <c r="L122" s="35">
        <v>3.8915940226171255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4.3537699999999999</v>
      </c>
      <c r="J123" s="35">
        <v>4.3251999999999997</v>
      </c>
      <c r="K123" s="35">
        <v>4.2667872600522205</v>
      </c>
      <c r="L123" s="35">
        <v>4.3575673667205184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5.5559128571428573</v>
      </c>
      <c r="J124" s="35">
        <v>5.5197000000000003</v>
      </c>
      <c r="K124" s="35">
        <v>5.1374358957873572</v>
      </c>
      <c r="L124" s="35">
        <v>5.3016303715670441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5.6521373469387761</v>
      </c>
      <c r="J125" s="35">
        <v>5.6153000000000004</v>
      </c>
      <c r="K125" s="35">
        <v>4.6079734061720501</v>
      </c>
      <c r="L125" s="35">
        <v>5.8917959612277881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5.3409128571428583</v>
      </c>
      <c r="J126" s="35">
        <v>5.306</v>
      </c>
      <c r="K126" s="35">
        <v>4.4760349784419962</v>
      </c>
      <c r="L126" s="35">
        <v>5.7100512116316651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4.3555046938775517</v>
      </c>
      <c r="J127" s="35">
        <v>4.327</v>
      </c>
      <c r="K127" s="35">
        <v>4.1555095201809937</v>
      </c>
      <c r="L127" s="35">
        <v>4.4807499192245563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3.9771373469387754</v>
      </c>
      <c r="J128" s="35">
        <v>3.9510000000000001</v>
      </c>
      <c r="K128" s="35">
        <v>3.2155776755358065</v>
      </c>
      <c r="L128" s="35">
        <v>3.6174623586429733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3.8573414285714285</v>
      </c>
      <c r="J129" s="35">
        <v>3.8319999999999999</v>
      </c>
      <c r="K129" s="35">
        <v>3.1325724558924484</v>
      </c>
      <c r="L129" s="35">
        <v>3.468027786752828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3.8271373469387755</v>
      </c>
      <c r="J130" s="35">
        <v>3.802</v>
      </c>
      <c r="K130" s="35">
        <v>3.282323606989511</v>
      </c>
      <c r="L130" s="35">
        <v>3.5674825525040395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3.9964230612244895</v>
      </c>
      <c r="J131" s="35">
        <v>3.9702000000000002</v>
      </c>
      <c r="K131" s="35">
        <v>3.283928823339445</v>
      </c>
      <c r="L131" s="35">
        <v>3.8390899838449122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4.0378516326530614</v>
      </c>
      <c r="J132" s="35">
        <v>4.0113000000000003</v>
      </c>
      <c r="K132" s="35">
        <v>3.2775079579397093</v>
      </c>
      <c r="L132" s="35">
        <v>3.9753985460420038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3.7350965306122448</v>
      </c>
      <c r="J133" s="35">
        <v>3.7105000000000001</v>
      </c>
      <c r="K133" s="35">
        <v>3.6008295995199511</v>
      </c>
      <c r="L133" s="35">
        <v>3.8209155088852995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3.7965251020408162</v>
      </c>
      <c r="J134" s="35">
        <v>3.7715999999999998</v>
      </c>
      <c r="K134" s="35">
        <v>3.6774657349361521</v>
      </c>
      <c r="L134" s="35">
        <v>3.7694211631663981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4.739484285714286</v>
      </c>
      <c r="J135" s="35">
        <v>4.7031999999999998</v>
      </c>
      <c r="K135" s="35">
        <v>5.0664439081822135</v>
      </c>
      <c r="L135" s="35">
        <v>4.7392313408723759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5.4636679591836739</v>
      </c>
      <c r="J136" s="35">
        <v>5.4292999999999996</v>
      </c>
      <c r="K136" s="35">
        <v>5.582080824719057</v>
      </c>
      <c r="L136" s="35">
        <v>5.2103541195476586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5.6194842857142859</v>
      </c>
      <c r="J137" s="35">
        <v>5.5833000000000004</v>
      </c>
      <c r="K137" s="35">
        <v>5.4211449403450347</v>
      </c>
      <c r="L137" s="35">
        <v>5.8595867528271413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5.3938720408163272</v>
      </c>
      <c r="J138" s="35">
        <v>5.3578999999999999</v>
      </c>
      <c r="K138" s="35">
        <v>5.3002359023742045</v>
      </c>
      <c r="L138" s="35">
        <v>5.7624542810985471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4.227341428571429</v>
      </c>
      <c r="J139" s="35">
        <v>4.2012999999999998</v>
      </c>
      <c r="K139" s="35">
        <v>4.4527852319542438</v>
      </c>
      <c r="L139" s="35">
        <v>4.3538315024232643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4.1514230612244907</v>
      </c>
      <c r="J140" s="35">
        <v>4.1218000000000004</v>
      </c>
      <c r="K140" s="35">
        <v>3.7623350767923371</v>
      </c>
      <c r="L140" s="35">
        <v>3.7899179321486276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4.0250965306122453</v>
      </c>
      <c r="J141" s="35">
        <v>3.9964</v>
      </c>
      <c r="K141" s="35">
        <v>3.6850257861326154</v>
      </c>
      <c r="L141" s="35">
        <v>3.6340213247172866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3.9766271428571431</v>
      </c>
      <c r="J142" s="35">
        <v>3.9483999999999999</v>
      </c>
      <c r="K142" s="35">
        <v>3.7694808786081713</v>
      </c>
      <c r="L142" s="35">
        <v>3.7153016155088858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4.0129536734693882</v>
      </c>
      <c r="J143" s="35">
        <v>3.9863</v>
      </c>
      <c r="K143" s="35">
        <v>3.812718157711231</v>
      </c>
      <c r="L143" s="35">
        <v>3.8554470113085628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4.3076475510204091</v>
      </c>
      <c r="J144" s="35">
        <v>4.2756999999999996</v>
      </c>
      <c r="K144" s="35">
        <v>4.0982395433091572</v>
      </c>
      <c r="L144" s="35">
        <v>4.2422604200323111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4.0805046938775513</v>
      </c>
      <c r="J145" s="35">
        <v>4.0490000000000004</v>
      </c>
      <c r="K145" s="35">
        <v>4.3138045647535117</v>
      </c>
      <c r="L145" s="35">
        <v>4.1626966074313412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4.2529536734693885</v>
      </c>
      <c r="J146" s="35">
        <v>4.2187999999999999</v>
      </c>
      <c r="K146" s="35">
        <v>4.4090301411253989</v>
      </c>
      <c r="L146" s="35">
        <v>4.2210568659127636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5.1253006122448985</v>
      </c>
      <c r="J147" s="35">
        <v>5.0812999999999997</v>
      </c>
      <c r="K147" s="35">
        <v>5.8661005563122073</v>
      </c>
      <c r="L147" s="35">
        <v>5.1209962843295651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5.3714230612244904</v>
      </c>
      <c r="J148" s="35">
        <v>5.3388999999999998</v>
      </c>
      <c r="K148" s="35">
        <v>6.0267775348233359</v>
      </c>
      <c r="L148" s="35">
        <v>5.1190778675282722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5.586933265306123</v>
      </c>
      <c r="J149" s="35">
        <v>5.5514000000000001</v>
      </c>
      <c r="K149" s="35">
        <v>6.2343164745180211</v>
      </c>
      <c r="L149" s="35">
        <v>5.8272765751211644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5.4468312244897961</v>
      </c>
      <c r="J150" s="35">
        <v>5.4097999999999997</v>
      </c>
      <c r="K150" s="35">
        <v>6.1244886074789919</v>
      </c>
      <c r="L150" s="35">
        <v>5.8148573505654291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4.09907612244898</v>
      </c>
      <c r="J151" s="35">
        <v>4.0755999999999997</v>
      </c>
      <c r="K151" s="35">
        <v>4.750060943727493</v>
      </c>
      <c r="L151" s="35">
        <v>4.2270140549273032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4.3256067346938778</v>
      </c>
      <c r="J152" s="35">
        <v>4.2925000000000004</v>
      </c>
      <c r="K152" s="35">
        <v>4.3090406968762887</v>
      </c>
      <c r="L152" s="35">
        <v>3.9622725363489506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4.1928516326530616</v>
      </c>
      <c r="J153" s="35">
        <v>4.1608000000000001</v>
      </c>
      <c r="K153" s="35">
        <v>4.2374791163727821</v>
      </c>
      <c r="L153" s="35">
        <v>3.8000148626817456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4.126014897959184</v>
      </c>
      <c r="J154" s="35">
        <v>4.0949</v>
      </c>
      <c r="K154" s="35">
        <v>4.2565345878816752</v>
      </c>
      <c r="L154" s="35">
        <v>3.8632216478190635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4.0293822448979597</v>
      </c>
      <c r="J155" s="35">
        <v>4.0025000000000004</v>
      </c>
      <c r="K155" s="35">
        <v>4.341507492083017</v>
      </c>
      <c r="L155" s="35">
        <v>3.8717030694668826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4.5773414285714287</v>
      </c>
      <c r="J156" s="35">
        <v>4.54</v>
      </c>
      <c r="K156" s="35">
        <v>4.9190229098511846</v>
      </c>
      <c r="L156" s="35">
        <v>4.5092232633279492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4.4260148979591838</v>
      </c>
      <c r="J157" s="35">
        <v>4.3875999999999999</v>
      </c>
      <c r="K157" s="35">
        <v>5.0267795299870723</v>
      </c>
      <c r="L157" s="35">
        <v>4.5045786752827146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4.7093822448979603</v>
      </c>
      <c r="J158" s="35">
        <v>4.6661000000000001</v>
      </c>
      <c r="K158" s="35">
        <v>5.1406463284872244</v>
      </c>
      <c r="L158" s="35">
        <v>4.6725915993537974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4.9463210204081633</v>
      </c>
      <c r="J159" s="35">
        <v>4.9059999999999997</v>
      </c>
      <c r="K159" s="35">
        <v>5.7201294308133761</v>
      </c>
      <c r="L159" s="35">
        <v>4.9439970920840075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5.197137346938776</v>
      </c>
      <c r="J160" s="35">
        <v>5.1680999999999999</v>
      </c>
      <c r="K160" s="35">
        <v>5.8926125166724059</v>
      </c>
      <c r="L160" s="35">
        <v>4.9466222940226183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5.4456067346938779</v>
      </c>
      <c r="J161" s="35">
        <v>5.4128999999999996</v>
      </c>
      <c r="K161" s="35">
        <v>6.1455117635458691</v>
      </c>
      <c r="L161" s="35">
        <v>5.6874340872374809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4.9297904081632655</v>
      </c>
      <c r="J162" s="35">
        <v>4.9032</v>
      </c>
      <c r="K162" s="35">
        <v>5.6263019461011083</v>
      </c>
      <c r="L162" s="35">
        <v>5.3033468497576752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4.0639740816326535</v>
      </c>
      <c r="J163" s="35">
        <v>4.0412999999999997</v>
      </c>
      <c r="K163" s="35">
        <v>4.690098345881573</v>
      </c>
      <c r="L163" s="35">
        <v>4.1922806138933773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4.3507087755102045</v>
      </c>
      <c r="J164" s="35">
        <v>4.3170999999999999</v>
      </c>
      <c r="K164" s="35">
        <v>4.3227627076095949</v>
      </c>
      <c r="L164" s="35">
        <v>3.9871109854604208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4.2209128571428574</v>
      </c>
      <c r="J165" s="35">
        <v>4.1882999999999999</v>
      </c>
      <c r="K165" s="35">
        <v>4.2674604152957425</v>
      </c>
      <c r="L165" s="35">
        <v>3.8277814216478196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4.0946883673469392</v>
      </c>
      <c r="J166" s="35">
        <v>4.0640999999999998</v>
      </c>
      <c r="K166" s="35">
        <v>4.2876550726013622</v>
      </c>
      <c r="L166" s="35">
        <v>3.8321231017770607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4.126014897959184</v>
      </c>
      <c r="J167" s="35">
        <v>4.0972</v>
      </c>
      <c r="K167" s="35">
        <v>4.4588436291459299</v>
      </c>
      <c r="L167" s="35">
        <v>3.9673210016155096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4.6898924489795917</v>
      </c>
      <c r="J168" s="35">
        <v>4.6502999999999997</v>
      </c>
      <c r="K168" s="35">
        <v>4.99653932520122</v>
      </c>
      <c r="L168" s="35">
        <v>4.6205924071082398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4.5198924489795917</v>
      </c>
      <c r="J169" s="35">
        <v>4.4795999999999996</v>
      </c>
      <c r="K169" s="35">
        <v>5.1097329684578519</v>
      </c>
      <c r="L169" s="35">
        <v>4.5974704361873995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4.8170353061224489</v>
      </c>
      <c r="J170" s="35">
        <v>4.7717000000000001</v>
      </c>
      <c r="K170" s="35">
        <v>5.2500599461456243</v>
      </c>
      <c r="L170" s="35">
        <v>4.7792151857835234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5.081321020408164</v>
      </c>
      <c r="J171" s="35">
        <v>5.0382999999999996</v>
      </c>
      <c r="K171" s="35">
        <v>5.8732981393006209</v>
      </c>
      <c r="L171" s="35">
        <v>5.0775794830371579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5.3157087755102044</v>
      </c>
      <c r="J172" s="35">
        <v>5.2843</v>
      </c>
      <c r="K172" s="35">
        <v>6.0471793168192711</v>
      </c>
      <c r="L172" s="35">
        <v>5.0639486268174485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5.6325455102040829</v>
      </c>
      <c r="J173" s="35">
        <v>5.5960999999999999</v>
      </c>
      <c r="K173" s="35">
        <v>6.3562611359404206</v>
      </c>
      <c r="L173" s="35">
        <v>5.8725108239095327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5.4869332653061225</v>
      </c>
      <c r="J174" s="35">
        <v>5.4492000000000003</v>
      </c>
      <c r="K174" s="35">
        <v>6.2476242358706982</v>
      </c>
      <c r="L174" s="35">
        <v>5.8546392568659131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4.1565251020408169</v>
      </c>
      <c r="J175" s="35">
        <v>4.1319999999999997</v>
      </c>
      <c r="K175" s="35">
        <v>4.780197586168188</v>
      </c>
      <c r="L175" s="35">
        <v>4.2838597738287563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4.3891781632653064</v>
      </c>
      <c r="J176" s="35">
        <v>4.3548</v>
      </c>
      <c r="K176" s="35">
        <v>4.3494300114875291</v>
      </c>
      <c r="L176" s="35">
        <v>4.025176413570275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4.2333618367346935</v>
      </c>
      <c r="J177" s="35">
        <v>4.2004999999999999</v>
      </c>
      <c r="K177" s="35">
        <v>4.2913315358544368</v>
      </c>
      <c r="L177" s="35">
        <v>3.8400996768982236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4.1536679591836743</v>
      </c>
      <c r="J178" s="35">
        <v>4.1219000000000001</v>
      </c>
      <c r="K178" s="35">
        <v>4.331669069293099</v>
      </c>
      <c r="L178" s="35">
        <v>3.8905843295638132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4.1679536734693876</v>
      </c>
      <c r="J179" s="35">
        <v>4.1383000000000001</v>
      </c>
      <c r="K179" s="35">
        <v>4.5636487224448423</v>
      </c>
      <c r="L179" s="35">
        <v>4.0088193861066248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4.6833618367346945</v>
      </c>
      <c r="J180" s="35">
        <v>4.6439000000000004</v>
      </c>
      <c r="K180" s="35">
        <v>4.9869080271016157</v>
      </c>
      <c r="L180" s="35">
        <v>4.614130371567045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4.4779536734693881</v>
      </c>
      <c r="J181" s="35">
        <v>4.4385000000000003</v>
      </c>
      <c r="K181" s="35">
        <v>5.0858618478991566</v>
      </c>
      <c r="L181" s="35">
        <v>4.5559720516962852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4.7919332653061231</v>
      </c>
      <c r="J182" s="35">
        <v>4.7469999999999999</v>
      </c>
      <c r="K182" s="35">
        <v>5.2367521847929464</v>
      </c>
      <c r="L182" s="35">
        <v>4.7543767366720528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5.035402653061225</v>
      </c>
      <c r="J183" s="35">
        <v>4.9931999999999999</v>
      </c>
      <c r="K183" s="35">
        <v>5.8535177313756277</v>
      </c>
      <c r="L183" s="35">
        <v>5.032042326332796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5.269688367346939</v>
      </c>
      <c r="J184" s="35">
        <v>5.2392000000000003</v>
      </c>
      <c r="K184" s="35">
        <v>6.0297808428328894</v>
      </c>
      <c r="L184" s="35">
        <v>5.0184114701130866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5.7585659183673474</v>
      </c>
      <c r="J185" s="35">
        <v>5.7195999999999998</v>
      </c>
      <c r="K185" s="35">
        <v>6.4822447288239449</v>
      </c>
      <c r="L185" s="35">
        <v>5.9972079159935392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5.4292802040816328</v>
      </c>
      <c r="J186" s="35">
        <v>5.3926999999999996</v>
      </c>
      <c r="K186" s="35">
        <v>6.2225621483426981</v>
      </c>
      <c r="L186" s="35">
        <v>5.7975915993537974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4.3071373469387755</v>
      </c>
      <c r="J187" s="35">
        <v>4.2794999999999996</v>
      </c>
      <c r="K187" s="35">
        <v>4.9274114598089032</v>
      </c>
      <c r="L187" s="35">
        <v>4.4328904684975781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4.5941781632653065</v>
      </c>
      <c r="J188" s="35">
        <v>4.5556999999999999</v>
      </c>
      <c r="K188" s="35">
        <v>4.5445414697633701</v>
      </c>
      <c r="L188" s="35">
        <v>4.2280237479806146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4.4608108163265303</v>
      </c>
      <c r="J189" s="35">
        <v>4.4233000000000002</v>
      </c>
      <c r="K189" s="35">
        <v>4.4958671675395667</v>
      </c>
      <c r="L189" s="35">
        <v>4.0650592891760917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4.2957087755102048</v>
      </c>
      <c r="J190" s="35">
        <v>4.2611999999999997</v>
      </c>
      <c r="K190" s="35">
        <v>4.5160618248451883</v>
      </c>
      <c r="L190" s="35">
        <v>4.0311336025848155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4.3027495918367356</v>
      </c>
      <c r="J191" s="35">
        <v>4.2704000000000004</v>
      </c>
      <c r="K191" s="35">
        <v>4.7529606893918892</v>
      </c>
      <c r="L191" s="35">
        <v>4.1421998384491125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4.8290761224489795</v>
      </c>
      <c r="J192" s="35">
        <v>4.7868000000000004</v>
      </c>
      <c r="K192" s="35">
        <v>5.1756504011502997</v>
      </c>
      <c r="L192" s="35">
        <v>4.7583145395799686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4.6306067346938775</v>
      </c>
      <c r="J193" s="35">
        <v>4.5880999999999998</v>
      </c>
      <c r="K193" s="35">
        <v>5.2719116009737572</v>
      </c>
      <c r="L193" s="35">
        <v>4.7071231017770607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4.9442802040816334</v>
      </c>
      <c r="J194" s="35">
        <v>4.8963999999999999</v>
      </c>
      <c r="K194" s="35">
        <v>5.4156043548791342</v>
      </c>
      <c r="L194" s="35">
        <v>4.9051239095315031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5.2048924489795922</v>
      </c>
      <c r="J195" s="35">
        <v>5.1593</v>
      </c>
      <c r="K195" s="35">
        <v>6.0348036165730061</v>
      </c>
      <c r="L195" s="35">
        <v>5.1997523424878844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5.4479536734693887</v>
      </c>
      <c r="J196" s="35">
        <v>5.4138999999999999</v>
      </c>
      <c r="K196" s="35">
        <v>6.2332808510664499</v>
      </c>
      <c r="L196" s="35">
        <v>5.1949058158319881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5.7340761224489807</v>
      </c>
      <c r="J197" s="35">
        <v>5.6955999999999998</v>
      </c>
      <c r="K197" s="35">
        <v>6.4581147024023577</v>
      </c>
      <c r="L197" s="35">
        <v>5.9728743134087248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5.5224434693877553</v>
      </c>
      <c r="J198" s="35">
        <v>5.484</v>
      </c>
      <c r="K198" s="35">
        <v>6.3250888700481545</v>
      </c>
      <c r="L198" s="35">
        <v>5.8896756058158326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4.4301985714285719</v>
      </c>
      <c r="J199" s="35">
        <v>4.4001999999999999</v>
      </c>
      <c r="K199" s="35">
        <v>5.0565019230471391</v>
      </c>
      <c r="L199" s="35">
        <v>4.5546594507269802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4.6709128571428575</v>
      </c>
      <c r="J200" s="35">
        <v>4.6308999999999996</v>
      </c>
      <c r="K200" s="35">
        <v>4.6369708628160184</v>
      </c>
      <c r="L200" s="35">
        <v>4.3039526655896614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4.5298924489795924</v>
      </c>
      <c r="J201" s="35">
        <v>4.4909999999999997</v>
      </c>
      <c r="K201" s="35">
        <v>4.5822381634005289</v>
      </c>
      <c r="L201" s="35">
        <v>4.1334155088852995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4.3778516326530612</v>
      </c>
      <c r="J202" s="35">
        <v>4.3417000000000003</v>
      </c>
      <c r="K202" s="35">
        <v>4.6101999965929261</v>
      </c>
      <c r="L202" s="35">
        <v>4.1124138933764147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4.3411169387755111</v>
      </c>
      <c r="J203" s="35">
        <v>4.3079000000000001</v>
      </c>
      <c r="K203" s="35">
        <v>4.7750194689103367</v>
      </c>
      <c r="L203" s="35">
        <v>4.1801642972536355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4.9208108163265312</v>
      </c>
      <c r="J204" s="35">
        <v>4.8766999999999996</v>
      </c>
      <c r="K204" s="35">
        <v>5.3025142739676596</v>
      </c>
      <c r="L204" s="35">
        <v>4.8490859450726989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4.7891781632653068</v>
      </c>
      <c r="J205" s="35">
        <v>4.7435</v>
      </c>
      <c r="K205" s="35">
        <v>5.4766543573492026</v>
      </c>
      <c r="L205" s="35">
        <v>4.8639284329563823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5.1915251020408162</v>
      </c>
      <c r="J206" s="35">
        <v>5.1386000000000003</v>
      </c>
      <c r="K206" s="35">
        <v>5.6437522012600674</v>
      </c>
      <c r="L206" s="35">
        <v>5.1496715670436197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5.4795863265306126</v>
      </c>
      <c r="J207" s="35">
        <v>5.4284999999999997</v>
      </c>
      <c r="K207" s="35">
        <v>6.288220675172254</v>
      </c>
      <c r="L207" s="35">
        <v>5.4715617124394198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5.7245863265306127</v>
      </c>
      <c r="J208" s="35">
        <v>5.6849999999999996</v>
      </c>
      <c r="K208" s="35">
        <v>6.5017662308860462</v>
      </c>
      <c r="L208" s="35">
        <v>5.4685326332794837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6.0938720408163274</v>
      </c>
      <c r="J209" s="35">
        <v>6.0481999999999996</v>
      </c>
      <c r="K209" s="35">
        <v>6.8176831647875602</v>
      </c>
      <c r="L209" s="35">
        <v>6.3289930533117946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5.5725455102040815</v>
      </c>
      <c r="J210" s="35">
        <v>5.5330000000000004</v>
      </c>
      <c r="K210" s="35">
        <v>6.2924149501511124</v>
      </c>
      <c r="L210" s="35">
        <v>5.939251534733442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4.7194842857142865</v>
      </c>
      <c r="J211" s="35">
        <v>4.6837</v>
      </c>
      <c r="K211" s="35">
        <v>5.3625286529861578</v>
      </c>
      <c r="L211" s="35">
        <v>4.8409074313408738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4.9762189795918372</v>
      </c>
      <c r="J212" s="35">
        <v>4.9301000000000004</v>
      </c>
      <c r="K212" s="35">
        <v>4.9979891980334186</v>
      </c>
      <c r="L212" s="35">
        <v>4.6060528271405508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4.9023414285714288</v>
      </c>
      <c r="J213" s="35">
        <v>4.8560999999999996</v>
      </c>
      <c r="K213" s="35">
        <v>5.0027012847380634</v>
      </c>
      <c r="L213" s="35">
        <v>4.5019534733441038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4.8331577551020413</v>
      </c>
      <c r="J214" s="35">
        <v>4.7877999999999998</v>
      </c>
      <c r="K214" s="35">
        <v>5.0041511575702611</v>
      </c>
      <c r="L214" s="35">
        <v>4.5629389337641371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4.9992802040816331</v>
      </c>
      <c r="J215" s="35">
        <v>4.9530000000000003</v>
      </c>
      <c r="K215" s="35">
        <v>5.3428518074063227</v>
      </c>
      <c r="L215" s="35">
        <v>4.8314163166397419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5.4825455102040825</v>
      </c>
      <c r="J216" s="35">
        <v>5.4272</v>
      </c>
      <c r="K216" s="35">
        <v>5.8142158213885349</v>
      </c>
      <c r="L216" s="35">
        <v>5.4049219709208414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5.2786679591836743</v>
      </c>
      <c r="J217" s="35">
        <v>5.2232000000000003</v>
      </c>
      <c r="K217" s="35">
        <v>5.8900234580434816</v>
      </c>
      <c r="L217" s="35">
        <v>5.3482781906300492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5.5541781632653064</v>
      </c>
      <c r="J218" s="35">
        <v>5.4941000000000004</v>
      </c>
      <c r="K218" s="35">
        <v>6.0370819881664604</v>
      </c>
      <c r="L218" s="35">
        <v>5.5086174474959622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5.7857087755102041</v>
      </c>
      <c r="J219" s="35">
        <v>5.7286000000000001</v>
      </c>
      <c r="K219" s="35">
        <v>6.5928493134516515</v>
      </c>
      <c r="L219" s="35">
        <v>5.774570597738288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6.0212189795918372</v>
      </c>
      <c r="J220" s="35">
        <v>5.9756999999999998</v>
      </c>
      <c r="K220" s="35">
        <v>6.8122461416668152</v>
      </c>
      <c r="L220" s="35">
        <v>5.7620504038772227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6.528872040816327</v>
      </c>
      <c r="J221" s="35">
        <v>6.4744999999999999</v>
      </c>
      <c r="K221" s="35">
        <v>7.2519718592035574</v>
      </c>
      <c r="L221" s="35">
        <v>6.7594252019386118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6.1478516326530617</v>
      </c>
      <c r="J222" s="35">
        <v>6.0968999999999998</v>
      </c>
      <c r="K222" s="35">
        <v>6.8761441086287025</v>
      </c>
      <c r="L222" s="35">
        <v>6.5086174474959622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4.988872040816327</v>
      </c>
      <c r="J223" s="35">
        <v>4.9476000000000004</v>
      </c>
      <c r="K223" s="35">
        <v>5.6692803193412757</v>
      </c>
      <c r="L223" s="35">
        <v>5.1074663974151866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5.2568312244897957</v>
      </c>
      <c r="J224" s="35">
        <v>5.2050999999999998</v>
      </c>
      <c r="K224" s="35">
        <v>5.2814911179007833</v>
      </c>
      <c r="L224" s="35">
        <v>4.8836174474959622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5.1780557142857147</v>
      </c>
      <c r="J225" s="35">
        <v>5.1262999999999996</v>
      </c>
      <c r="K225" s="35">
        <v>5.245554984131295</v>
      </c>
      <c r="L225" s="35">
        <v>4.7748735056542815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5.1097904081632652</v>
      </c>
      <c r="J226" s="35">
        <v>5.0589000000000004</v>
      </c>
      <c r="K226" s="35">
        <v>5.2802483697588984</v>
      </c>
      <c r="L226" s="35">
        <v>4.8365657512116327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5.1338720408163265</v>
      </c>
      <c r="J227" s="35">
        <v>5.0849000000000002</v>
      </c>
      <c r="K227" s="35">
        <v>5.5025967248110383</v>
      </c>
      <c r="L227" s="35">
        <v>4.9646957996768997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5.6609128571428569</v>
      </c>
      <c r="J228" s="35">
        <v>5.6018999999999997</v>
      </c>
      <c r="K228" s="35">
        <v>5.9714752425094826</v>
      </c>
      <c r="L228" s="35">
        <v>5.5814163166397419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5.4753006122448982</v>
      </c>
      <c r="J229" s="35">
        <v>5.4158999999999997</v>
      </c>
      <c r="K229" s="35">
        <v>6.1052260112797843</v>
      </c>
      <c r="L229" s="35">
        <v>5.5428460420032319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5.7769332653061234</v>
      </c>
      <c r="J230" s="35">
        <v>5.7123999999999997</v>
      </c>
      <c r="K230" s="35">
        <v>6.2498508262915751</v>
      </c>
      <c r="L230" s="35">
        <v>5.729033441033927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6.022341428571429</v>
      </c>
      <c r="J231" s="35">
        <v>5.9603999999999999</v>
      </c>
      <c r="K231" s="35">
        <v>6.8104855817991456</v>
      </c>
      <c r="L231" s="35">
        <v>6.008617447495963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6.2743822448979598</v>
      </c>
      <c r="J232" s="35">
        <v>6.2237999999999998</v>
      </c>
      <c r="K232" s="35">
        <v>7.0658185437838004</v>
      </c>
      <c r="L232" s="35">
        <v>6.0126562197092097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6.5038720408163266</v>
      </c>
      <c r="J233" s="35">
        <v>6.4500999999999999</v>
      </c>
      <c r="K233" s="35">
        <v>7.2593765668822847</v>
      </c>
      <c r="L233" s="35">
        <v>6.7346877221324721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6.1233618367346949</v>
      </c>
      <c r="J234" s="35">
        <v>6.0728999999999997</v>
      </c>
      <c r="K234" s="35">
        <v>6.839172351407643</v>
      </c>
      <c r="L234" s="35">
        <v>6.4843848142164795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5.1210148979591841</v>
      </c>
      <c r="J235" s="35">
        <v>5.0770999999999997</v>
      </c>
      <c r="K235" s="35">
        <v>5.8238989006607165</v>
      </c>
      <c r="L235" s="35">
        <v>5.2381206785137326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5.3659128571428578</v>
      </c>
      <c r="J236" s="35">
        <v>5.3120000000000003</v>
      </c>
      <c r="K236" s="35">
        <v>5.382567966774042</v>
      </c>
      <c r="L236" s="35">
        <v>4.991654604200324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5.2801985714285715</v>
      </c>
      <c r="J237" s="35">
        <v>5.2263000000000002</v>
      </c>
      <c r="K237" s="35">
        <v>5.3503082962576283</v>
      </c>
      <c r="L237" s="35">
        <v>4.8758428109854615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5.2058108163265304</v>
      </c>
      <c r="J238" s="35">
        <v>5.1529999999999996</v>
      </c>
      <c r="K238" s="35">
        <v>5.370192266527777</v>
      </c>
      <c r="L238" s="35">
        <v>4.931678836833604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5.22611693877551</v>
      </c>
      <c r="J239" s="35">
        <v>5.1752000000000002</v>
      </c>
      <c r="K239" s="35">
        <v>5.6222630146399837</v>
      </c>
      <c r="L239" s="35">
        <v>5.0558710823909543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5.7749944897959189</v>
      </c>
      <c r="J240" s="35">
        <v>5.7137000000000002</v>
      </c>
      <c r="K240" s="35">
        <v>6.1090060368780161</v>
      </c>
      <c r="L240" s="35">
        <v>5.694300000000001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5.5754026530612251</v>
      </c>
      <c r="J241" s="35">
        <v>5.5140000000000002</v>
      </c>
      <c r="K241" s="35">
        <v>6.1693311029319853</v>
      </c>
      <c r="L241" s="35">
        <v>5.6419978998384499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5.8758108163265312</v>
      </c>
      <c r="J242" s="35">
        <v>5.8093000000000004</v>
      </c>
      <c r="K242" s="35">
        <v>6.3327524835897755</v>
      </c>
      <c r="L242" s="35">
        <v>5.8268726978998391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6.1251985714285713</v>
      </c>
      <c r="J243" s="35">
        <v>6.0612000000000004</v>
      </c>
      <c r="K243" s="35">
        <v>6.9243005991267212</v>
      </c>
      <c r="L243" s="35">
        <v>6.1103945072697909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6.3834638775510211</v>
      </c>
      <c r="J244" s="35">
        <v>6.3307000000000002</v>
      </c>
      <c r="K244" s="35">
        <v>7.1834653678821834</v>
      </c>
      <c r="L244" s="35">
        <v>6.1204914378029089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6.7887700000000004</v>
      </c>
      <c r="J245" s="35">
        <v>6.7291999999999996</v>
      </c>
      <c r="K245" s="35">
        <v>7.5506456626364269</v>
      </c>
      <c r="L245" s="35">
        <v>7.0165940226171255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6.565912857142858</v>
      </c>
      <c r="J246" s="35">
        <v>6.5065999999999997</v>
      </c>
      <c r="K246" s="35">
        <v>7.3344592671211304</v>
      </c>
      <c r="L246" s="35">
        <v>6.9222886914378039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5.2555046938775511</v>
      </c>
      <c r="J247" s="35">
        <v>5.2089999999999996</v>
      </c>
      <c r="K247" s="35">
        <v>5.9350212970142087</v>
      </c>
      <c r="L247" s="35">
        <v>5.3712991922455577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5.4542802040816332</v>
      </c>
      <c r="J248" s="35">
        <v>5.3986000000000001</v>
      </c>
      <c r="K248" s="35">
        <v>5.4741170798928556</v>
      </c>
      <c r="L248" s="35">
        <v>5.0790940226171255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5.3630557142857151</v>
      </c>
      <c r="J249" s="35">
        <v>5.3075999999999999</v>
      </c>
      <c r="K249" s="35">
        <v>5.4336242029364579</v>
      </c>
      <c r="L249" s="35">
        <v>4.9579308562197104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5.2996883673469393</v>
      </c>
      <c r="J250" s="35">
        <v>5.2450999999999999</v>
      </c>
      <c r="K250" s="35">
        <v>5.5000594473546904</v>
      </c>
      <c r="L250" s="35">
        <v>5.024570597738288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5.2557087755102039</v>
      </c>
      <c r="J251" s="35">
        <v>5.2042999999999999</v>
      </c>
      <c r="K251" s="35">
        <v>5.6693838816864313</v>
      </c>
      <c r="L251" s="35">
        <v>5.0851521809369968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5.7398924489795924</v>
      </c>
      <c r="J252" s="35">
        <v>5.6792999999999996</v>
      </c>
      <c r="K252" s="35">
        <v>6.0704290633070226</v>
      </c>
      <c r="L252" s="35">
        <v>5.6595665589660751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5.5480557142857148</v>
      </c>
      <c r="J253" s="35">
        <v>5.4871999999999996</v>
      </c>
      <c r="K253" s="35">
        <v>6.1216924241597521</v>
      </c>
      <c r="L253" s="35">
        <v>5.6149381260096938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5.8659128571428578</v>
      </c>
      <c r="J254" s="35">
        <v>5.7995000000000001</v>
      </c>
      <c r="K254" s="35">
        <v>6.3162342895372294</v>
      </c>
      <c r="L254" s="35">
        <v>5.8170786752827155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6.1389740816326537</v>
      </c>
      <c r="J255" s="35">
        <v>6.0747</v>
      </c>
      <c r="K255" s="35">
        <v>6.9182422019350343</v>
      </c>
      <c r="L255" s="35">
        <v>6.1240253634895003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6.3771373469387758</v>
      </c>
      <c r="J256" s="35">
        <v>6.3244999999999996</v>
      </c>
      <c r="K256" s="35">
        <v>7.1487719822545781</v>
      </c>
      <c r="L256" s="35">
        <v>6.1142313408723759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6.6133618367346942</v>
      </c>
      <c r="J257" s="35">
        <v>6.5572999999999997</v>
      </c>
      <c r="K257" s="35">
        <v>7.3702918385454623</v>
      </c>
      <c r="L257" s="35">
        <v>6.8429268174474975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5.8488720408163273</v>
      </c>
      <c r="J258" s="35">
        <v>5.8037999999999998</v>
      </c>
      <c r="K258" s="35">
        <v>6.6070891359107433</v>
      </c>
      <c r="L258" s="35">
        <v>6.2126764135702759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5.1865251020408172</v>
      </c>
      <c r="J259" s="35">
        <v>5.1414</v>
      </c>
      <c r="K259" s="35">
        <v>5.854553354827198</v>
      </c>
      <c r="L259" s="35">
        <v>5.3030439418416808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5.4514230612244905</v>
      </c>
      <c r="J260" s="35">
        <v>5.3958000000000004</v>
      </c>
      <c r="K260" s="35">
        <v>5.481573568744162</v>
      </c>
      <c r="L260" s="35">
        <v>5.0762668820678529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5.3720353061224495</v>
      </c>
      <c r="J261" s="35">
        <v>5.3163999999999998</v>
      </c>
      <c r="K261" s="35">
        <v>5.4541295472775486</v>
      </c>
      <c r="L261" s="35">
        <v>4.9668161550888534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5.3048924489795919</v>
      </c>
      <c r="J262" s="35">
        <v>5.2500999999999998</v>
      </c>
      <c r="K262" s="35">
        <v>5.5111923994590715</v>
      </c>
      <c r="L262" s="35">
        <v>5.0297200323101787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5.2248924489795918</v>
      </c>
      <c r="J263" s="35">
        <v>5.1741000000000001</v>
      </c>
      <c r="K263" s="35">
        <v>5.685177139322878</v>
      </c>
      <c r="L263" s="35">
        <v>5.0546594507269793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5.7670353061224491</v>
      </c>
      <c r="J264" s="35">
        <v>5.7060000000000004</v>
      </c>
      <c r="K264" s="35">
        <v>6.1459777940990756</v>
      </c>
      <c r="L264" s="35">
        <v>5.6864243941841686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5.5403006122448977</v>
      </c>
      <c r="J265" s="35">
        <v>5.4795999999999996</v>
      </c>
      <c r="K265" s="35">
        <v>6.2227174918604335</v>
      </c>
      <c r="L265" s="35">
        <v>5.6072644588045248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5.9319332653061227</v>
      </c>
      <c r="J266" s="35">
        <v>5.8643000000000001</v>
      </c>
      <c r="K266" s="35">
        <v>6.3997573209063727</v>
      </c>
      <c r="L266" s="35">
        <v>5.882405815831989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6.1931577551020407</v>
      </c>
      <c r="J267" s="35">
        <v>6.1279000000000003</v>
      </c>
      <c r="K267" s="35">
        <v>6.9997975487461943</v>
      </c>
      <c r="L267" s="35">
        <v>6.1777410339256873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6.4476475510204088</v>
      </c>
      <c r="J268" s="35">
        <v>6.3936000000000002</v>
      </c>
      <c r="K268" s="35">
        <v>7.2298612985125317</v>
      </c>
      <c r="L268" s="35">
        <v>6.1840011308562204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6.8469332653061228</v>
      </c>
      <c r="J269" s="35">
        <v>6.7862</v>
      </c>
      <c r="K269" s="35">
        <v>7.599216402515073</v>
      </c>
      <c r="L269" s="35">
        <v>7.0740455573505665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6.3790761224489794</v>
      </c>
      <c r="J270" s="35">
        <v>6.3234000000000004</v>
      </c>
      <c r="K270" s="35">
        <v>7.1391406841549756</v>
      </c>
      <c r="L270" s="35">
        <v>6.737312924071083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5.4390761224489799</v>
      </c>
      <c r="J271" s="35">
        <v>5.3887999999999998</v>
      </c>
      <c r="K271" s="35">
        <v>6.0868954761869905</v>
      </c>
      <c r="L271" s="35">
        <v>5.5529429725363499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5.714892448979592</v>
      </c>
      <c r="J272" s="35">
        <v>5.6539999999999999</v>
      </c>
      <c r="K272" s="35">
        <v>5.7114301938201857</v>
      </c>
      <c r="L272" s="35">
        <v>5.3369696284329571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5.6331577551020411</v>
      </c>
      <c r="J273" s="35">
        <v>5.5723000000000003</v>
      </c>
      <c r="K273" s="35">
        <v>5.6949637809402187</v>
      </c>
      <c r="L273" s="35">
        <v>5.2251966074313421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5.488259795918367</v>
      </c>
      <c r="J274" s="35">
        <v>5.4298999999999999</v>
      </c>
      <c r="K274" s="35">
        <v>5.761916837084236</v>
      </c>
      <c r="L274" s="35">
        <v>5.2111618739903074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5.4782597959183681</v>
      </c>
      <c r="J275" s="35">
        <v>5.4223999999999997</v>
      </c>
      <c r="K275" s="35">
        <v>5.9609118833034662</v>
      </c>
      <c r="L275" s="35">
        <v>5.3053662358642981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5.918361836734694</v>
      </c>
      <c r="J276" s="35">
        <v>5.8541999999999996</v>
      </c>
      <c r="K276" s="35">
        <v>6.3375163514669985</v>
      </c>
      <c r="L276" s="35">
        <v>5.8361618739903074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5.7334638775510207</v>
      </c>
      <c r="J277" s="35">
        <v>5.6688999999999998</v>
      </c>
      <c r="K277" s="35">
        <v>6.3874334018326859</v>
      </c>
      <c r="L277" s="35">
        <v>5.7983993537964471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6.1137700000000006</v>
      </c>
      <c r="J278" s="35">
        <v>6.0423999999999998</v>
      </c>
      <c r="K278" s="35">
        <v>6.5444339170907408</v>
      </c>
      <c r="L278" s="35">
        <v>6.0623331179321491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6.3898924489795919</v>
      </c>
      <c r="J279" s="35">
        <v>6.3205999999999998</v>
      </c>
      <c r="K279" s="35">
        <v>7.1704682935649764</v>
      </c>
      <c r="L279" s="35">
        <v>6.3724098546042018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6.7032597959183677</v>
      </c>
      <c r="J280" s="35">
        <v>6.6440999999999999</v>
      </c>
      <c r="K280" s="35">
        <v>7.5130007501718463</v>
      </c>
      <c r="L280" s="35">
        <v>6.4369292407108256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7.0729536734693887</v>
      </c>
      <c r="J281" s="35">
        <v>7.0076999999999998</v>
      </c>
      <c r="K281" s="35">
        <v>7.8537208657384694</v>
      </c>
      <c r="L281" s="35">
        <v>7.2977935379644601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6.6722393877551021</v>
      </c>
      <c r="J282" s="35">
        <v>6.6108000000000002</v>
      </c>
      <c r="K282" s="35">
        <v>7.4575948955128375</v>
      </c>
      <c r="L282" s="35">
        <v>7.0274987075928923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5.6229536734693886</v>
      </c>
      <c r="J283" s="35">
        <v>5.569</v>
      </c>
      <c r="K283" s="35">
        <v>6.2989393778960059</v>
      </c>
      <c r="L283" s="35">
        <v>5.7347886914378039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5.8887700000000001</v>
      </c>
      <c r="J284" s="35">
        <v>5.8243999999999998</v>
      </c>
      <c r="K284" s="35">
        <v>5.8938552648142899</v>
      </c>
      <c r="L284" s="35">
        <v>5.5090213247172866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5.8256067346938778</v>
      </c>
      <c r="J285" s="35">
        <v>5.7607999999999997</v>
      </c>
      <c r="K285" s="35">
        <v>5.8923536108095131</v>
      </c>
      <c r="L285" s="35">
        <v>5.4155237479806146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5.7645863265306128</v>
      </c>
      <c r="J286" s="35">
        <v>5.7005999999999997</v>
      </c>
      <c r="K286" s="35">
        <v>5.9966926735552191</v>
      </c>
      <c r="L286" s="35">
        <v>5.4845867528271421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5.6927495918367352</v>
      </c>
      <c r="J287" s="35">
        <v>5.6325000000000003</v>
      </c>
      <c r="K287" s="35">
        <v>6.2109631656851105</v>
      </c>
      <c r="L287" s="35">
        <v>5.5176037156704378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6.2210148979591846</v>
      </c>
      <c r="J288" s="35">
        <v>6.1508000000000003</v>
      </c>
      <c r="K288" s="35">
        <v>6.6675177643098698</v>
      </c>
      <c r="L288" s="35">
        <v>6.1356368336025859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6.0665251020408162</v>
      </c>
      <c r="J289" s="35">
        <v>5.9953000000000003</v>
      </c>
      <c r="K289" s="35">
        <v>6.7465358336646819</v>
      </c>
      <c r="L289" s="35">
        <v>6.1278621970920844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6.4713210204081637</v>
      </c>
      <c r="J290" s="35">
        <v>6.3928000000000003</v>
      </c>
      <c r="K290" s="35">
        <v>6.9113553059820916</v>
      </c>
      <c r="L290" s="35">
        <v>6.4161295638126026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6.7520353061224494</v>
      </c>
      <c r="J291" s="35">
        <v>6.6755000000000004</v>
      </c>
      <c r="K291" s="35">
        <v>7.5299849747775998</v>
      </c>
      <c r="L291" s="35">
        <v>6.7307499192245563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7.0493822448979593</v>
      </c>
      <c r="J292" s="35">
        <v>6.9832999999999998</v>
      </c>
      <c r="K292" s="35">
        <v>7.850406870693444</v>
      </c>
      <c r="L292" s="35">
        <v>6.7794171243941852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7.2780557142857152</v>
      </c>
      <c r="J293" s="35">
        <v>7.2087000000000003</v>
      </c>
      <c r="K293" s="35">
        <v>8.0912928855286914</v>
      </c>
      <c r="L293" s="35">
        <v>7.5007418416801306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6.9761169387755109</v>
      </c>
      <c r="J294" s="35">
        <v>6.9085999999999999</v>
      </c>
      <c r="K294" s="35">
        <v>7.7285139904436235</v>
      </c>
      <c r="L294" s="35">
        <v>7.3280843295638141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5.9667291836734702</v>
      </c>
      <c r="J295" s="35">
        <v>5.9058999999999999</v>
      </c>
      <c r="K295" s="35">
        <v>6.6391416817368434</v>
      </c>
      <c r="L295" s="35">
        <v>6.0750552504038779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6.2132597959183675</v>
      </c>
      <c r="J296" s="35">
        <v>6.1424000000000003</v>
      </c>
      <c r="K296" s="35">
        <v>6.2256172375248298</v>
      </c>
      <c r="L296" s="35">
        <v>5.8301037156704378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6.1510148979591843</v>
      </c>
      <c r="J297" s="35">
        <v>6.0797999999999996</v>
      </c>
      <c r="K297" s="35">
        <v>6.224115583520053</v>
      </c>
      <c r="L297" s="35">
        <v>5.7376158319870765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6.0049944897959184</v>
      </c>
      <c r="J298" s="35">
        <v>5.9363000000000001</v>
      </c>
      <c r="K298" s="35">
        <v>6.285994084751378</v>
      </c>
      <c r="L298" s="35">
        <v>5.7224704361874004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5.9758108163265309</v>
      </c>
      <c r="J299" s="35">
        <v>5.9099000000000004</v>
      </c>
      <c r="K299" s="35">
        <v>6.5273461301398319</v>
      </c>
      <c r="L299" s="35">
        <v>5.7976925686591283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6.5044842857142866</v>
      </c>
      <c r="J300" s="35">
        <v>6.4286000000000003</v>
      </c>
      <c r="K300" s="35">
        <v>6.9677450029200934</v>
      </c>
      <c r="L300" s="35">
        <v>6.4161295638126026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6.3898924489795919</v>
      </c>
      <c r="J301" s="35">
        <v>6.3121999999999998</v>
      </c>
      <c r="K301" s="35">
        <v>7.0825438625266592</v>
      </c>
      <c r="L301" s="35">
        <v>6.4478339256865924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6.7769332653061225</v>
      </c>
      <c r="J302" s="35">
        <v>6.6923000000000004</v>
      </c>
      <c r="K302" s="35">
        <v>7.225511680015936</v>
      </c>
      <c r="L302" s="35">
        <v>6.7184316639741528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7.0601985714285718</v>
      </c>
      <c r="J303" s="35">
        <v>6.9775999999999998</v>
      </c>
      <c r="K303" s="35">
        <v>7.8308335874587671</v>
      </c>
      <c r="L303" s="35">
        <v>7.0356772213247192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7.3179536734693889</v>
      </c>
      <c r="J304" s="35">
        <v>7.2465000000000002</v>
      </c>
      <c r="K304" s="35">
        <v>8.1129891968390879</v>
      </c>
      <c r="L304" s="35">
        <v>7.0451683360258492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7.5313210204081633</v>
      </c>
      <c r="J305" s="35">
        <v>7.4569000000000001</v>
      </c>
      <c r="K305" s="35">
        <v>8.3454866617166186</v>
      </c>
      <c r="L305" s="35">
        <v>7.7513476575121176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6.7049944897959186</v>
      </c>
      <c r="J306" s="35">
        <v>6.6428000000000003</v>
      </c>
      <c r="K306" s="35">
        <v>7.4463583810633001</v>
      </c>
      <c r="L306" s="35">
        <v>7.0598088852988701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6.0588720408163272</v>
      </c>
      <c r="J307" s="35">
        <v>5.9962</v>
      </c>
      <c r="K307" s="35">
        <v>6.7547172589320859</v>
      </c>
      <c r="L307" s="35">
        <v>6.1662305331179335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6.3841781632653065</v>
      </c>
      <c r="J308" s="35">
        <v>6.3098999999999998</v>
      </c>
      <c r="K308" s="35">
        <v>6.3885725876294135</v>
      </c>
      <c r="L308" s="35">
        <v>5.9992273021001621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6.2407087755102042</v>
      </c>
      <c r="J309" s="35">
        <v>6.1677</v>
      </c>
      <c r="K309" s="35">
        <v>6.3963915446887691</v>
      </c>
      <c r="L309" s="35">
        <v>5.8262668820678529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6.1841781632653063</v>
      </c>
      <c r="J310" s="35">
        <v>6.1119000000000003</v>
      </c>
      <c r="K310" s="35">
        <v>6.4881995636704746</v>
      </c>
      <c r="L310" s="35">
        <v>5.8997725363489515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6.2237700000000009</v>
      </c>
      <c r="J311" s="35">
        <v>6.1528999999999998</v>
      </c>
      <c r="K311" s="35">
        <v>6.7724264199539377</v>
      </c>
      <c r="L311" s="35">
        <v>6.0430479806138946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6.6986679591836742</v>
      </c>
      <c r="J312" s="35">
        <v>6.6189</v>
      </c>
      <c r="K312" s="35">
        <v>7.1581961556638678</v>
      </c>
      <c r="L312" s="35">
        <v>6.6082741518578363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6.5642802040816326</v>
      </c>
      <c r="J313" s="35">
        <v>6.4831000000000003</v>
      </c>
      <c r="K313" s="35">
        <v>7.2830923439232444</v>
      </c>
      <c r="L313" s="35">
        <v>6.6204914378029089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6.8701985714285714</v>
      </c>
      <c r="J314" s="35">
        <v>6.7836999999999996</v>
      </c>
      <c r="K314" s="35">
        <v>7.4339308996444551</v>
      </c>
      <c r="L314" s="35">
        <v>6.8108185783521815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7.2424434693877551</v>
      </c>
      <c r="J315" s="35">
        <v>7.1562000000000001</v>
      </c>
      <c r="K315" s="35">
        <v>8.0292072596070536</v>
      </c>
      <c r="L315" s="35">
        <v>7.2160084006462046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7.5050965306122457</v>
      </c>
      <c r="J316" s="35">
        <v>7.4298999999999999</v>
      </c>
      <c r="K316" s="35">
        <v>8.3199585436354084</v>
      </c>
      <c r="L316" s="35">
        <v>7.2304470113085637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7.8322393877551022</v>
      </c>
      <c r="J317" s="35">
        <v>7.7518000000000002</v>
      </c>
      <c r="K317" s="35">
        <v>8.6164057566474028</v>
      </c>
      <c r="L317" s="35">
        <v>8.049005169628435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7.3315251020408168</v>
      </c>
      <c r="J318" s="35">
        <v>7.2568000000000001</v>
      </c>
      <c r="K318" s="35">
        <v>8.0908268549754858</v>
      </c>
      <c r="L318" s="35">
        <v>7.679760420032312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6.4634638775510203</v>
      </c>
      <c r="J319" s="35">
        <v>6.3926999999999996</v>
      </c>
      <c r="K319" s="35">
        <v>7.1740411944728937</v>
      </c>
      <c r="L319" s="35">
        <v>6.5665738287560593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6.7261169387755109</v>
      </c>
      <c r="J320" s="35">
        <v>6.6449999999999996</v>
      </c>
      <c r="K320" s="35">
        <v>6.742445121030979</v>
      </c>
      <c r="L320" s="35">
        <v>6.3374744749596132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6.6474434693877553</v>
      </c>
      <c r="J321" s="35">
        <v>6.5663</v>
      </c>
      <c r="K321" s="35">
        <v>6.7457591160760035</v>
      </c>
      <c r="L321" s="35">
        <v>6.2288315024232643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6.5333618367346942</v>
      </c>
      <c r="J322" s="35">
        <v>6.4541000000000004</v>
      </c>
      <c r="K322" s="35">
        <v>6.8260717147452787</v>
      </c>
      <c r="L322" s="35">
        <v>6.2452894991922472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6.4866271428571434</v>
      </c>
      <c r="J323" s="35">
        <v>6.4104999999999999</v>
      </c>
      <c r="K323" s="35">
        <v>7.0747766866398827</v>
      </c>
      <c r="L323" s="35">
        <v>6.3031449111470126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6.9808108163265317</v>
      </c>
      <c r="J324" s="35">
        <v>6.8954000000000004</v>
      </c>
      <c r="K324" s="35">
        <v>7.4679511300285402</v>
      </c>
      <c r="L324" s="35">
        <v>6.887454281098548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6.8911169387755109</v>
      </c>
      <c r="J325" s="35">
        <v>6.8033999999999999</v>
      </c>
      <c r="K325" s="35">
        <v>7.6106600416549242</v>
      </c>
      <c r="L325" s="35">
        <v>6.9437951534733457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7.2789740816326534</v>
      </c>
      <c r="J326" s="35">
        <v>7.1844000000000001</v>
      </c>
      <c r="K326" s="35">
        <v>7.7554919813570278</v>
      </c>
      <c r="L326" s="35">
        <v>7.2153016155088867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7.574178163265306</v>
      </c>
      <c r="J327" s="35">
        <v>7.4812000000000003</v>
      </c>
      <c r="K327" s="35">
        <v>8.3618495122514283</v>
      </c>
      <c r="L327" s="35">
        <v>7.5441586429725378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7.8412189795918374</v>
      </c>
      <c r="J328" s="35">
        <v>7.7592999999999996</v>
      </c>
      <c r="K328" s="35">
        <v>8.6305937979339156</v>
      </c>
      <c r="L328" s="35">
        <v>7.5629389337641371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8.0698924489795907</v>
      </c>
      <c r="J329" s="35">
        <v>7.9847000000000001</v>
      </c>
      <c r="K329" s="35">
        <v>8.8909495336586861</v>
      </c>
      <c r="L329" s="35">
        <v>8.2841626817447516</v>
      </c>
      <c r="M329" s="104">
        <f t="shared" ref="M329:M340" si="13">YEAR(H329)</f>
        <v>2042</v>
      </c>
    </row>
    <row r="330" spans="8:15">
      <c r="H330" s="31">
        <v>51898</v>
      </c>
      <c r="I330" s="35">
        <v>7.7574434693877556</v>
      </c>
      <c r="J330" s="35">
        <v>7.6741999999999999</v>
      </c>
      <c r="K330" s="35">
        <v>8.5248566435285902</v>
      </c>
      <c r="L330" s="35">
        <v>8.1012063004846535</v>
      </c>
      <c r="M330" s="104">
        <f t="shared" si="13"/>
        <v>2042</v>
      </c>
    </row>
    <row r="331" spans="8:15">
      <c r="H331" s="31">
        <v>51926</v>
      </c>
      <c r="I331" s="35">
        <v>6.7272393877551027</v>
      </c>
      <c r="J331" s="35">
        <v>6.6512000000000002</v>
      </c>
      <c r="K331" s="35">
        <v>7.4465655057536129</v>
      </c>
      <c r="L331" s="35">
        <v>6.827478513731827</v>
      </c>
      <c r="M331" s="104">
        <f t="shared" si="13"/>
        <v>2042</v>
      </c>
    </row>
    <row r="332" spans="8:15">
      <c r="H332" s="31">
        <v>51957</v>
      </c>
      <c r="I332" s="35">
        <v>7.0055046938775511</v>
      </c>
      <c r="J332" s="35">
        <v>6.9188000000000001</v>
      </c>
      <c r="K332" s="35">
        <v>7.0496628179393035</v>
      </c>
      <c r="L332" s="35">
        <v>6.6140294022617141</v>
      </c>
      <c r="M332" s="104">
        <f t="shared" si="13"/>
        <v>2042</v>
      </c>
    </row>
    <row r="333" spans="8:15">
      <c r="H333" s="31">
        <v>51987</v>
      </c>
      <c r="I333" s="35">
        <v>6.9431577551020416</v>
      </c>
      <c r="J333" s="35">
        <v>6.8560999999999996</v>
      </c>
      <c r="K333" s="35">
        <v>7.0508020037360302</v>
      </c>
      <c r="L333" s="35">
        <v>6.5214405492730219</v>
      </c>
      <c r="M333" s="104">
        <f t="shared" si="13"/>
        <v>2042</v>
      </c>
    </row>
    <row r="334" spans="8:15">
      <c r="H334" s="31">
        <v>52018</v>
      </c>
      <c r="I334" s="35">
        <v>6.8047904081632655</v>
      </c>
      <c r="J334" s="35">
        <v>6.72</v>
      </c>
      <c r="K334" s="35">
        <v>7.1071399195014537</v>
      </c>
      <c r="L334" s="35">
        <v>6.5138678513731838</v>
      </c>
      <c r="M334" s="104">
        <f t="shared" si="13"/>
        <v>2042</v>
      </c>
    </row>
    <row r="335" spans="8:15">
      <c r="H335" s="31">
        <v>52048</v>
      </c>
      <c r="I335" s="35">
        <v>6.7068312244897959</v>
      </c>
      <c r="J335" s="35">
        <v>6.6264000000000003</v>
      </c>
      <c r="K335" s="35">
        <v>7.3095007419382858</v>
      </c>
      <c r="L335" s="35">
        <v>6.5210366720516975</v>
      </c>
      <c r="M335" s="104">
        <f t="shared" si="13"/>
        <v>2042</v>
      </c>
    </row>
    <row r="336" spans="8:15">
      <c r="H336" s="31">
        <v>52079</v>
      </c>
      <c r="I336" s="35">
        <v>7.2829536734693887</v>
      </c>
      <c r="J336" s="35">
        <v>7.1914999999999996</v>
      </c>
      <c r="K336" s="35">
        <v>7.8080498715242204</v>
      </c>
      <c r="L336" s="35">
        <v>7.1863234248788377</v>
      </c>
      <c r="M336" s="104">
        <f t="shared" si="13"/>
        <v>2042</v>
      </c>
    </row>
    <row r="337" spans="8:13">
      <c r="H337" s="31">
        <v>52110</v>
      </c>
      <c r="I337" s="35">
        <v>7.2429536734693887</v>
      </c>
      <c r="J337" s="35">
        <v>7.1482999999999999</v>
      </c>
      <c r="K337" s="35">
        <v>7.9707980969384895</v>
      </c>
      <c r="L337" s="35">
        <v>7.2920382875605831</v>
      </c>
      <c r="M337" s="104">
        <f t="shared" si="13"/>
        <v>2042</v>
      </c>
    </row>
    <row r="338" spans="8:13">
      <c r="H338" s="31">
        <v>52140</v>
      </c>
      <c r="I338" s="35">
        <v>7.6311169387755111</v>
      </c>
      <c r="J338" s="35">
        <v>7.5294999999999996</v>
      </c>
      <c r="K338" s="35">
        <v>8.1195654057565605</v>
      </c>
      <c r="L338" s="35">
        <v>7.5637466882067868</v>
      </c>
      <c r="M338" s="104">
        <f t="shared" si="13"/>
        <v>2042</v>
      </c>
    </row>
    <row r="339" spans="8:13">
      <c r="H339" s="31">
        <v>52171</v>
      </c>
      <c r="I339" s="35">
        <v>7.924892448979592</v>
      </c>
      <c r="J339" s="35">
        <v>7.8249000000000004</v>
      </c>
      <c r="K339" s="35">
        <v>8.7279941835541024</v>
      </c>
      <c r="L339" s="35">
        <v>7.8911901453958011</v>
      </c>
      <c r="M339" s="104">
        <f t="shared" si="13"/>
        <v>2042</v>
      </c>
    </row>
    <row r="340" spans="8:13">
      <c r="H340" s="31">
        <v>52201</v>
      </c>
      <c r="I340" s="35">
        <v>8.2121373469387748</v>
      </c>
      <c r="J340" s="35">
        <v>8.1227999999999998</v>
      </c>
      <c r="K340" s="35">
        <v>8.9905765096997463</v>
      </c>
      <c r="L340" s="35">
        <v>7.9300633279483055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18" t="s">
        <v>130</v>
      </c>
      <c r="C1" s="418"/>
      <c r="D1" s="418"/>
      <c r="E1" s="418"/>
      <c r="F1" s="418"/>
      <c r="G1" s="418"/>
      <c r="H1" s="418"/>
      <c r="I1" s="418"/>
      <c r="J1" s="418"/>
      <c r="K1" s="418"/>
      <c r="M1" s="326"/>
    </row>
    <row r="2" spans="1:14">
      <c r="B2" s="158"/>
      <c r="C2" s="158"/>
      <c r="D2" s="158"/>
      <c r="E2" s="158"/>
      <c r="F2" s="158"/>
      <c r="G2" s="158"/>
      <c r="H2" s="158"/>
      <c r="I2" s="158"/>
      <c r="J2" s="158"/>
      <c r="K2" s="158"/>
      <c r="M2" s="158"/>
    </row>
    <row r="3" spans="1:14">
      <c r="A3" s="323" t="s">
        <v>98</v>
      </c>
      <c r="B3" s="324">
        <v>2024</v>
      </c>
      <c r="C3" s="324">
        <v>2030</v>
      </c>
      <c r="D3" s="324">
        <v>2024</v>
      </c>
      <c r="E3" s="324">
        <v>2024</v>
      </c>
      <c r="F3" s="324">
        <v>2024</v>
      </c>
      <c r="G3" s="324">
        <v>2024</v>
      </c>
      <c r="H3" s="324">
        <v>2029</v>
      </c>
      <c r="I3" s="324">
        <v>2024</v>
      </c>
      <c r="J3" s="324">
        <v>2030</v>
      </c>
      <c r="K3" s="324">
        <v>2026</v>
      </c>
      <c r="L3" s="324">
        <v>2029</v>
      </c>
      <c r="M3" s="324">
        <v>2032</v>
      </c>
    </row>
    <row r="4" spans="1:14" ht="51">
      <c r="B4" s="201" t="s">
        <v>129</v>
      </c>
      <c r="C4" s="201" t="s">
        <v>137</v>
      </c>
      <c r="D4" s="201" t="s">
        <v>136</v>
      </c>
      <c r="E4" s="201" t="s">
        <v>135</v>
      </c>
      <c r="F4" s="201" t="s">
        <v>133</v>
      </c>
      <c r="G4" s="201" t="s">
        <v>134</v>
      </c>
      <c r="H4" s="201" t="s">
        <v>134</v>
      </c>
      <c r="I4" s="201" t="s">
        <v>132</v>
      </c>
      <c r="J4" s="201" t="s">
        <v>132</v>
      </c>
      <c r="K4" s="201" t="s">
        <v>138</v>
      </c>
      <c r="L4" s="201" t="s">
        <v>141</v>
      </c>
      <c r="M4" s="201" t="s">
        <v>140</v>
      </c>
    </row>
    <row r="5" spans="1:14" hidden="1">
      <c r="A5" s="133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3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3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3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3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3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3">
        <f t="shared" si="0"/>
        <v>2024</v>
      </c>
      <c r="B11" s="129">
        <f>INDEX('Table 3 WYE Wind_2029'!$J$10:$J$36,MATCH($A11,'Table 3 WYE Wind_2029'!$B$10:$B$36,0),1)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3">
        <f t="shared" si="0"/>
        <v>2025</v>
      </c>
      <c r="B12" s="129">
        <f>INDEX('Table 3 WYE Wind_2029'!$J$10:$J$36,MATCH($A12,'Table 3 WYE Wind_2029'!$B$10:$B$36,0),1)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3">
        <f t="shared" si="0"/>
        <v>2026</v>
      </c>
      <c r="B13" s="129">
        <f>INDEX('Table 3 WYE Wind_2029'!$J$10:$J$36,MATCH($A13,'Table 3 WYE Wind_2029'!$B$10:$B$36,0),1)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2031'!$L$14:$L$37,MATCH($A13,'Table 3 NonE 206MW (UTN) 2031'!$B$14:$B$37,0),1)</f>
        <v>0</v>
      </c>
      <c r="L13" s="129"/>
      <c r="M13" s="129"/>
      <c r="N13" t="s">
        <v>139</v>
      </c>
    </row>
    <row r="14" spans="1:14">
      <c r="A14" s="133">
        <f t="shared" si="0"/>
        <v>2027</v>
      </c>
      <c r="B14" s="129">
        <f>INDEX('Table 3 WYE Wind_2029'!$J$10:$J$36,MATCH($A14,'Table 3 WYE Wind_2029'!$B$10:$B$36,0),1)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2031'!$L$14:$L$37,MATCH($A14,'Table 3 NonE 206MW (UTN) 2031'!$B$14:$B$37,0),1)</f>
        <v>0</v>
      </c>
      <c r="L14" s="129"/>
      <c r="M14" s="129"/>
      <c r="N14" s="264">
        <v>2.2750000000000006E-2</v>
      </c>
    </row>
    <row r="15" spans="1:14">
      <c r="A15" s="133">
        <f t="shared" si="0"/>
        <v>2028</v>
      </c>
      <c r="B15" s="129">
        <f>INDEX('Table 3 WYE Wind_2029'!$J$10:$J$36,MATCH($A15,'Table 3 WYE Wind_2029'!$B$10:$B$36,0),1)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2031'!$L$14:$L$37,MATCH($A15,'Table 3 NonE 206MW (UTN) 2031'!$B$14:$B$37,0),1)</f>
        <v>0</v>
      </c>
      <c r="L15" s="129"/>
      <c r="M15" s="129"/>
    </row>
    <row r="16" spans="1:14">
      <c r="A16" s="133">
        <f t="shared" si="0"/>
        <v>2029</v>
      </c>
      <c r="B16" s="129">
        <f>INDEX('Table 3 WYE Wind_2029'!$J$10:$J$36,MATCH($A16,'Table 3 WYE Wind_2029'!$B$10:$B$36,0),1)</f>
        <v>53.630424392634318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2031'!$L$14:$L$37,MATCH($A16,'Table 3 NonE 206MW (UTN) 2031'!$B$14:$B$37,0),1)</f>
        <v>0</v>
      </c>
      <c r="L16" s="129" t="e">
        <f>INDEX(#REF!,MATCH($A16,#REF!,0),1)</f>
        <v>#REF!</v>
      </c>
      <c r="M16" s="129"/>
    </row>
    <row r="17" spans="1:13">
      <c r="A17" s="133">
        <f t="shared" si="0"/>
        <v>2030</v>
      </c>
      <c r="B17" s="129">
        <f>INDEX('Table 3 WYE Wind_2029'!$J$10:$J$36,MATCH($A17,'Table 3 WYE Wind_2029'!$B$10:$B$36,0),1)</f>
        <v>54.78334888898371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2031'!$L$14:$L$37,MATCH($A17,'Table 3 NonE 206MW (UTN) 2031'!$B$14:$B$37,0),1)</f>
        <v>0</v>
      </c>
      <c r="L17" s="129" t="e">
        <f>INDEX(#REF!,MATCH($A17,#REF!,0),1)</f>
        <v>#REF!</v>
      </c>
      <c r="M17" s="129"/>
    </row>
    <row r="18" spans="1:13">
      <c r="A18" s="133">
        <f t="shared" si="0"/>
        <v>2031</v>
      </c>
      <c r="B18" s="129">
        <f>INDEX('Table 3 WYE Wind_2029'!$J$10:$J$36,MATCH($A18,'Table 3 WYE Wind_2029'!$B$10:$B$36,0),1)</f>
        <v>55.965314306379874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2031'!$L$14:$L$37,MATCH($A18,'Table 3 NonE 206MW (UTN) 2031'!$B$14:$B$37,0),1)</f>
        <v>401.1</v>
      </c>
      <c r="L18" s="129" t="e">
        <f>INDEX(#REF!,MATCH($A18,#REF!,0),1)</f>
        <v>#REF!</v>
      </c>
      <c r="M18" s="129"/>
    </row>
    <row r="19" spans="1:13">
      <c r="A19" s="133">
        <f t="shared" si="0"/>
        <v>2032</v>
      </c>
      <c r="B19" s="129">
        <f>INDEX('Table 3 WYE Wind_2029'!$J$10:$J$36,MATCH($A19,'Table 3 WYE Wind_2029'!$B$10:$B$36,0),1)</f>
        <v>57.170833076831357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2031'!$L$14:$L$37,MATCH($A19,'Table 3 NonE 206MW (UTN) 2031'!$B$14:$B$37,0),1)</f>
        <v>409.76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3">
        <f t="shared" si="0"/>
        <v>2033</v>
      </c>
      <c r="B20" s="129">
        <f>INDEX('Table 3 WYE Wind_2029'!$J$10:$J$36,MATCH($A20,'Table 3 WYE Wind_2029'!$B$10:$B$36,0),1)</f>
        <v>58.402522239566544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2031'!$L$14:$L$37,MATCH($A20,'Table 3 NonE 206MW (UTN) 2031'!$B$14:$B$37,0),1)</f>
        <v>418.55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3">
        <f t="shared" si="0"/>
        <v>2034</v>
      </c>
      <c r="B21" s="129">
        <f>INDEX('Table 3 WYE Wind_2029'!$J$10:$J$36,MATCH($A21,'Table 3 WYE Wind_2029'!$B$10:$B$36,0),1)</f>
        <v>59.662998833813788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2031'!$L$14:$L$37,MATCH($A21,'Table 3 NonE 206MW (UTN) 2031'!$B$14:$B$37,0),1)</f>
        <v>427.59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3">
        <f t="shared" si="0"/>
        <v>2035</v>
      </c>
      <c r="B22" s="129">
        <f>INDEX('Table 3 WYE Wind_2029'!$J$10:$J$36,MATCH($A22,'Table 3 WYE Wind_2029'!$B$10:$B$36,0),1)</f>
        <v>60.949645820344735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2031'!$L$14:$L$37,MATCH($A22,'Table 3 NonE 206MW (UTN) 2031'!$B$14:$B$37,0),1)</f>
        <v>436.84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3">
        <f t="shared" si="0"/>
        <v>2036</v>
      </c>
      <c r="B23" s="129">
        <f>INDEX('Table 3 WYE Wind_2029'!$J$10:$J$36,MATCH($A23,'Table 3 WYE Wind_2029'!$B$10:$B$36,0),1)</f>
        <v>62.265080238387746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2031'!$L$14:$L$37,MATCH($A23,'Table 3 NonE 206MW (UTN) 2031'!$B$14:$B$37,0),1)</f>
        <v>446.21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3">
        <f t="shared" si="0"/>
        <v>2037</v>
      </c>
      <c r="B24" s="129">
        <f>INDEX('Table 3 WYE Wind_2029'!$J$10:$J$36,MATCH($A24,'Table 3 WYE Wind_2029'!$B$10:$B$36,0),1)</f>
        <v>63.606685048714461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2031'!$L$14:$L$37,MATCH($A24,'Table 3 NonE 206MW (UTN) 2031'!$B$14:$B$37,0),1)</f>
        <v>455.84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3">
        <f t="shared" si="0"/>
        <v>2038</v>
      </c>
      <c r="B25" s="129">
        <f>INDEX('Table 3 WYE Wind_2029'!$J$10:$J$36,MATCH($A25,'Table 3 WYE Wind_2029'!$B$10:$B$36,0),1)</f>
        <v>64.97707729055324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2031'!$L$14:$L$37,MATCH($A25,'Table 3 NonE 206MW (UTN) 2031'!$B$14:$B$37,0),1)</f>
        <v>465.69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3">
        <f t="shared" si="0"/>
        <v>2039</v>
      </c>
      <c r="B26" s="320">
        <f>B25*(1+$N$14)</f>
        <v>66.455305798913329</v>
      </c>
      <c r="C26" s="320" t="e">
        <f t="shared" ref="C26:C40" si="1">C25*(1+$N$14)</f>
        <v>#REF!</v>
      </c>
      <c r="D26" s="320" t="e">
        <f t="shared" ref="D26:D40" si="2">D25*(1+$N$14)</f>
        <v>#REF!</v>
      </c>
      <c r="E26" s="320" t="e">
        <f t="shared" ref="E26:E40" si="3">E25*(1+$N$14)</f>
        <v>#REF!</v>
      </c>
      <c r="F26" s="320" t="e">
        <f t="shared" ref="F26:F40" si="4">F25*(1+$N$14)</f>
        <v>#REF!</v>
      </c>
      <c r="G26" s="320" t="e">
        <f t="shared" ref="G26:G40" si="5">G25*(1+$N$14)</f>
        <v>#REF!</v>
      </c>
      <c r="H26" s="320" t="e">
        <f t="shared" ref="H26:H40" si="6">H25*(1+$N$14)</f>
        <v>#REF!</v>
      </c>
      <c r="I26" s="320">
        <f t="shared" ref="I26:I40" si="7">I25*(1+$N$14)</f>
        <v>99.260363987496106</v>
      </c>
      <c r="J26" s="320" t="e">
        <f t="shared" ref="J26:J40" si="8">J25*(1+$N$14)</f>
        <v>#REF!</v>
      </c>
      <c r="K26" s="320">
        <f t="shared" ref="K26:K40" si="9">K25*(1+$N$14)</f>
        <v>476.2844475</v>
      </c>
      <c r="L26" s="320" t="e">
        <f t="shared" ref="L26:L40" si="10">L25*(1+$N$14)</f>
        <v>#REF!</v>
      </c>
      <c r="M26" s="320" t="e">
        <f t="shared" ref="M26:M46" si="11">M25*(1+$N$14)</f>
        <v>#REF!</v>
      </c>
    </row>
    <row r="27" spans="1:13">
      <c r="A27" s="133">
        <f t="shared" si="0"/>
        <v>2040</v>
      </c>
      <c r="B27" s="320">
        <f t="shared" ref="B27:B40" si="12">B26*(1+$N$14)</f>
        <v>67.967164005838612</v>
      </c>
      <c r="C27" s="320" t="e">
        <f t="shared" si="1"/>
        <v>#REF!</v>
      </c>
      <c r="D27" s="320" t="e">
        <f t="shared" si="2"/>
        <v>#REF!</v>
      </c>
      <c r="E27" s="320" t="e">
        <f t="shared" si="3"/>
        <v>#REF!</v>
      </c>
      <c r="F27" s="320" t="e">
        <f t="shared" si="4"/>
        <v>#REF!</v>
      </c>
      <c r="G27" s="320" t="e">
        <f t="shared" si="5"/>
        <v>#REF!</v>
      </c>
      <c r="H27" s="320" t="e">
        <f t="shared" si="6"/>
        <v>#REF!</v>
      </c>
      <c r="I27" s="320">
        <f t="shared" si="7"/>
        <v>101.51853726821165</v>
      </c>
      <c r="J27" s="320" t="e">
        <f t="shared" si="8"/>
        <v>#REF!</v>
      </c>
      <c r="K27" s="320">
        <f t="shared" si="9"/>
        <v>487.11991868062501</v>
      </c>
      <c r="L27" s="320" t="e">
        <f t="shared" si="10"/>
        <v>#REF!</v>
      </c>
      <c r="M27" s="320" t="e">
        <f t="shared" si="11"/>
        <v>#REF!</v>
      </c>
    </row>
    <row r="28" spans="1:13">
      <c r="A28" s="133">
        <f t="shared" si="0"/>
        <v>2041</v>
      </c>
      <c r="B28" s="320">
        <f t="shared" si="12"/>
        <v>69.51341698697145</v>
      </c>
      <c r="C28" s="320" t="e">
        <f t="shared" si="1"/>
        <v>#REF!</v>
      </c>
      <c r="D28" s="320" t="e">
        <f t="shared" si="2"/>
        <v>#REF!</v>
      </c>
      <c r="E28" s="320" t="e">
        <f t="shared" si="3"/>
        <v>#REF!</v>
      </c>
      <c r="F28" s="320" t="e">
        <f t="shared" si="4"/>
        <v>#REF!</v>
      </c>
      <c r="G28" s="320" t="e">
        <f t="shared" si="5"/>
        <v>#REF!</v>
      </c>
      <c r="H28" s="320" t="e">
        <f t="shared" si="6"/>
        <v>#REF!</v>
      </c>
      <c r="I28" s="320">
        <f t="shared" si="7"/>
        <v>103.82808399106347</v>
      </c>
      <c r="J28" s="320" t="e">
        <f t="shared" si="8"/>
        <v>#REF!</v>
      </c>
      <c r="K28" s="320">
        <f t="shared" si="9"/>
        <v>498.20189683060926</v>
      </c>
      <c r="L28" s="320" t="e">
        <f t="shared" si="10"/>
        <v>#REF!</v>
      </c>
      <c r="M28" s="320" t="e">
        <f t="shared" si="11"/>
        <v>#REF!</v>
      </c>
    </row>
    <row r="29" spans="1:13">
      <c r="A29" s="133">
        <f t="shared" si="0"/>
        <v>2042</v>
      </c>
      <c r="B29" s="320">
        <f t="shared" si="12"/>
        <v>71.094847223425049</v>
      </c>
      <c r="C29" s="320" t="e">
        <f t="shared" si="1"/>
        <v>#REF!</v>
      </c>
      <c r="D29" s="320" t="e">
        <f t="shared" si="2"/>
        <v>#REF!</v>
      </c>
      <c r="E29" s="320" t="e">
        <f t="shared" si="3"/>
        <v>#REF!</v>
      </c>
      <c r="F29" s="320" t="e">
        <f t="shared" si="4"/>
        <v>#REF!</v>
      </c>
      <c r="G29" s="320" t="e">
        <f t="shared" si="5"/>
        <v>#REF!</v>
      </c>
      <c r="H29" s="320" t="e">
        <f t="shared" si="6"/>
        <v>#REF!</v>
      </c>
      <c r="I29" s="320">
        <f t="shared" si="7"/>
        <v>106.19017290186017</v>
      </c>
      <c r="J29" s="320" t="e">
        <f t="shared" si="8"/>
        <v>#REF!</v>
      </c>
      <c r="K29" s="320">
        <f t="shared" si="9"/>
        <v>509.53598998350566</v>
      </c>
      <c r="L29" s="320" t="e">
        <f t="shared" si="10"/>
        <v>#REF!</v>
      </c>
      <c r="M29" s="320" t="e">
        <f t="shared" si="11"/>
        <v>#REF!</v>
      </c>
    </row>
    <row r="30" spans="1:13">
      <c r="A30" s="133">
        <f t="shared" si="0"/>
        <v>2043</v>
      </c>
      <c r="B30" s="320">
        <f t="shared" si="12"/>
        <v>72.712254997757967</v>
      </c>
      <c r="C30" s="320" t="e">
        <f t="shared" si="1"/>
        <v>#REF!</v>
      </c>
      <c r="D30" s="320" t="e">
        <f t="shared" si="2"/>
        <v>#REF!</v>
      </c>
      <c r="E30" s="320" t="e">
        <f t="shared" si="3"/>
        <v>#REF!</v>
      </c>
      <c r="F30" s="320" t="e">
        <f t="shared" si="4"/>
        <v>#REF!</v>
      </c>
      <c r="G30" s="320" t="e">
        <f t="shared" si="5"/>
        <v>#REF!</v>
      </c>
      <c r="H30" s="320" t="e">
        <f t="shared" si="6"/>
        <v>#REF!</v>
      </c>
      <c r="I30" s="320">
        <f t="shared" si="7"/>
        <v>108.60599933537749</v>
      </c>
      <c r="J30" s="320" t="e">
        <f t="shared" si="8"/>
        <v>#REF!</v>
      </c>
      <c r="K30" s="320">
        <f t="shared" si="9"/>
        <v>521.12793375563047</v>
      </c>
      <c r="L30" s="320" t="e">
        <f t="shared" si="10"/>
        <v>#REF!</v>
      </c>
      <c r="M30" s="320" t="e">
        <f t="shared" si="11"/>
        <v>#REF!</v>
      </c>
    </row>
    <row r="31" spans="1:13">
      <c r="A31" s="133">
        <f t="shared" si="0"/>
        <v>2044</v>
      </c>
      <c r="B31" s="320">
        <f t="shared" si="12"/>
        <v>74.36645879895697</v>
      </c>
      <c r="C31" s="320" t="e">
        <f t="shared" si="1"/>
        <v>#REF!</v>
      </c>
      <c r="D31" s="320" t="e">
        <f t="shared" si="2"/>
        <v>#REF!</v>
      </c>
      <c r="E31" s="320" t="e">
        <f t="shared" si="3"/>
        <v>#REF!</v>
      </c>
      <c r="F31" s="320" t="e">
        <f t="shared" si="4"/>
        <v>#REF!</v>
      </c>
      <c r="G31" s="320" t="e">
        <f t="shared" si="5"/>
        <v>#REF!</v>
      </c>
      <c r="H31" s="320" t="e">
        <f t="shared" si="6"/>
        <v>#REF!</v>
      </c>
      <c r="I31" s="320">
        <f t="shared" si="7"/>
        <v>111.07678582025733</v>
      </c>
      <c r="J31" s="320" t="e">
        <f t="shared" si="8"/>
        <v>#REF!</v>
      </c>
      <c r="K31" s="320">
        <f t="shared" si="9"/>
        <v>532.98359424857108</v>
      </c>
      <c r="L31" s="320" t="e">
        <f t="shared" si="10"/>
        <v>#REF!</v>
      </c>
      <c r="M31" s="320" t="e">
        <f t="shared" si="11"/>
        <v>#REF!</v>
      </c>
    </row>
    <row r="32" spans="1:13">
      <c r="A32" s="133">
        <f t="shared" si="0"/>
        <v>2045</v>
      </c>
      <c r="B32" s="320">
        <f t="shared" si="12"/>
        <v>76.058295736633241</v>
      </c>
      <c r="C32" s="320" t="e">
        <f t="shared" si="1"/>
        <v>#REF!</v>
      </c>
      <c r="D32" s="320" t="e">
        <f t="shared" si="2"/>
        <v>#REF!</v>
      </c>
      <c r="E32" s="320" t="e">
        <f t="shared" si="3"/>
        <v>#REF!</v>
      </c>
      <c r="F32" s="320" t="e">
        <f t="shared" si="4"/>
        <v>#REF!</v>
      </c>
      <c r="G32" s="320" t="e">
        <f t="shared" si="5"/>
        <v>#REF!</v>
      </c>
      <c r="H32" s="320" t="e">
        <f t="shared" si="6"/>
        <v>#REF!</v>
      </c>
      <c r="I32" s="320">
        <f t="shared" si="7"/>
        <v>113.60378269766819</v>
      </c>
      <c r="J32" s="320" t="e">
        <f t="shared" si="8"/>
        <v>#REF!</v>
      </c>
      <c r="K32" s="320">
        <f t="shared" si="9"/>
        <v>545.10897101772605</v>
      </c>
      <c r="L32" s="320" t="e">
        <f t="shared" si="10"/>
        <v>#REF!</v>
      </c>
      <c r="M32" s="320" t="e">
        <f t="shared" si="11"/>
        <v>#REF!</v>
      </c>
    </row>
    <row r="33" spans="1:13">
      <c r="A33" s="133">
        <f t="shared" si="0"/>
        <v>2046</v>
      </c>
      <c r="B33" s="320">
        <f t="shared" si="12"/>
        <v>77.788621964641649</v>
      </c>
      <c r="C33" s="320" t="e">
        <f t="shared" si="1"/>
        <v>#REF!</v>
      </c>
      <c r="D33" s="320" t="e">
        <f t="shared" si="2"/>
        <v>#REF!</v>
      </c>
      <c r="E33" s="320" t="e">
        <f t="shared" si="3"/>
        <v>#REF!</v>
      </c>
      <c r="F33" s="320" t="e">
        <f t="shared" si="4"/>
        <v>#REF!</v>
      </c>
      <c r="G33" s="320" t="e">
        <f t="shared" si="5"/>
        <v>#REF!</v>
      </c>
      <c r="H33" s="320" t="e">
        <f t="shared" si="6"/>
        <v>#REF!</v>
      </c>
      <c r="I33" s="320">
        <f t="shared" si="7"/>
        <v>116.18826875404015</v>
      </c>
      <c r="J33" s="320" t="e">
        <f t="shared" si="8"/>
        <v>#REF!</v>
      </c>
      <c r="K33" s="320">
        <f t="shared" si="9"/>
        <v>557.51020010837931</v>
      </c>
      <c r="L33" s="320" t="e">
        <f t="shared" si="10"/>
        <v>#REF!</v>
      </c>
      <c r="M33" s="320" t="e">
        <f t="shared" si="11"/>
        <v>#REF!</v>
      </c>
    </row>
    <row r="34" spans="1:13">
      <c r="A34" s="133">
        <f t="shared" si="0"/>
        <v>2047</v>
      </c>
      <c r="B34" s="320">
        <f t="shared" si="12"/>
        <v>79.558313114337253</v>
      </c>
      <c r="C34" s="320" t="e">
        <f t="shared" si="1"/>
        <v>#REF!</v>
      </c>
      <c r="D34" s="320" t="e">
        <f t="shared" si="2"/>
        <v>#REF!</v>
      </c>
      <c r="E34" s="320" t="e">
        <f t="shared" si="3"/>
        <v>#REF!</v>
      </c>
      <c r="F34" s="320" t="e">
        <f t="shared" si="4"/>
        <v>#REF!</v>
      </c>
      <c r="G34" s="320" t="e">
        <f t="shared" si="5"/>
        <v>#REF!</v>
      </c>
      <c r="H34" s="320" t="e">
        <f t="shared" si="6"/>
        <v>#REF!</v>
      </c>
      <c r="I34" s="320">
        <f t="shared" si="7"/>
        <v>118.83155186819457</v>
      </c>
      <c r="J34" s="320" t="e">
        <f t="shared" si="8"/>
        <v>#REF!</v>
      </c>
      <c r="K34" s="320">
        <f t="shared" si="9"/>
        <v>570.19355716084499</v>
      </c>
      <c r="L34" s="320" t="e">
        <f t="shared" si="10"/>
        <v>#REF!</v>
      </c>
      <c r="M34" s="320" t="e">
        <f t="shared" si="11"/>
        <v>#REF!</v>
      </c>
    </row>
    <row r="35" spans="1:13">
      <c r="A35" s="133">
        <f t="shared" si="0"/>
        <v>2048</v>
      </c>
      <c r="B35" s="320">
        <f t="shared" si="12"/>
        <v>81.368264737688435</v>
      </c>
      <c r="C35" s="320" t="e">
        <f t="shared" si="1"/>
        <v>#REF!</v>
      </c>
      <c r="D35" s="320" t="e">
        <f t="shared" si="2"/>
        <v>#REF!</v>
      </c>
      <c r="E35" s="320" t="e">
        <f t="shared" si="3"/>
        <v>#REF!</v>
      </c>
      <c r="F35" s="320" t="e">
        <f t="shared" si="4"/>
        <v>#REF!</v>
      </c>
      <c r="G35" s="320" t="e">
        <f t="shared" si="5"/>
        <v>#REF!</v>
      </c>
      <c r="H35" s="320" t="e">
        <f t="shared" si="6"/>
        <v>#REF!</v>
      </c>
      <c r="I35" s="320">
        <f t="shared" si="7"/>
        <v>121.534969673196</v>
      </c>
      <c r="J35" s="320" t="e">
        <f t="shared" si="8"/>
        <v>#REF!</v>
      </c>
      <c r="K35" s="320">
        <f t="shared" si="9"/>
        <v>583.1654605862542</v>
      </c>
      <c r="L35" s="320" t="e">
        <f t="shared" si="10"/>
        <v>#REF!</v>
      </c>
      <c r="M35" s="320" t="e">
        <f t="shared" si="11"/>
        <v>#REF!</v>
      </c>
    </row>
    <row r="36" spans="1:13">
      <c r="A36" s="133">
        <f t="shared" si="0"/>
        <v>2049</v>
      </c>
      <c r="B36" s="320">
        <f t="shared" si="12"/>
        <v>83.219392760470853</v>
      </c>
      <c r="C36" s="320" t="e">
        <f t="shared" si="1"/>
        <v>#REF!</v>
      </c>
      <c r="D36" s="320" t="e">
        <f t="shared" si="2"/>
        <v>#REF!</v>
      </c>
      <c r="E36" s="320" t="e">
        <f t="shared" si="3"/>
        <v>#REF!</v>
      </c>
      <c r="F36" s="320" t="e">
        <f t="shared" si="4"/>
        <v>#REF!</v>
      </c>
      <c r="G36" s="320" t="e">
        <f t="shared" si="5"/>
        <v>#REF!</v>
      </c>
      <c r="H36" s="320" t="e">
        <f t="shared" si="6"/>
        <v>#REF!</v>
      </c>
      <c r="I36" s="320">
        <f t="shared" si="7"/>
        <v>124.29989023326122</v>
      </c>
      <c r="J36" s="320" t="e">
        <f t="shared" si="8"/>
        <v>#REF!</v>
      </c>
      <c r="K36" s="320">
        <f t="shared" si="9"/>
        <v>596.4324748145915</v>
      </c>
      <c r="L36" s="320" t="e">
        <f t="shared" si="10"/>
        <v>#REF!</v>
      </c>
      <c r="M36" s="320" t="e">
        <f t="shared" si="11"/>
        <v>#REF!</v>
      </c>
    </row>
    <row r="37" spans="1:13">
      <c r="A37" s="133">
        <f t="shared" si="0"/>
        <v>2050</v>
      </c>
      <c r="B37" s="320">
        <f t="shared" si="12"/>
        <v>85.112633945771563</v>
      </c>
      <c r="C37" s="320" t="e">
        <f t="shared" si="1"/>
        <v>#REF!</v>
      </c>
      <c r="D37" s="320" t="e">
        <f t="shared" si="2"/>
        <v>#REF!</v>
      </c>
      <c r="E37" s="320" t="e">
        <f t="shared" si="3"/>
        <v>#REF!</v>
      </c>
      <c r="F37" s="320" t="e">
        <f t="shared" si="4"/>
        <v>#REF!</v>
      </c>
      <c r="G37" s="320" t="e">
        <f t="shared" si="5"/>
        <v>#REF!</v>
      </c>
      <c r="H37" s="320" t="e">
        <f t="shared" si="6"/>
        <v>#REF!</v>
      </c>
      <c r="I37" s="320">
        <f t="shared" si="7"/>
        <v>127.12771273606792</v>
      </c>
      <c r="J37" s="320" t="e">
        <f t="shared" si="8"/>
        <v>#REF!</v>
      </c>
      <c r="K37" s="320">
        <f t="shared" si="9"/>
        <v>610.00131361662352</v>
      </c>
      <c r="L37" s="320" t="e">
        <f t="shared" si="10"/>
        <v>#REF!</v>
      </c>
      <c r="M37" s="320" t="e">
        <f t="shared" si="11"/>
        <v>#REF!</v>
      </c>
    </row>
    <row r="38" spans="1:13">
      <c r="A38" s="133">
        <f t="shared" si="0"/>
        <v>2051</v>
      </c>
      <c r="B38" s="320">
        <f t="shared" si="12"/>
        <v>87.048946368037875</v>
      </c>
      <c r="C38" s="320" t="e">
        <f t="shared" si="1"/>
        <v>#REF!</v>
      </c>
      <c r="D38" s="320" t="e">
        <f t="shared" si="2"/>
        <v>#REF!</v>
      </c>
      <c r="E38" s="320" t="e">
        <f t="shared" si="3"/>
        <v>#REF!</v>
      </c>
      <c r="F38" s="320" t="e">
        <f t="shared" si="4"/>
        <v>#REF!</v>
      </c>
      <c r="G38" s="320" t="e">
        <f t="shared" si="5"/>
        <v>#REF!</v>
      </c>
      <c r="H38" s="320" t="e">
        <f t="shared" si="6"/>
        <v>#REF!</v>
      </c>
      <c r="I38" s="320">
        <f t="shared" si="7"/>
        <v>130.01986820081348</v>
      </c>
      <c r="J38" s="320" t="e">
        <f t="shared" si="8"/>
        <v>#REF!</v>
      </c>
      <c r="K38" s="320">
        <f t="shared" si="9"/>
        <v>623.87884350140178</v>
      </c>
      <c r="L38" s="320" t="e">
        <f t="shared" si="10"/>
        <v>#REF!</v>
      </c>
      <c r="M38" s="320" t="e">
        <f t="shared" si="11"/>
        <v>#REF!</v>
      </c>
    </row>
    <row r="39" spans="1:13">
      <c r="A39" s="133">
        <f t="shared" si="0"/>
        <v>2052</v>
      </c>
      <c r="B39" s="320">
        <f t="shared" si="12"/>
        <v>89.029309897910736</v>
      </c>
      <c r="C39" s="320" t="e">
        <f t="shared" si="1"/>
        <v>#REF!</v>
      </c>
      <c r="D39" s="320" t="e">
        <f t="shared" si="2"/>
        <v>#REF!</v>
      </c>
      <c r="E39" s="320" t="e">
        <f t="shared" si="3"/>
        <v>#REF!</v>
      </c>
      <c r="F39" s="320" t="e">
        <f t="shared" si="4"/>
        <v>#REF!</v>
      </c>
      <c r="G39" s="320" t="e">
        <f t="shared" si="5"/>
        <v>#REF!</v>
      </c>
      <c r="H39" s="320" t="e">
        <f t="shared" si="6"/>
        <v>#REF!</v>
      </c>
      <c r="I39" s="320">
        <f t="shared" si="7"/>
        <v>132.97782020238199</v>
      </c>
      <c r="J39" s="320" t="e">
        <f t="shared" si="8"/>
        <v>#REF!</v>
      </c>
      <c r="K39" s="320">
        <f t="shared" si="9"/>
        <v>638.0720871910587</v>
      </c>
      <c r="L39" s="320" t="e">
        <f t="shared" si="10"/>
        <v>#REF!</v>
      </c>
      <c r="M39" s="320" t="e">
        <f t="shared" si="11"/>
        <v>#REF!</v>
      </c>
    </row>
    <row r="40" spans="1:13">
      <c r="A40" s="133">
        <f t="shared" si="0"/>
        <v>2053</v>
      </c>
      <c r="B40" s="320">
        <f t="shared" si="12"/>
        <v>91.054726698088203</v>
      </c>
      <c r="C40" s="320" t="e">
        <f t="shared" si="1"/>
        <v>#REF!</v>
      </c>
      <c r="D40" s="320" t="e">
        <f t="shared" si="2"/>
        <v>#REF!</v>
      </c>
      <c r="E40" s="320" t="e">
        <f t="shared" si="3"/>
        <v>#REF!</v>
      </c>
      <c r="F40" s="320" t="e">
        <f t="shared" si="4"/>
        <v>#REF!</v>
      </c>
      <c r="G40" s="320" t="e">
        <f t="shared" si="5"/>
        <v>#REF!</v>
      </c>
      <c r="H40" s="320" t="e">
        <f t="shared" si="6"/>
        <v>#REF!</v>
      </c>
      <c r="I40" s="320">
        <f t="shared" si="7"/>
        <v>136.00306561198619</v>
      </c>
      <c r="J40" s="320" t="e">
        <f t="shared" si="8"/>
        <v>#REF!</v>
      </c>
      <c r="K40" s="320">
        <f t="shared" si="9"/>
        <v>652.58822717465534</v>
      </c>
      <c r="L40" s="320" t="e">
        <f t="shared" si="10"/>
        <v>#REF!</v>
      </c>
      <c r="M40" s="320" t="e">
        <f t="shared" si="11"/>
        <v>#REF!</v>
      </c>
    </row>
    <row r="41" spans="1:13">
      <c r="A41" s="133">
        <f t="shared" si="0"/>
        <v>2054</v>
      </c>
      <c r="B41" s="320"/>
      <c r="C41" s="320" t="e">
        <f t="shared" ref="C41:C46" si="13">C40*(1+$N$14)</f>
        <v>#REF!</v>
      </c>
      <c r="D41" s="320"/>
      <c r="E41" s="320"/>
      <c r="F41" s="320"/>
      <c r="G41" s="320"/>
      <c r="H41" s="320" t="e">
        <f t="shared" ref="H41:H45" si="14">H40*(1+$N$14)</f>
        <v>#REF!</v>
      </c>
      <c r="I41" s="320"/>
      <c r="J41" s="320" t="e">
        <f t="shared" ref="J41:J46" si="15">J40*(1+$N$14)</f>
        <v>#REF!</v>
      </c>
      <c r="K41" s="320">
        <f>K40*(1+$N$14)</f>
        <v>667.43460934287873</v>
      </c>
      <c r="L41" s="320" t="e">
        <f>L40*(1+$N$14)</f>
        <v>#REF!</v>
      </c>
      <c r="M41" s="320" t="e">
        <f t="shared" si="11"/>
        <v>#REF!</v>
      </c>
    </row>
    <row r="42" spans="1:13">
      <c r="A42" s="133">
        <f t="shared" si="0"/>
        <v>2055</v>
      </c>
      <c r="B42" s="320"/>
      <c r="C42" s="320" t="e">
        <f t="shared" si="13"/>
        <v>#REF!</v>
      </c>
      <c r="D42" s="320"/>
      <c r="E42" s="320"/>
      <c r="F42" s="320"/>
      <c r="G42" s="320"/>
      <c r="H42" s="320" t="e">
        <f t="shared" si="14"/>
        <v>#REF!</v>
      </c>
      <c r="I42" s="320"/>
      <c r="J42" s="320" t="e">
        <f t="shared" si="15"/>
        <v>#REF!</v>
      </c>
      <c r="K42" s="320">
        <f>K41*(1+$N$14)</f>
        <v>682.6187467054292</v>
      </c>
      <c r="L42" s="320" t="e">
        <f>L41*(1+$N$14)</f>
        <v>#REF!</v>
      </c>
      <c r="M42" s="320" t="e">
        <f t="shared" si="11"/>
        <v>#REF!</v>
      </c>
    </row>
    <row r="43" spans="1:13">
      <c r="A43" s="133">
        <f t="shared" si="0"/>
        <v>2056</v>
      </c>
      <c r="B43" s="320"/>
      <c r="C43" s="320" t="e">
        <f t="shared" si="13"/>
        <v>#REF!</v>
      </c>
      <c r="D43" s="320"/>
      <c r="E43" s="320"/>
      <c r="F43" s="320"/>
      <c r="G43" s="320"/>
      <c r="H43" s="320" t="e">
        <f t="shared" si="14"/>
        <v>#REF!</v>
      </c>
      <c r="I43" s="320"/>
      <c r="J43" s="320" t="e">
        <f t="shared" si="15"/>
        <v>#REF!</v>
      </c>
      <c r="K43" s="325"/>
      <c r="L43" s="320" t="e">
        <f>L42*(1+$N$14)</f>
        <v>#REF!</v>
      </c>
      <c r="M43" s="320" t="e">
        <f t="shared" si="11"/>
        <v>#REF!</v>
      </c>
    </row>
    <row r="44" spans="1:13">
      <c r="A44" s="133">
        <f t="shared" si="0"/>
        <v>2057</v>
      </c>
      <c r="B44" s="320"/>
      <c r="C44" s="320" t="e">
        <f t="shared" si="13"/>
        <v>#REF!</v>
      </c>
      <c r="D44" s="320"/>
      <c r="E44" s="320"/>
      <c r="F44" s="320"/>
      <c r="G44" s="320"/>
      <c r="H44" s="320" t="e">
        <f t="shared" si="14"/>
        <v>#REF!</v>
      </c>
      <c r="I44" s="320"/>
      <c r="J44" s="320" t="e">
        <f t="shared" si="15"/>
        <v>#REF!</v>
      </c>
      <c r="K44" s="325"/>
      <c r="L44" s="320" t="e">
        <f>L43*(1+$N$14)</f>
        <v>#REF!</v>
      </c>
      <c r="M44" s="320" t="e">
        <f t="shared" si="11"/>
        <v>#REF!</v>
      </c>
    </row>
    <row r="45" spans="1:13">
      <c r="A45" s="133">
        <f t="shared" si="0"/>
        <v>2058</v>
      </c>
      <c r="B45" s="320"/>
      <c r="C45" s="320" t="e">
        <f t="shared" si="13"/>
        <v>#REF!</v>
      </c>
      <c r="D45" s="320"/>
      <c r="E45" s="320"/>
      <c r="F45" s="320"/>
      <c r="G45" s="320"/>
      <c r="H45" s="320" t="e">
        <f t="shared" si="14"/>
        <v>#REF!</v>
      </c>
      <c r="I45" s="320"/>
      <c r="J45" s="320" t="e">
        <f t="shared" si="15"/>
        <v>#REF!</v>
      </c>
      <c r="K45" s="325"/>
      <c r="L45" s="320" t="e">
        <f>L44*(1+$N$14)</f>
        <v>#REF!</v>
      </c>
      <c r="M45" s="320" t="e">
        <f t="shared" si="11"/>
        <v>#REF!</v>
      </c>
    </row>
    <row r="46" spans="1:13">
      <c r="A46" s="133">
        <f t="shared" si="0"/>
        <v>2059</v>
      </c>
      <c r="B46" s="320"/>
      <c r="C46" s="320" t="e">
        <f t="shared" si="13"/>
        <v>#REF!</v>
      </c>
      <c r="D46" s="320"/>
      <c r="E46" s="320"/>
      <c r="F46" s="320"/>
      <c r="G46" s="320"/>
      <c r="H46" s="320"/>
      <c r="I46" s="320"/>
      <c r="J46" s="320" t="e">
        <f t="shared" si="15"/>
        <v>#REF!</v>
      </c>
      <c r="K46" s="325"/>
      <c r="L46" s="325"/>
      <c r="M46" s="320" t="e">
        <f t="shared" si="11"/>
        <v>#REF!</v>
      </c>
    </row>
    <row r="47" spans="1:13">
      <c r="A47" s="133">
        <f t="shared" ref="A47:A48" si="16">A46+1</f>
        <v>2060</v>
      </c>
      <c r="B47" s="320"/>
      <c r="C47" s="320" t="e">
        <f t="shared" ref="C47:C48" si="17">C46*(1+$N$14)</f>
        <v>#REF!</v>
      </c>
      <c r="D47" s="320"/>
      <c r="E47" s="320"/>
      <c r="F47" s="320"/>
      <c r="G47" s="320"/>
      <c r="H47" s="320"/>
      <c r="I47" s="320"/>
      <c r="J47" s="320"/>
      <c r="K47" s="325"/>
      <c r="L47" s="325"/>
      <c r="M47" s="320" t="e">
        <f t="shared" ref="M47:M48" si="18">M46*(1+$N$14)</f>
        <v>#REF!</v>
      </c>
    </row>
    <row r="48" spans="1:13">
      <c r="A48" s="133">
        <f t="shared" si="16"/>
        <v>2061</v>
      </c>
      <c r="B48" s="320"/>
      <c r="C48" s="320" t="e">
        <f t="shared" si="17"/>
        <v>#REF!</v>
      </c>
      <c r="D48" s="320"/>
      <c r="E48" s="320"/>
      <c r="F48" s="320"/>
      <c r="G48" s="320"/>
      <c r="H48" s="320"/>
      <c r="I48" s="320"/>
      <c r="J48" s="320"/>
      <c r="K48" s="325"/>
      <c r="L48" s="325"/>
      <c r="M48" s="320" t="e">
        <f t="shared" si="18"/>
        <v>#REF!</v>
      </c>
    </row>
    <row r="49" spans="1:13" ht="12" customHeight="1">
      <c r="A49" s="133"/>
    </row>
    <row r="50" spans="1:13" ht="12" customHeight="1">
      <c r="A50" s="321" t="s">
        <v>131</v>
      </c>
      <c r="B50" s="322">
        <f>PMT(Discount_Rate,30,-NPV(Discount_Rate,Table3ACsummary!B$11:B$40))</f>
        <v>44.043433473808903</v>
      </c>
      <c r="C50" s="322" t="e">
        <f>PMT(Discount_Rate,30,-NPV(Discount_Rate,Table3ACsummary!C$17:C$46))</f>
        <v>#REF!</v>
      </c>
      <c r="D50" s="322" t="e">
        <f>PMT(Discount_Rate,30,-NPV(Discount_Rate,Table3ACsummary!D$11:D$40))</f>
        <v>#REF!</v>
      </c>
      <c r="E50" s="322" t="e">
        <f>PMT(Discount_Rate,30,-NPV(Discount_Rate,Table3ACsummary!E$11:E$40))</f>
        <v>#REF!</v>
      </c>
      <c r="F50" s="322" t="e">
        <f>PMT(Discount_Rate,30,-NPV(Discount_Rate,Table3ACsummary!F$11:F$40))</f>
        <v>#REF!</v>
      </c>
      <c r="G50" s="322" t="e">
        <f>PMT(Discount_Rate,30,-NPV(Discount_Rate,Table3ACsummary!G$11:G$40))</f>
        <v>#REF!</v>
      </c>
      <c r="H50" s="322" t="e">
        <f>PMT(Discount_Rate,30,-NPV(Discount_Rate,Table3ACsummary!H$16:H$45))</f>
        <v>#REF!</v>
      </c>
      <c r="I50" s="322">
        <f>PMT(Discount_Rate,30,-NPV(Discount_Rate,Table3ACsummary!I$11:I$40))</f>
        <v>79.847204615211268</v>
      </c>
      <c r="J50" s="322" t="e">
        <f>PMT(Discount_Rate,30,-NPV(Discount_Rate,Table3ACsummary!J$11:J$40))</f>
        <v>#REF!</v>
      </c>
      <c r="K50" s="322">
        <f>PMT(Discount_Rate,30,-NPV(Discount_Rate,Table3ACsummary!K$13:K$42))</f>
        <v>329.82023917053118</v>
      </c>
      <c r="L50" s="322" t="e">
        <f>PMT(Discount_Rate,30,-NPV(Discount_Rate,Table3ACsummary!L$16:L$45))</f>
        <v>#REF!</v>
      </c>
      <c r="M50" s="322" t="e">
        <f>PMT(Discount_Rate,30,-NPV(Discount_Rate,Table3ACsummary!M$19:M$48))</f>
        <v>#REF!</v>
      </c>
    </row>
    <row r="51" spans="1:13" ht="12" customHeight="1">
      <c r="A51" s="133"/>
    </row>
    <row r="52" spans="1:13">
      <c r="A52" s="133"/>
    </row>
    <row r="53" spans="1:13">
      <c r="A53" s="133"/>
    </row>
    <row r="54" spans="1:13">
      <c r="A54" s="133"/>
    </row>
    <row r="55" spans="1:13">
      <c r="A55" s="133"/>
    </row>
    <row r="56" spans="1:13">
      <c r="A56" s="133"/>
    </row>
    <row r="57" spans="1:13">
      <c r="A57" s="133"/>
    </row>
    <row r="58" spans="1:13">
      <c r="A58" s="133"/>
    </row>
    <row r="59" spans="1:13">
      <c r="A59" s="133"/>
    </row>
    <row r="60" spans="1:13">
      <c r="A60" s="133"/>
    </row>
    <row r="61" spans="1:13">
      <c r="A61" s="133"/>
    </row>
    <row r="62" spans="1:13">
      <c r="A62" s="133"/>
    </row>
    <row r="63" spans="1:13">
      <c r="A63" s="133"/>
    </row>
    <row r="64" spans="1:13">
      <c r="A64" s="133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77"/>
  <sheetViews>
    <sheetView tabSelected="1" view="pageBreakPreview" topLeftCell="A2" zoomScale="40" zoomScaleNormal="70" zoomScaleSheetLayoutView="40" workbookViewId="0">
      <pane xSplit="2" ySplit="11" topLeftCell="C13" activePane="bottomRight" state="frozen"/>
      <selection activeCell="F11" sqref="F11"/>
      <selection pane="topRight" activeCell="F11" sqref="F11"/>
      <selection pane="bottomLeft" activeCell="F11" sqref="F11"/>
      <selection pane="bottomRight" activeCell="F11" sqref="F11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38.25">
      <c r="B4" s="83" t="str">
        <f ca="1">'Table 1'!B5</f>
        <v>Utah 2022.Q3 - 100.0 MW and 100.0% CF</v>
      </c>
      <c r="C4" s="83"/>
      <c r="D4" s="83"/>
      <c r="E4" s="83"/>
      <c r="F4" s="83"/>
      <c r="G4" s="83"/>
      <c r="K4" s="56">
        <f>MIN(K13:K24)</f>
        <v>44927</v>
      </c>
      <c r="M4" s="352" t="s">
        <v>258</v>
      </c>
      <c r="P4" s="207" t="s">
        <v>199</v>
      </c>
      <c r="Q4" s="207" t="s">
        <v>200</v>
      </c>
      <c r="R4" s="207" t="s">
        <v>154</v>
      </c>
      <c r="S4" s="207" t="s">
        <v>227</v>
      </c>
    </row>
    <row r="5" spans="1:19">
      <c r="B5" s="83" t="str">
        <f>TEXT($K$5,"MMMM YYYY")&amp;"  through  "&amp;TEXT($K$6,"MMMM YYYY")</f>
        <v>January 2023  through  December 2037</v>
      </c>
      <c r="C5" s="83"/>
      <c r="D5" s="83"/>
      <c r="E5" s="83"/>
      <c r="F5" s="83"/>
      <c r="G5" s="83"/>
      <c r="J5" s="56" t="s">
        <v>38</v>
      </c>
      <c r="K5" s="180">
        <f>MIN(K13:K24)</f>
        <v>44927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0">
        <f>EDATE(K5,15*12-1)</f>
        <v>50375</v>
      </c>
      <c r="M6" s="57">
        <v>100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41"/>
      <c r="G7" s="91"/>
      <c r="M7" s="342">
        <f ca="1">SUM(OFFSET(F12,MATCH(K5,B13:B24,0),0,12))/(EDATE(K5,12)-K5)/24/Study_MW</f>
        <v>1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 Update</v>
      </c>
    </row>
    <row r="9" spans="1:19">
      <c r="A9" s="107" t="str">
        <f>S4</f>
        <v>15 Year</v>
      </c>
      <c r="C9" s="58">
        <f ca="1">NPV($K$9,INDIRECT("C"&amp;$S$5&amp;":C"&amp;$S$6))</f>
        <v>371763165.88443583</v>
      </c>
      <c r="D9" s="58">
        <f ca="1">NPV($K$9,INDIRECT("d"&amp;$S$5&amp;":d"&amp;$S$6))</f>
        <v>41475709.527409859</v>
      </c>
      <c r="E9" s="58">
        <f ca="1">NPV($K$9,INDIRECT("e"&amp;$S$5&amp;":e"&amp;$S$6))</f>
        <v>413238875.41184556</v>
      </c>
      <c r="F9" s="341">
        <f ca="1">NPV($K$9,INDIRECT("f"&amp;$S$5&amp;":f"&amp;$S$6))</f>
        <v>8294847.6621627575</v>
      </c>
      <c r="G9" s="91">
        <f ca="1">($C9+D9)/$F9</f>
        <v>49.81874197604008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41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100.0% CF</v>
      </c>
      <c r="E12" s="66" t="s">
        <v>50</v>
      </c>
      <c r="F12" s="67" t="s">
        <v>46</v>
      </c>
      <c r="G12" s="65" t="str">
        <f>D12</f>
        <v>100.0%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44927</v>
      </c>
      <c r="C13" s="69">
        <v>6722448.2090011835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6722448.2090011835</v>
      </c>
      <c r="F13" s="69">
        <v>74400</v>
      </c>
      <c r="G13" s="72">
        <f t="shared" ref="G13:G17" si="1">IF(ISNUMBER($F13),E13/$F13,"")</f>
        <v>90.355486680123434</v>
      </c>
      <c r="I13" s="60">
        <v>1</v>
      </c>
      <c r="J13" s="73">
        <f>YEAR(B13)</f>
        <v>2023</v>
      </c>
      <c r="K13" s="74">
        <f t="shared" ref="K13:K24" si="2">IF(ISNUMBER(F13),B13,"")</f>
        <v>44927</v>
      </c>
      <c r="L13" s="56">
        <v>386</v>
      </c>
      <c r="M13" s="56" t="s">
        <v>49</v>
      </c>
    </row>
    <row r="14" spans="1:19">
      <c r="B14" s="78">
        <f t="shared" ref="B14:B77" si="3">EDATE(B13,1)</f>
        <v>44958</v>
      </c>
      <c r="C14" s="75">
        <v>3295975.3397709727</v>
      </c>
      <c r="D14" s="71">
        <f>IF(ISNUMBER($F14),VLOOKUP($J14,'Table 1'!$B$13:$C$33,2,FALSE)/12*1000*Study_MW,"")</f>
        <v>0</v>
      </c>
      <c r="E14" s="71">
        <f t="shared" si="0"/>
        <v>3295975.3397709727</v>
      </c>
      <c r="F14" s="75">
        <v>67200</v>
      </c>
      <c r="G14" s="76">
        <f t="shared" si="1"/>
        <v>49.047252079925187</v>
      </c>
      <c r="I14" s="77">
        <f>I13+1</f>
        <v>2</v>
      </c>
      <c r="J14" s="73">
        <f t="shared" ref="J14:J77" si="4">YEAR(B14)</f>
        <v>2023</v>
      </c>
      <c r="K14" s="78">
        <f t="shared" si="2"/>
        <v>44958</v>
      </c>
      <c r="L14" s="56">
        <v>505</v>
      </c>
      <c r="M14" s="90" t="s">
        <v>257</v>
      </c>
    </row>
    <row r="15" spans="1:19">
      <c r="B15" s="78">
        <f t="shared" si="3"/>
        <v>44986</v>
      </c>
      <c r="C15" s="75">
        <v>2680640.4893174767</v>
      </c>
      <c r="D15" s="71">
        <f>IF(ISNUMBER($F15),VLOOKUP($J15,'Table 1'!$B$13:$C$33,2,FALSE)/12*1000*Study_MW,"")</f>
        <v>0</v>
      </c>
      <c r="E15" s="71">
        <f t="shared" si="0"/>
        <v>2680640.4893174767</v>
      </c>
      <c r="F15" s="75">
        <v>74400</v>
      </c>
      <c r="G15" s="76">
        <f t="shared" si="1"/>
        <v>36.030114103729524</v>
      </c>
      <c r="I15" s="77">
        <f t="shared" ref="I15:I24" si="5">I14+1</f>
        <v>3</v>
      </c>
      <c r="J15" s="73">
        <f t="shared" si="4"/>
        <v>2023</v>
      </c>
      <c r="K15" s="78">
        <f t="shared" si="2"/>
        <v>44986</v>
      </c>
    </row>
    <row r="16" spans="1:19">
      <c r="B16" s="78">
        <f t="shared" si="3"/>
        <v>45017</v>
      </c>
      <c r="C16" s="75">
        <v>2370045.2500367612</v>
      </c>
      <c r="D16" s="71">
        <f>IF(ISNUMBER($F16),VLOOKUP($J16,'Table 1'!$B$13:$C$33,2,FALSE)/12*1000*Study_MW,"")</f>
        <v>0</v>
      </c>
      <c r="E16" s="71">
        <f t="shared" si="0"/>
        <v>2370045.2500367612</v>
      </c>
      <c r="F16" s="75">
        <v>72000</v>
      </c>
      <c r="G16" s="76">
        <f t="shared" si="1"/>
        <v>32.917295139399464</v>
      </c>
      <c r="I16" s="77">
        <f t="shared" si="5"/>
        <v>4</v>
      </c>
      <c r="J16" s="73">
        <f t="shared" si="4"/>
        <v>2023</v>
      </c>
      <c r="K16" s="78">
        <f t="shared" si="2"/>
        <v>45017</v>
      </c>
      <c r="L16" s="73">
        <f>YEAR(B13)</f>
        <v>2023</v>
      </c>
      <c r="M16" s="56">
        <f>SUMIF($J$13:$J$264,L16,$C$13:$C$264)</f>
        <v>50585155.824793026</v>
      </c>
      <c r="N16" s="56">
        <f>SUMIF($J$13:$J$264,L16,$D$13:$D$264)</f>
        <v>0</v>
      </c>
      <c r="O16" s="56">
        <f t="shared" ref="O16:O25" si="6">SUMIF($J$13:$J$264,L16,$F$13:$F$264)</f>
        <v>876000</v>
      </c>
      <c r="P16" s="112">
        <f t="shared" ref="P16:P25" si="7">(M16+N16)/O16</f>
        <v>57.74561167213816</v>
      </c>
      <c r="Q16" s="159">
        <f>M16/O16</f>
        <v>57.74561167213816</v>
      </c>
      <c r="R16" s="159">
        <f>IFERROR(N16/O16,0)</f>
        <v>0</v>
      </c>
    </row>
    <row r="17" spans="2:20">
      <c r="B17" s="78">
        <f t="shared" si="3"/>
        <v>45047</v>
      </c>
      <c r="C17" s="75">
        <v>2006610.5448462367</v>
      </c>
      <c r="D17" s="71">
        <f>IF(ISNUMBER($F17),VLOOKUP($J17,'Table 1'!$B$13:$C$33,2,FALSE)/12*1000*Study_MW,"")</f>
        <v>0</v>
      </c>
      <c r="E17" s="71">
        <f t="shared" si="0"/>
        <v>2006610.5448462367</v>
      </c>
      <c r="F17" s="75">
        <v>74400</v>
      </c>
      <c r="G17" s="76">
        <f t="shared" si="1"/>
        <v>26.970571839331139</v>
      </c>
      <c r="I17" s="77">
        <f t="shared" si="5"/>
        <v>5</v>
      </c>
      <c r="J17" s="73">
        <f t="shared" si="4"/>
        <v>2023</v>
      </c>
      <c r="K17" s="78">
        <f t="shared" si="2"/>
        <v>45047</v>
      </c>
      <c r="L17" s="73">
        <f>L16+1</f>
        <v>2024</v>
      </c>
      <c r="M17" s="56">
        <f>SUMIF($J$13:$J$264,L17,$C$13:$C$264)</f>
        <v>55083017.772744283</v>
      </c>
      <c r="N17" s="56">
        <f t="shared" ref="N17:N36" si="8">SUMIF($J$13:$J$264,L17,$D$13:$D$264)</f>
        <v>0</v>
      </c>
      <c r="O17" s="56">
        <f t="shared" si="6"/>
        <v>878400</v>
      </c>
      <c r="P17" s="112">
        <f t="shared" si="7"/>
        <v>62.708353566421088</v>
      </c>
      <c r="Q17" s="159">
        <f t="shared" ref="Q17:Q33" si="9">M17/O17</f>
        <v>62.708353566421088</v>
      </c>
      <c r="R17" s="159">
        <f t="shared" ref="R17:R33" si="10">IFERROR(N17/O17,0)</f>
        <v>0</v>
      </c>
    </row>
    <row r="18" spans="2:20">
      <c r="B18" s="78">
        <f t="shared" si="3"/>
        <v>45078</v>
      </c>
      <c r="C18" s="75">
        <v>2611145.8030797243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2611145.8030797243</v>
      </c>
      <c r="F18" s="75">
        <v>72000</v>
      </c>
      <c r="G18" s="76">
        <f t="shared" ref="G18:G19" si="12">IF(ISNUMBER($F18),E18/$F18,"")</f>
        <v>36.265913931662837</v>
      </c>
      <c r="I18" s="77">
        <f t="shared" si="5"/>
        <v>6</v>
      </c>
      <c r="J18" s="73">
        <f t="shared" si="4"/>
        <v>2023</v>
      </c>
      <c r="K18" s="78">
        <f t="shared" si="2"/>
        <v>45078</v>
      </c>
      <c r="L18" s="73">
        <f t="shared" ref="L18:L42" si="13">L17+1</f>
        <v>2025</v>
      </c>
      <c r="M18" s="56">
        <f t="shared" ref="M18:M36" si="14">SUMIF($J$13:$J$264,L18,$C$13:$C$264)</f>
        <v>41126680.101702541</v>
      </c>
      <c r="N18" s="56">
        <f t="shared" si="8"/>
        <v>0</v>
      </c>
      <c r="O18" s="56">
        <f t="shared" si="6"/>
        <v>876000</v>
      </c>
      <c r="P18" s="112">
        <f t="shared" si="7"/>
        <v>46.948264956281442</v>
      </c>
      <c r="Q18" s="159">
        <f t="shared" si="9"/>
        <v>46.948264956281442</v>
      </c>
      <c r="R18" s="159">
        <f t="shared" si="10"/>
        <v>0</v>
      </c>
    </row>
    <row r="19" spans="2:20">
      <c r="B19" s="78">
        <f t="shared" si="3"/>
        <v>45108</v>
      </c>
      <c r="C19" s="75">
        <v>10135961.005653143</v>
      </c>
      <c r="D19" s="71">
        <f>IF(ISNUMBER($F19),VLOOKUP($J19,'Table 1'!$B$13:$C$33,2,FALSE)/12*1000*Study_MW,"")</f>
        <v>0</v>
      </c>
      <c r="E19" s="71">
        <f t="shared" si="11"/>
        <v>10135961.005653143</v>
      </c>
      <c r="F19" s="75">
        <v>74400</v>
      </c>
      <c r="G19" s="76">
        <f t="shared" si="12"/>
        <v>136.23603502221965</v>
      </c>
      <c r="I19" s="77">
        <f t="shared" si="5"/>
        <v>7</v>
      </c>
      <c r="J19" s="73">
        <f t="shared" si="4"/>
        <v>2023</v>
      </c>
      <c r="K19" s="78">
        <f t="shared" si="2"/>
        <v>45108</v>
      </c>
      <c r="L19" s="73">
        <f t="shared" si="13"/>
        <v>2026</v>
      </c>
      <c r="M19" s="56">
        <f t="shared" si="14"/>
        <v>43933547.084232777</v>
      </c>
      <c r="N19" s="56">
        <f t="shared" si="8"/>
        <v>0</v>
      </c>
      <c r="O19" s="56">
        <f t="shared" si="6"/>
        <v>876000</v>
      </c>
      <c r="P19" s="112">
        <f t="shared" si="7"/>
        <v>50.152451009398149</v>
      </c>
      <c r="Q19" s="159">
        <f t="shared" si="9"/>
        <v>50.152451009398149</v>
      </c>
      <c r="R19" s="159">
        <f t="shared" si="10"/>
        <v>0</v>
      </c>
    </row>
    <row r="20" spans="2:20">
      <c r="B20" s="78">
        <f t="shared" si="3"/>
        <v>45139</v>
      </c>
      <c r="C20" s="75">
        <v>5674554.8021139652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5674554.8021139652</v>
      </c>
      <c r="F20" s="75">
        <v>74400</v>
      </c>
      <c r="G20" s="76">
        <f t="shared" ref="G20:G77" si="16">IF(ISNUMBER($F20),E20/$F20,"")</f>
        <v>76.270897877875882</v>
      </c>
      <c r="I20" s="77">
        <f t="shared" si="5"/>
        <v>8</v>
      </c>
      <c r="J20" s="73">
        <f t="shared" si="4"/>
        <v>2023</v>
      </c>
      <c r="K20" s="78">
        <f t="shared" si="2"/>
        <v>45139</v>
      </c>
      <c r="L20" s="73">
        <f t="shared" si="13"/>
        <v>2027</v>
      </c>
      <c r="M20" s="56">
        <f t="shared" si="14"/>
        <v>40337345.850984037</v>
      </c>
      <c r="N20" s="56">
        <f t="shared" si="8"/>
        <v>0</v>
      </c>
      <c r="O20" s="56">
        <f t="shared" si="6"/>
        <v>876000</v>
      </c>
      <c r="P20" s="112">
        <f t="shared" si="7"/>
        <v>46.047198460027438</v>
      </c>
      <c r="Q20" s="159">
        <f t="shared" si="9"/>
        <v>46.047198460027438</v>
      </c>
      <c r="R20" s="159">
        <f t="shared" si="10"/>
        <v>0</v>
      </c>
    </row>
    <row r="21" spans="2:20">
      <c r="B21" s="78">
        <f t="shared" si="3"/>
        <v>45170</v>
      </c>
      <c r="C21" s="75">
        <v>4356540.8005415648</v>
      </c>
      <c r="D21" s="71">
        <f>IF(ISNUMBER($F21),VLOOKUP($J21,'Table 1'!$B$13:$C$33,2,FALSE)/12*1000*Study_MW,"")</f>
        <v>0</v>
      </c>
      <c r="E21" s="71">
        <f t="shared" si="15"/>
        <v>4356540.8005415648</v>
      </c>
      <c r="F21" s="75">
        <v>72000</v>
      </c>
      <c r="G21" s="76">
        <f t="shared" si="16"/>
        <v>60.507511118632841</v>
      </c>
      <c r="I21" s="77">
        <f t="shared" si="5"/>
        <v>9</v>
      </c>
      <c r="J21" s="73">
        <f t="shared" si="4"/>
        <v>2023</v>
      </c>
      <c r="K21" s="78">
        <f t="shared" si="2"/>
        <v>45170</v>
      </c>
      <c r="L21" s="73">
        <f t="shared" si="13"/>
        <v>2028</v>
      </c>
      <c r="M21" s="56">
        <f t="shared" si="14"/>
        <v>39295425.501917824</v>
      </c>
      <c r="N21" s="56">
        <f t="shared" si="8"/>
        <v>0</v>
      </c>
      <c r="O21" s="56">
        <f t="shared" si="6"/>
        <v>878400</v>
      </c>
      <c r="P21" s="112">
        <f t="shared" si="7"/>
        <v>44.735229396536688</v>
      </c>
      <c r="Q21" s="159">
        <f t="shared" si="9"/>
        <v>44.735229396536688</v>
      </c>
      <c r="R21" s="159">
        <f t="shared" si="10"/>
        <v>0</v>
      </c>
    </row>
    <row r="22" spans="2:20">
      <c r="B22" s="78">
        <f t="shared" si="3"/>
        <v>45200</v>
      </c>
      <c r="C22" s="75">
        <v>3735547.3334783316</v>
      </c>
      <c r="D22" s="71">
        <f>IF(ISNUMBER($F22),VLOOKUP($J22,'Table 1'!$B$13:$C$33,2,FALSE)/12*1000*Study_MW,"")</f>
        <v>0</v>
      </c>
      <c r="E22" s="71">
        <f t="shared" si="15"/>
        <v>3735547.3334783316</v>
      </c>
      <c r="F22" s="75">
        <v>74400</v>
      </c>
      <c r="G22" s="76">
        <f t="shared" si="16"/>
        <v>50.208969535999081</v>
      </c>
      <c r="I22" s="77">
        <f t="shared" si="5"/>
        <v>10</v>
      </c>
      <c r="J22" s="73">
        <f t="shared" si="4"/>
        <v>2023</v>
      </c>
      <c r="K22" s="78">
        <f t="shared" si="2"/>
        <v>45200</v>
      </c>
      <c r="L22" s="73">
        <f t="shared" si="13"/>
        <v>2029</v>
      </c>
      <c r="M22" s="56">
        <f t="shared" si="14"/>
        <v>39463878.632983923</v>
      </c>
      <c r="N22" s="56">
        <f t="shared" si="8"/>
        <v>0</v>
      </c>
      <c r="O22" s="56">
        <f t="shared" si="6"/>
        <v>876000</v>
      </c>
      <c r="P22" s="112">
        <f t="shared" si="7"/>
        <v>45.050089763680276</v>
      </c>
      <c r="Q22" s="159">
        <f t="shared" si="9"/>
        <v>45.050089763680276</v>
      </c>
      <c r="R22" s="159">
        <f t="shared" si="10"/>
        <v>0</v>
      </c>
    </row>
    <row r="23" spans="2:20">
      <c r="B23" s="78">
        <f t="shared" si="3"/>
        <v>45231</v>
      </c>
      <c r="C23" s="75">
        <v>3203797.6455994248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3203797.6455994248</v>
      </c>
      <c r="F23" s="75">
        <v>72000</v>
      </c>
      <c r="G23" s="76">
        <f t="shared" ref="G23" si="18">IF(ISNUMBER($F23),E23/$F23,"")</f>
        <v>44.497189522214235</v>
      </c>
      <c r="I23" s="77">
        <f t="shared" si="5"/>
        <v>11</v>
      </c>
      <c r="J23" s="73">
        <f t="shared" si="4"/>
        <v>2023</v>
      </c>
      <c r="K23" s="78">
        <f t="shared" si="2"/>
        <v>45231</v>
      </c>
      <c r="L23" s="73">
        <f t="shared" si="13"/>
        <v>2030</v>
      </c>
      <c r="M23" s="56">
        <f t="shared" si="14"/>
        <v>36138735.81639792</v>
      </c>
      <c r="N23" s="56">
        <f t="shared" si="8"/>
        <v>0</v>
      </c>
      <c r="O23" s="56">
        <f t="shared" si="6"/>
        <v>876000</v>
      </c>
      <c r="P23" s="112">
        <f t="shared" si="7"/>
        <v>41.25426463059123</v>
      </c>
      <c r="Q23" s="159">
        <f t="shared" si="9"/>
        <v>41.25426463059123</v>
      </c>
      <c r="R23" s="159">
        <f t="shared" si="10"/>
        <v>0</v>
      </c>
      <c r="T23" s="41"/>
    </row>
    <row r="24" spans="2:20">
      <c r="B24" s="82">
        <f t="shared" si="3"/>
        <v>45261</v>
      </c>
      <c r="C24" s="79">
        <v>3791888.6013542414</v>
      </c>
      <c r="D24" s="80">
        <f>IF(F24&lt;&gt;0,VLOOKUP($J24,'Table 1'!$B$13:$C$33,2,FALSE)/12*1000*Study_MW,0)</f>
        <v>0</v>
      </c>
      <c r="E24" s="80">
        <f t="shared" ref="E24" si="19">IF(ISNUMBER(C24+D24),C24+D24,"")</f>
        <v>3791888.6013542414</v>
      </c>
      <c r="F24" s="79">
        <v>74400</v>
      </c>
      <c r="G24" s="81">
        <f t="shared" ref="G24" si="20">IF(ISNUMBER($F24),E24/$F24,"")</f>
        <v>50.966244641858083</v>
      </c>
      <c r="I24" s="64">
        <f t="shared" si="5"/>
        <v>12</v>
      </c>
      <c r="J24" s="73">
        <f t="shared" si="4"/>
        <v>2023</v>
      </c>
      <c r="K24" s="82">
        <f t="shared" si="2"/>
        <v>45261</v>
      </c>
      <c r="L24" s="73">
        <f t="shared" si="13"/>
        <v>2031</v>
      </c>
      <c r="M24" s="56">
        <f t="shared" si="14"/>
        <v>30456533.952776462</v>
      </c>
      <c r="N24" s="56">
        <f t="shared" si="8"/>
        <v>11928815.572074085</v>
      </c>
      <c r="O24" s="56">
        <f t="shared" si="6"/>
        <v>876000</v>
      </c>
      <c r="P24" s="112">
        <f t="shared" si="7"/>
        <v>48.385102197317977</v>
      </c>
      <c r="Q24" s="159">
        <f t="shared" si="9"/>
        <v>34.767732822804177</v>
      </c>
      <c r="R24" s="159">
        <f t="shared" si="10"/>
        <v>13.617369374513796</v>
      </c>
    </row>
    <row r="25" spans="2:20" hidden="1" outlineLevel="1">
      <c r="B25" s="74">
        <f t="shared" si="3"/>
        <v>45292</v>
      </c>
      <c r="C25" s="69">
        <v>5993909.1219163537</v>
      </c>
      <c r="D25" s="70">
        <f>IF(F25&lt;&gt;0,VLOOKUP($J25,'Table 1'!$B$13:$C$33,2,FALSE)/12*1000*Study_MW,0)</f>
        <v>0</v>
      </c>
      <c r="E25" s="70">
        <f t="shared" ref="E25:E77" si="21">C25+D25</f>
        <v>5993909.1219163537</v>
      </c>
      <c r="F25" s="69">
        <v>74400</v>
      </c>
      <c r="G25" s="72">
        <f t="shared" si="16"/>
        <v>80.563294649413351</v>
      </c>
      <c r="I25" s="60">
        <f>I13+13</f>
        <v>14</v>
      </c>
      <c r="J25" s="73">
        <f t="shared" si="4"/>
        <v>2024</v>
      </c>
      <c r="K25" s="74">
        <f>IF(ISNUMBER(F25),IF(F25&lt;&gt;0,B25,""),"")</f>
        <v>45292</v>
      </c>
      <c r="L25" s="73">
        <f t="shared" si="13"/>
        <v>2032</v>
      </c>
      <c r="M25" s="56">
        <f t="shared" si="14"/>
        <v>29722080.297645673</v>
      </c>
      <c r="N25" s="56">
        <f t="shared" si="8"/>
        <v>12185224.839400427</v>
      </c>
      <c r="O25" s="56">
        <f t="shared" si="6"/>
        <v>878400</v>
      </c>
      <c r="P25" s="112">
        <f t="shared" si="7"/>
        <v>47.708680711573429</v>
      </c>
      <c r="Q25" s="159">
        <f t="shared" si="9"/>
        <v>33.836612360707733</v>
      </c>
      <c r="R25" s="159">
        <f t="shared" si="10"/>
        <v>13.872068350865696</v>
      </c>
    </row>
    <row r="26" spans="2:20" hidden="1" outlineLevel="1">
      <c r="B26" s="78">
        <f t="shared" si="3"/>
        <v>45323</v>
      </c>
      <c r="C26" s="75">
        <v>3942292.9643368125</v>
      </c>
      <c r="D26" s="71">
        <f>IF(F26&lt;&gt;0,VLOOKUP($J26,'Table 1'!$B$13:$C$33,2,FALSE)/12*1000*Study_MW,0)</f>
        <v>0</v>
      </c>
      <c r="E26" s="71">
        <f t="shared" si="21"/>
        <v>3942292.9643368125</v>
      </c>
      <c r="F26" s="75">
        <v>69600</v>
      </c>
      <c r="G26" s="76">
        <f t="shared" si="16"/>
        <v>56.642140292195585</v>
      </c>
      <c r="I26" s="77">
        <f t="shared" ref="I26:I89" si="22">I14+13</f>
        <v>15</v>
      </c>
      <c r="J26" s="73">
        <f t="shared" si="4"/>
        <v>2024</v>
      </c>
      <c r="K26" s="78">
        <f t="shared" ref="K26:K89" si="23">IF(ISNUMBER(F26),IF(F26&lt;&gt;0,B26,""),"")</f>
        <v>45323</v>
      </c>
      <c r="L26" s="73">
        <f t="shared" si="13"/>
        <v>2033</v>
      </c>
      <c r="M26" s="56">
        <f t="shared" si="14"/>
        <v>29451658.528764203</v>
      </c>
      <c r="N26" s="56">
        <f t="shared" si="8"/>
        <v>12447537.473233404</v>
      </c>
      <c r="O26" s="56">
        <f>SUMIF($J$13:$J$264,L26,$F$13:$F$264)</f>
        <v>876000</v>
      </c>
      <c r="P26" s="112">
        <f>(M26+N26)/O26</f>
        <v>47.830132422371697</v>
      </c>
      <c r="Q26" s="159">
        <f t="shared" si="9"/>
        <v>33.620614758863248</v>
      </c>
      <c r="R26" s="159">
        <f t="shared" si="10"/>
        <v>14.209517663508452</v>
      </c>
    </row>
    <row r="27" spans="2:20" hidden="1" outlineLevel="1">
      <c r="B27" s="78">
        <f t="shared" si="3"/>
        <v>45352</v>
      </c>
      <c r="C27" s="75">
        <v>3574497.7379103303</v>
      </c>
      <c r="D27" s="71">
        <f>IF(F27&lt;&gt;0,VLOOKUP($J27,'Table 1'!$B$13:$C$33,2,FALSE)/12*1000*Study_MW,0)</f>
        <v>0</v>
      </c>
      <c r="E27" s="71">
        <f t="shared" si="21"/>
        <v>3574497.7379103303</v>
      </c>
      <c r="F27" s="75">
        <v>74400</v>
      </c>
      <c r="G27" s="76">
        <f t="shared" si="16"/>
        <v>48.044324434278636</v>
      </c>
      <c r="I27" s="77">
        <f t="shared" si="22"/>
        <v>16</v>
      </c>
      <c r="J27" s="73">
        <f t="shared" si="4"/>
        <v>2024</v>
      </c>
      <c r="K27" s="78">
        <f t="shared" si="23"/>
        <v>45352</v>
      </c>
      <c r="L27" s="73">
        <f t="shared" si="13"/>
        <v>2034</v>
      </c>
      <c r="M27" s="56">
        <f t="shared" si="14"/>
        <v>27886143.217520207</v>
      </c>
      <c r="N27" s="56">
        <f t="shared" si="8"/>
        <v>12716274.089935763</v>
      </c>
      <c r="O27" s="56">
        <f t="shared" ref="O27:O31" si="24">SUMIF($J$13:$J$264,L27,$F$13:$F$264)</f>
        <v>876000</v>
      </c>
      <c r="P27" s="112">
        <f t="shared" ref="P27:P31" si="25">(M27+N27)/O27</f>
        <v>46.349791446867549</v>
      </c>
      <c r="Q27" s="159">
        <f t="shared" si="9"/>
        <v>31.833496823653203</v>
      </c>
      <c r="R27" s="159">
        <f t="shared" si="10"/>
        <v>14.516294623214341</v>
      </c>
    </row>
    <row r="28" spans="2:20" hidden="1" outlineLevel="1">
      <c r="B28" s="78">
        <f t="shared" si="3"/>
        <v>45383</v>
      </c>
      <c r="C28" s="75">
        <v>2557538.59928146</v>
      </c>
      <c r="D28" s="71">
        <f>IF(F28&lt;&gt;0,VLOOKUP($J28,'Table 1'!$B$13:$C$33,2,FALSE)/12*1000*Study_MW,0)</f>
        <v>0</v>
      </c>
      <c r="E28" s="71">
        <f t="shared" si="21"/>
        <v>2557538.59928146</v>
      </c>
      <c r="F28" s="75">
        <v>72000</v>
      </c>
      <c r="G28" s="76">
        <f t="shared" si="16"/>
        <v>35.521369434464724</v>
      </c>
      <c r="I28" s="77">
        <f t="shared" si="22"/>
        <v>17</v>
      </c>
      <c r="J28" s="73">
        <f t="shared" si="4"/>
        <v>2024</v>
      </c>
      <c r="K28" s="78">
        <f t="shared" si="23"/>
        <v>45383</v>
      </c>
      <c r="L28" s="73">
        <f t="shared" si="13"/>
        <v>2035</v>
      </c>
      <c r="M28" s="56">
        <f t="shared" si="14"/>
        <v>29017459.620273367</v>
      </c>
      <c r="N28" s="56">
        <f t="shared" si="8"/>
        <v>12990364.025695929</v>
      </c>
      <c r="O28" s="56">
        <f t="shared" si="24"/>
        <v>876000</v>
      </c>
      <c r="P28" s="112">
        <f t="shared" si="25"/>
        <v>47.954136582156728</v>
      </c>
      <c r="Q28" s="159">
        <f t="shared" si="9"/>
        <v>33.124953904421652</v>
      </c>
      <c r="R28" s="159">
        <f t="shared" si="10"/>
        <v>14.82918267773508</v>
      </c>
    </row>
    <row r="29" spans="2:20" hidden="1" outlineLevel="1">
      <c r="B29" s="78">
        <f t="shared" si="3"/>
        <v>45413</v>
      </c>
      <c r="C29" s="75">
        <v>2240885.179550007</v>
      </c>
      <c r="D29" s="71">
        <f>IF(F29&lt;&gt;0,VLOOKUP($J29,'Table 1'!$B$13:$C$33,2,FALSE)/12*1000*Study_MW,0)</f>
        <v>0</v>
      </c>
      <c r="E29" s="71">
        <f t="shared" si="21"/>
        <v>2240885.179550007</v>
      </c>
      <c r="F29" s="75">
        <v>74400</v>
      </c>
      <c r="G29" s="76">
        <f t="shared" si="16"/>
        <v>30.119424456317297</v>
      </c>
      <c r="I29" s="77">
        <f t="shared" si="22"/>
        <v>18</v>
      </c>
      <c r="J29" s="73">
        <f t="shared" si="4"/>
        <v>2024</v>
      </c>
      <c r="K29" s="78">
        <f t="shared" si="23"/>
        <v>45413</v>
      </c>
      <c r="L29" s="73">
        <f t="shared" si="13"/>
        <v>2036</v>
      </c>
      <c r="M29" s="56">
        <f t="shared" si="14"/>
        <v>31047216.525029078</v>
      </c>
      <c r="N29" s="56">
        <f t="shared" si="8"/>
        <v>13269807.280513914</v>
      </c>
      <c r="O29" s="56">
        <f t="shared" si="24"/>
        <v>878400</v>
      </c>
      <c r="P29" s="112">
        <f t="shared" si="25"/>
        <v>50.451985206674628</v>
      </c>
      <c r="Q29" s="159">
        <f t="shared" si="9"/>
        <v>35.345191854541298</v>
      </c>
      <c r="R29" s="159">
        <f t="shared" si="10"/>
        <v>15.106793352133327</v>
      </c>
    </row>
    <row r="30" spans="2:20" hidden="1" outlineLevel="1">
      <c r="B30" s="78">
        <f t="shared" si="3"/>
        <v>45444</v>
      </c>
      <c r="C30" s="75">
        <v>2675035.3173179328</v>
      </c>
      <c r="D30" s="71">
        <f>IF(F30&lt;&gt;0,VLOOKUP($J30,'Table 1'!$B$13:$C$33,2,FALSE)/12*1000*Study_MW,0)</f>
        <v>0</v>
      </c>
      <c r="E30" s="71">
        <f t="shared" si="21"/>
        <v>2675035.3173179328</v>
      </c>
      <c r="F30" s="75">
        <v>72000</v>
      </c>
      <c r="G30" s="76">
        <f t="shared" si="16"/>
        <v>37.153268296082402</v>
      </c>
      <c r="I30" s="77">
        <f t="shared" si="22"/>
        <v>19</v>
      </c>
      <c r="J30" s="73">
        <f t="shared" si="4"/>
        <v>2024</v>
      </c>
      <c r="K30" s="78">
        <f t="shared" si="23"/>
        <v>45444</v>
      </c>
      <c r="L30" s="73">
        <f t="shared" si="13"/>
        <v>2037</v>
      </c>
      <c r="M30" s="56">
        <f t="shared" si="14"/>
        <v>37528230.807724029</v>
      </c>
      <c r="N30" s="56">
        <f t="shared" si="8"/>
        <v>13555674.518201286</v>
      </c>
      <c r="O30" s="56">
        <f t="shared" si="24"/>
        <v>876000</v>
      </c>
      <c r="P30" s="112">
        <f t="shared" si="25"/>
        <v>58.314960417722958</v>
      </c>
      <c r="Q30" s="159">
        <f t="shared" si="9"/>
        <v>42.840446127538847</v>
      </c>
      <c r="R30" s="159">
        <f t="shared" si="10"/>
        <v>15.474514290184116</v>
      </c>
    </row>
    <row r="31" spans="2:20" hidden="1" outlineLevel="1">
      <c r="B31" s="78">
        <f t="shared" si="3"/>
        <v>45474</v>
      </c>
      <c r="C31" s="75">
        <v>9945335.6687398255</v>
      </c>
      <c r="D31" s="71">
        <f>IF(F31&lt;&gt;0,VLOOKUP($J31,'Table 1'!$B$13:$C$33,2,FALSE)/12*1000*Study_MW,0)</f>
        <v>0</v>
      </c>
      <c r="E31" s="71">
        <f t="shared" si="21"/>
        <v>9945335.6687398255</v>
      </c>
      <c r="F31" s="75">
        <v>74400</v>
      </c>
      <c r="G31" s="76">
        <f t="shared" si="16"/>
        <v>133.67386651532024</v>
      </c>
      <c r="I31" s="77">
        <f t="shared" si="22"/>
        <v>20</v>
      </c>
      <c r="J31" s="73">
        <f t="shared" si="4"/>
        <v>2024</v>
      </c>
      <c r="K31" s="78">
        <f t="shared" si="23"/>
        <v>45474</v>
      </c>
      <c r="L31" s="73">
        <f t="shared" si="13"/>
        <v>2038</v>
      </c>
      <c r="M31" s="56">
        <f t="shared" si="14"/>
        <v>38216384.641937807</v>
      </c>
      <c r="N31" s="56">
        <f t="shared" si="8"/>
        <v>13846895.074946461</v>
      </c>
      <c r="O31" s="56">
        <f t="shared" si="24"/>
        <v>876000</v>
      </c>
      <c r="P31" s="112">
        <f t="shared" si="25"/>
        <v>59.432967713338208</v>
      </c>
      <c r="Q31" s="159">
        <f t="shared" si="9"/>
        <v>43.626009865225811</v>
      </c>
      <c r="R31" s="159">
        <f t="shared" si="10"/>
        <v>15.806957848112399</v>
      </c>
    </row>
    <row r="32" spans="2:20" hidden="1" outlineLevel="1">
      <c r="B32" s="78">
        <f t="shared" si="3"/>
        <v>45505</v>
      </c>
      <c r="C32" s="75">
        <v>7042821.2466030419</v>
      </c>
      <c r="D32" s="71">
        <f>IF(F32&lt;&gt;0,VLOOKUP($J32,'Table 1'!$B$13:$C$33,2,FALSE)/12*1000*Study_MW,0)</f>
        <v>0</v>
      </c>
      <c r="E32" s="71">
        <f t="shared" si="21"/>
        <v>7042821.2466030419</v>
      </c>
      <c r="F32" s="75">
        <v>74400</v>
      </c>
      <c r="G32" s="76">
        <f t="shared" si="16"/>
        <v>94.661575895202176</v>
      </c>
      <c r="I32" s="77">
        <f t="shared" si="22"/>
        <v>21</v>
      </c>
      <c r="J32" s="73">
        <f t="shared" si="4"/>
        <v>2024</v>
      </c>
      <c r="K32" s="78">
        <f t="shared" si="23"/>
        <v>45505</v>
      </c>
      <c r="L32" s="73">
        <f t="shared" si="13"/>
        <v>2039</v>
      </c>
      <c r="M32" s="56">
        <f t="shared" si="14"/>
        <v>38024954.891379625</v>
      </c>
      <c r="N32" s="56">
        <f t="shared" si="8"/>
        <v>14145610.278372595</v>
      </c>
      <c r="O32" s="56">
        <f t="shared" ref="O32:O35" si="26">SUMIF($J$13:$J$264,L32,$F$13:$F$264)</f>
        <v>876000</v>
      </c>
      <c r="P32" s="112">
        <f t="shared" ref="P32:P34" si="27">(M32+N32)/O32</f>
        <v>59.555439691497966</v>
      </c>
      <c r="Q32" s="159">
        <f t="shared" si="9"/>
        <v>43.407482752716469</v>
      </c>
      <c r="R32" s="159">
        <f t="shared" si="10"/>
        <v>16.147956938781501</v>
      </c>
    </row>
    <row r="33" spans="2:20" hidden="1" outlineLevel="1">
      <c r="B33" s="78">
        <f t="shared" si="3"/>
        <v>45536</v>
      </c>
      <c r="C33" s="75">
        <v>5417652.6908884943</v>
      </c>
      <c r="D33" s="71">
        <f>IF(F33&lt;&gt;0,VLOOKUP($J33,'Table 1'!$B$13:$C$33,2,FALSE)/12*1000*Study_MW,0)</f>
        <v>0</v>
      </c>
      <c r="E33" s="71">
        <f t="shared" si="21"/>
        <v>5417652.6908884943</v>
      </c>
      <c r="F33" s="75">
        <v>72000</v>
      </c>
      <c r="G33" s="76">
        <f t="shared" si="16"/>
        <v>75.245176262340195</v>
      </c>
      <c r="I33" s="77">
        <f t="shared" si="22"/>
        <v>22</v>
      </c>
      <c r="J33" s="73">
        <f t="shared" si="4"/>
        <v>2024</v>
      </c>
      <c r="K33" s="78">
        <f t="shared" si="23"/>
        <v>45536</v>
      </c>
      <c r="L33" s="73">
        <f t="shared" si="13"/>
        <v>2040</v>
      </c>
      <c r="M33" s="56">
        <f t="shared" si="14"/>
        <v>39526339.099291861</v>
      </c>
      <c r="N33" s="56">
        <f t="shared" si="8"/>
        <v>14450749.464668093</v>
      </c>
      <c r="O33" s="56">
        <f t="shared" si="26"/>
        <v>878400</v>
      </c>
      <c r="P33" s="112">
        <f t="shared" si="27"/>
        <v>61.44932668938975</v>
      </c>
      <c r="Q33" s="159">
        <f t="shared" si="9"/>
        <v>44.998109174967965</v>
      </c>
      <c r="R33" s="159">
        <f t="shared" si="10"/>
        <v>16.451217514421781</v>
      </c>
    </row>
    <row r="34" spans="2:20" hidden="1" outlineLevel="1">
      <c r="B34" s="78">
        <f t="shared" si="3"/>
        <v>45566</v>
      </c>
      <c r="C34" s="75">
        <v>3738504.2503755093</v>
      </c>
      <c r="D34" s="71">
        <f>IF(F34&lt;&gt;0,VLOOKUP($J34,'Table 1'!$B$13:$C$33,2,FALSE)/12*1000*Study_MW,0)</f>
        <v>0</v>
      </c>
      <c r="E34" s="71">
        <f t="shared" si="21"/>
        <v>3738504.2503755093</v>
      </c>
      <c r="F34" s="75">
        <v>74400</v>
      </c>
      <c r="G34" s="76">
        <f t="shared" si="16"/>
        <v>50.24871304268158</v>
      </c>
      <c r="I34" s="77">
        <f t="shared" si="22"/>
        <v>23</v>
      </c>
      <c r="J34" s="73">
        <f t="shared" si="4"/>
        <v>2024</v>
      </c>
      <c r="K34" s="78">
        <f t="shared" si="23"/>
        <v>45566</v>
      </c>
      <c r="L34" s="73">
        <f t="shared" si="13"/>
        <v>2041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2" t="e">
        <f t="shared" si="27"/>
        <v>#DIV/0!</v>
      </c>
      <c r="Q34" s="159" t="e">
        <f t="shared" ref="Q34" si="28">M34/O34</f>
        <v>#DIV/0!</v>
      </c>
      <c r="R34" s="159">
        <f t="shared" ref="R34" si="29">IFERROR(N34/O34,0)</f>
        <v>0</v>
      </c>
    </row>
    <row r="35" spans="2:20" hidden="1" outlineLevel="1">
      <c r="B35" s="78">
        <f t="shared" si="3"/>
        <v>45597</v>
      </c>
      <c r="C35" s="75">
        <v>3588113.5917505622</v>
      </c>
      <c r="D35" s="71">
        <f>IF(F35&lt;&gt;0,VLOOKUP($J35,'Table 1'!$B$13:$C$33,2,FALSE)/12*1000*Study_MW,0)</f>
        <v>0</v>
      </c>
      <c r="E35" s="71">
        <f t="shared" si="21"/>
        <v>3588113.5917505622</v>
      </c>
      <c r="F35" s="75">
        <v>72000</v>
      </c>
      <c r="G35" s="76">
        <f t="shared" si="16"/>
        <v>49.834910996535584</v>
      </c>
      <c r="I35" s="77">
        <f t="shared" si="22"/>
        <v>24</v>
      </c>
      <c r="J35" s="73">
        <f t="shared" si="4"/>
        <v>2024</v>
      </c>
      <c r="K35" s="78">
        <f t="shared" si="23"/>
        <v>45597</v>
      </c>
      <c r="L35" s="73">
        <f t="shared" si="13"/>
        <v>2042</v>
      </c>
      <c r="M35" s="56" t="e">
        <f t="shared" si="14"/>
        <v>#VALUE!</v>
      </c>
      <c r="N35" s="56">
        <f t="shared" si="8"/>
        <v>0</v>
      </c>
      <c r="O35" s="56">
        <f t="shared" si="26"/>
        <v>0</v>
      </c>
      <c r="P35" s="112" t="e">
        <f t="shared" ref="P35" si="30">(M35+N35)/O35</f>
        <v>#VALUE!</v>
      </c>
      <c r="Q35" s="159" t="e">
        <f t="shared" ref="Q35" si="31">M35/O35</f>
        <v>#VALUE!</v>
      </c>
      <c r="R35" s="159">
        <f t="shared" ref="R35" si="32">IFERROR(N35/O35,0)</f>
        <v>0</v>
      </c>
    </row>
    <row r="36" spans="2:20" hidden="1" outlineLevel="1">
      <c r="B36" s="82">
        <f t="shared" si="3"/>
        <v>45627</v>
      </c>
      <c r="C36" s="79">
        <v>4366431.4040739536</v>
      </c>
      <c r="D36" s="80">
        <f>IF(F36&lt;&gt;0,VLOOKUP($J36,'Table 1'!$B$13:$C$33,2,FALSE)/12*1000*Study_MW,0)</f>
        <v>0</v>
      </c>
      <c r="E36" s="80">
        <f t="shared" si="21"/>
        <v>4366431.4040739536</v>
      </c>
      <c r="F36" s="79">
        <v>74400</v>
      </c>
      <c r="G36" s="81">
        <f t="shared" si="16"/>
        <v>58.688594140778946</v>
      </c>
      <c r="I36" s="64">
        <f t="shared" si="22"/>
        <v>25</v>
      </c>
      <c r="J36" s="73">
        <f t="shared" si="4"/>
        <v>2024</v>
      </c>
      <c r="K36" s="82">
        <f t="shared" si="23"/>
        <v>45627</v>
      </c>
      <c r="L36" s="73">
        <f t="shared" si="13"/>
        <v>2043</v>
      </c>
      <c r="M36" s="56" t="e">
        <f t="shared" si="14"/>
        <v>#VALUE!</v>
      </c>
      <c r="N36" s="56">
        <f t="shared" si="8"/>
        <v>0</v>
      </c>
      <c r="O36" s="56">
        <f t="shared" ref="O36" si="33">SUMIF($J$13:$J$264,L36,$F$13:$F$264)</f>
        <v>0</v>
      </c>
      <c r="P36" s="112" t="e">
        <f t="shared" ref="P36" si="34">(M36+N36)/O36</f>
        <v>#VALUE!</v>
      </c>
      <c r="Q36" s="159" t="e">
        <f t="shared" ref="Q36" si="35">M36/O36</f>
        <v>#VALUE!</v>
      </c>
      <c r="R36" s="159">
        <f t="shared" ref="R36" si="36">IFERROR(N36/O36,0)</f>
        <v>0</v>
      </c>
    </row>
    <row r="37" spans="2:20" hidden="1" outlineLevel="1">
      <c r="B37" s="74">
        <f t="shared" si="3"/>
        <v>45658</v>
      </c>
      <c r="C37" s="69">
        <v>2388759.0769934058</v>
      </c>
      <c r="D37" s="70">
        <f>IF(F37&lt;&gt;0,VLOOKUP($J37,'Table 1'!$B$13:$C$33,2,FALSE)/12*1000*Study_MW,0)</f>
        <v>0</v>
      </c>
      <c r="E37" s="70">
        <f t="shared" si="21"/>
        <v>2388759.0769934058</v>
      </c>
      <c r="F37" s="69">
        <v>74400</v>
      </c>
      <c r="G37" s="72">
        <f t="shared" si="16"/>
        <v>32.106976841309219</v>
      </c>
      <c r="I37" s="60">
        <f>I25+13</f>
        <v>27</v>
      </c>
      <c r="J37" s="73">
        <f t="shared" si="4"/>
        <v>2025</v>
      </c>
      <c r="K37" s="74">
        <f t="shared" si="23"/>
        <v>45658</v>
      </c>
      <c r="L37" s="73">
        <f t="shared" si="13"/>
        <v>2044</v>
      </c>
      <c r="M37" s="56" t="e">
        <f>SUMIF($J$13:$J$276,L37,$C$13:$C$276)</f>
        <v>#VALUE!</v>
      </c>
      <c r="N37" s="56">
        <f>SUMIF($J$13:$J$276,L37,$D$13:$D$276)</f>
        <v>0</v>
      </c>
      <c r="O37" s="56">
        <f>SUMIF($J$13:$J$276,L37,$F$13:$F$276)</f>
        <v>0</v>
      </c>
      <c r="P37" s="112" t="e">
        <f t="shared" ref="P37" si="37">(M37+N37)/O37</f>
        <v>#VALUE!</v>
      </c>
      <c r="Q37" s="159" t="e">
        <f t="shared" ref="Q37" si="38">M37/O37</f>
        <v>#VALUE!</v>
      </c>
      <c r="R37" s="159">
        <f t="shared" ref="R37" si="39">IFERROR(N37/O37,0)</f>
        <v>0</v>
      </c>
    </row>
    <row r="38" spans="2:20" hidden="1" outlineLevel="1">
      <c r="B38" s="78">
        <f t="shared" si="3"/>
        <v>45689</v>
      </c>
      <c r="C38" s="75">
        <v>2557360.1493730843</v>
      </c>
      <c r="D38" s="71">
        <f>IF(F38&lt;&gt;0,VLOOKUP($J38,'Table 1'!$B$13:$C$33,2,FALSE)/12*1000*Study_MW,0)</f>
        <v>0</v>
      </c>
      <c r="E38" s="71">
        <f t="shared" si="21"/>
        <v>2557360.1493730843</v>
      </c>
      <c r="F38" s="75">
        <v>67200</v>
      </c>
      <c r="G38" s="76">
        <f t="shared" si="16"/>
        <v>38.055954603766132</v>
      </c>
      <c r="I38" s="77">
        <f t="shared" si="22"/>
        <v>28</v>
      </c>
      <c r="J38" s="73">
        <f t="shared" si="4"/>
        <v>2025</v>
      </c>
      <c r="K38" s="78">
        <f t="shared" si="23"/>
        <v>45689</v>
      </c>
      <c r="L38" s="73">
        <f t="shared" si="13"/>
        <v>2045</v>
      </c>
      <c r="M38" s="56">
        <f>SUMIF($J$13:$J$276,L38,$C$13:$C$276)</f>
        <v>0</v>
      </c>
      <c r="N38" s="56">
        <f>SUMIF($J$13:$J$276,L38,$D$13:$D$276)</f>
        <v>0</v>
      </c>
      <c r="O38" s="56">
        <f>SUMIF($J$13:$J$276,L38,$F$13:$F$276)</f>
        <v>0</v>
      </c>
      <c r="P38" s="112" t="e">
        <f t="shared" ref="P38:P41" si="40">(M38+N38)/O38</f>
        <v>#DIV/0!</v>
      </c>
      <c r="Q38" s="159" t="e">
        <f t="shared" ref="Q38:Q41" si="41">M38/O38</f>
        <v>#DIV/0!</v>
      </c>
      <c r="R38" s="159">
        <f t="shared" ref="R38:R41" si="42">IFERROR(N38/O38,0)</f>
        <v>0</v>
      </c>
    </row>
    <row r="39" spans="2:20" hidden="1" outlineLevel="1">
      <c r="B39" s="78">
        <f t="shared" si="3"/>
        <v>45717</v>
      </c>
      <c r="C39" s="75">
        <v>2582300.5358044505</v>
      </c>
      <c r="D39" s="71">
        <f>IF(F39&lt;&gt;0,VLOOKUP($J39,'Table 1'!$B$13:$C$33,2,FALSE)/12*1000*Study_MW,0)</f>
        <v>0</v>
      </c>
      <c r="E39" s="71">
        <f t="shared" si="21"/>
        <v>2582300.5358044505</v>
      </c>
      <c r="F39" s="75">
        <v>74400</v>
      </c>
      <c r="G39" s="76">
        <f t="shared" si="16"/>
        <v>34.708340535006059</v>
      </c>
      <c r="I39" s="77">
        <f t="shared" si="22"/>
        <v>29</v>
      </c>
      <c r="J39" s="73">
        <f t="shared" si="4"/>
        <v>2025</v>
      </c>
      <c r="K39" s="78">
        <f t="shared" si="23"/>
        <v>45717</v>
      </c>
      <c r="L39" s="73">
        <f t="shared" si="13"/>
        <v>2046</v>
      </c>
      <c r="M39" s="56">
        <f>SUMIF($J$13:$J$352,L39,$C$13:$C$352)</f>
        <v>0</v>
      </c>
      <c r="N39" s="56">
        <f>SUMIF($J$13:$J$352,L39,$D$13:$D$352)</f>
        <v>0</v>
      </c>
      <c r="O39" s="56">
        <f>SUMIF($J$13:$J$352,L39,$F$13:$F$352)</f>
        <v>0</v>
      </c>
      <c r="P39" s="112" t="e">
        <f t="shared" si="40"/>
        <v>#DIV/0!</v>
      </c>
      <c r="Q39" s="159" t="e">
        <f t="shared" si="41"/>
        <v>#DIV/0!</v>
      </c>
      <c r="R39" s="159">
        <f t="shared" si="42"/>
        <v>0</v>
      </c>
    </row>
    <row r="40" spans="2:20" hidden="1" outlineLevel="1">
      <c r="B40" s="78">
        <f t="shared" si="3"/>
        <v>45748</v>
      </c>
      <c r="C40" s="75">
        <v>1811189.9395044595</v>
      </c>
      <c r="D40" s="71">
        <f>IF(F40&lt;&gt;0,VLOOKUP($J40,'Table 1'!$B$13:$C$33,2,FALSE)/12*1000*Study_MW,0)</f>
        <v>0</v>
      </c>
      <c r="E40" s="71">
        <f t="shared" si="21"/>
        <v>1811189.9395044595</v>
      </c>
      <c r="F40" s="75">
        <v>72000</v>
      </c>
      <c r="G40" s="76">
        <f t="shared" si="16"/>
        <v>25.155415826450827</v>
      </c>
      <c r="I40" s="77">
        <f t="shared" si="22"/>
        <v>30</v>
      </c>
      <c r="J40" s="73">
        <f t="shared" si="4"/>
        <v>2025</v>
      </c>
      <c r="K40" s="78">
        <f t="shared" si="23"/>
        <v>45748</v>
      </c>
      <c r="L40" s="73">
        <f t="shared" si="13"/>
        <v>2047</v>
      </c>
      <c r="M40" s="56">
        <f>SUMIF($J$13:$J$352,L40,$C$13:$C$352)</f>
        <v>0</v>
      </c>
      <c r="N40" s="56">
        <f>SUMIF($J$13:$J$352,L40,$D$13:$D$352)</f>
        <v>0</v>
      </c>
      <c r="O40" s="56">
        <f>SUMIF($J$13:$J$352,L40,$F$13:$F$352)</f>
        <v>0</v>
      </c>
      <c r="P40" s="112" t="e">
        <f t="shared" si="40"/>
        <v>#DIV/0!</v>
      </c>
      <c r="Q40" s="159" t="e">
        <f t="shared" si="41"/>
        <v>#DIV/0!</v>
      </c>
      <c r="R40" s="159">
        <f t="shared" si="42"/>
        <v>0</v>
      </c>
      <c r="S40" s="58"/>
      <c r="T40" s="91"/>
    </row>
    <row r="41" spans="2:20" hidden="1" outlineLevel="1">
      <c r="B41" s="78">
        <f t="shared" si="3"/>
        <v>45778</v>
      </c>
      <c r="C41" s="75">
        <v>1877894.2018359154</v>
      </c>
      <c r="D41" s="71">
        <f>IF(F41&lt;&gt;0,VLOOKUP($J41,'Table 1'!$B$13:$C$33,2,FALSE)/12*1000*Study_MW,0)</f>
        <v>0</v>
      </c>
      <c r="E41" s="71">
        <f t="shared" si="21"/>
        <v>1877894.2018359154</v>
      </c>
      <c r="F41" s="75">
        <v>74400</v>
      </c>
      <c r="G41" s="76">
        <f t="shared" si="16"/>
        <v>25.240513465536498</v>
      </c>
      <c r="I41" s="77">
        <f t="shared" si="22"/>
        <v>31</v>
      </c>
      <c r="J41" s="73">
        <f t="shared" si="4"/>
        <v>2025</v>
      </c>
      <c r="K41" s="78">
        <f t="shared" si="23"/>
        <v>45778</v>
      </c>
      <c r="L41" s="73">
        <f t="shared" si="13"/>
        <v>2048</v>
      </c>
      <c r="M41" s="56">
        <f>SUMIF($J$13:$J$352,L41,$C$13:$C$352)</f>
        <v>0</v>
      </c>
      <c r="N41" s="56">
        <f>SUMIF($J$13:$J$352,L41,$D$13:$D$352)</f>
        <v>0</v>
      </c>
      <c r="O41" s="56">
        <f>SUMIF($J$13:$J$352,L41,$F$13:$F$352)</f>
        <v>0</v>
      </c>
      <c r="P41" s="112" t="e">
        <f t="shared" si="40"/>
        <v>#DIV/0!</v>
      </c>
      <c r="Q41" s="159" t="e">
        <f t="shared" si="41"/>
        <v>#DIV/0!</v>
      </c>
      <c r="R41" s="159">
        <f t="shared" si="42"/>
        <v>0</v>
      </c>
      <c r="S41" s="58"/>
      <c r="T41" s="91"/>
    </row>
    <row r="42" spans="2:20" hidden="1" outlineLevel="1">
      <c r="B42" s="78">
        <f t="shared" si="3"/>
        <v>45809</v>
      </c>
      <c r="C42" s="75">
        <v>2035370.172062099</v>
      </c>
      <c r="D42" s="71">
        <f>IF(F42&lt;&gt;0,VLOOKUP($J42,'Table 1'!$B$13:$C$33,2,FALSE)/12*1000*Study_MW,0)</f>
        <v>0</v>
      </c>
      <c r="E42" s="71">
        <f t="shared" si="21"/>
        <v>2035370.172062099</v>
      </c>
      <c r="F42" s="75">
        <v>72000</v>
      </c>
      <c r="G42" s="76">
        <f t="shared" si="16"/>
        <v>28.269030167529152</v>
      </c>
      <c r="I42" s="77">
        <f t="shared" si="22"/>
        <v>32</v>
      </c>
      <c r="J42" s="73">
        <f t="shared" si="4"/>
        <v>2025</v>
      </c>
      <c r="K42" s="78">
        <f t="shared" si="23"/>
        <v>45809</v>
      </c>
      <c r="L42" s="73">
        <f t="shared" si="13"/>
        <v>2049</v>
      </c>
      <c r="P42" s="112"/>
      <c r="Q42" s="159"/>
      <c r="R42" s="159"/>
    </row>
    <row r="43" spans="2:20" hidden="1" outlineLevel="1">
      <c r="B43" s="78">
        <f t="shared" si="3"/>
        <v>45839</v>
      </c>
      <c r="C43" s="75">
        <v>8220682.3209102154</v>
      </c>
      <c r="D43" s="71">
        <f>IF(F43&lt;&gt;0,VLOOKUP($J43,'Table 1'!$B$13:$C$33,2,FALSE)/12*1000*Study_MW,0)</f>
        <v>0</v>
      </c>
      <c r="E43" s="71">
        <f t="shared" si="21"/>
        <v>8220682.3209102154</v>
      </c>
      <c r="F43" s="75">
        <v>74400</v>
      </c>
      <c r="G43" s="76">
        <f t="shared" si="16"/>
        <v>110.49304194771796</v>
      </c>
      <c r="I43" s="77">
        <f t="shared" si="22"/>
        <v>33</v>
      </c>
      <c r="J43" s="73">
        <f t="shared" si="4"/>
        <v>2025</v>
      </c>
      <c r="K43" s="78">
        <f t="shared" si="23"/>
        <v>45839</v>
      </c>
    </row>
    <row r="44" spans="2:20" hidden="1" outlineLevel="1">
      <c r="B44" s="78">
        <f t="shared" si="3"/>
        <v>45870</v>
      </c>
      <c r="C44" s="75">
        <v>5993383.1524808705</v>
      </c>
      <c r="D44" s="71">
        <f>IF(F44&lt;&gt;0,VLOOKUP($J44,'Table 1'!$B$13:$C$33,2,FALSE)/12*1000*Study_MW,0)</f>
        <v>0</v>
      </c>
      <c r="E44" s="71">
        <f t="shared" si="21"/>
        <v>5993383.1524808705</v>
      </c>
      <c r="F44" s="75">
        <v>74400</v>
      </c>
      <c r="G44" s="76">
        <f t="shared" si="16"/>
        <v>80.556225167753638</v>
      </c>
      <c r="I44" s="77">
        <f t="shared" si="22"/>
        <v>34</v>
      </c>
      <c r="J44" s="73">
        <f t="shared" si="4"/>
        <v>2025</v>
      </c>
      <c r="K44" s="78">
        <f t="shared" si="23"/>
        <v>45870</v>
      </c>
    </row>
    <row r="45" spans="2:20" hidden="1" outlineLevel="1">
      <c r="B45" s="78">
        <f t="shared" si="3"/>
        <v>45901</v>
      </c>
      <c r="C45" s="75">
        <v>4978832.2322679758</v>
      </c>
      <c r="D45" s="71">
        <f>IF(F45&lt;&gt;0,VLOOKUP($J45,'Table 1'!$B$13:$C$33,2,FALSE)/12*1000*Study_MW,0)</f>
        <v>0</v>
      </c>
      <c r="E45" s="71">
        <f t="shared" si="21"/>
        <v>4978832.2322679758</v>
      </c>
      <c r="F45" s="75">
        <v>72000</v>
      </c>
      <c r="G45" s="76">
        <f t="shared" si="16"/>
        <v>69.150447670388559</v>
      </c>
      <c r="I45" s="77">
        <f t="shared" si="22"/>
        <v>35</v>
      </c>
      <c r="J45" s="73">
        <f t="shared" si="4"/>
        <v>2025</v>
      </c>
      <c r="K45" s="78">
        <f t="shared" si="23"/>
        <v>45901</v>
      </c>
    </row>
    <row r="46" spans="2:20" hidden="1" outlineLevel="1">
      <c r="B46" s="78">
        <f t="shared" si="3"/>
        <v>45931</v>
      </c>
      <c r="C46" s="75">
        <v>2767812.1420435905</v>
      </c>
      <c r="D46" s="71">
        <f>IF(F46&lt;&gt;0,VLOOKUP($J46,'Table 1'!$B$13:$C$33,2,FALSE)/12*1000*Study_MW,0)</f>
        <v>0</v>
      </c>
      <c r="E46" s="71">
        <f t="shared" si="21"/>
        <v>2767812.1420435905</v>
      </c>
      <c r="F46" s="75">
        <v>74400</v>
      </c>
      <c r="G46" s="76">
        <f t="shared" si="16"/>
        <v>37.201776102736432</v>
      </c>
      <c r="I46" s="77">
        <f t="shared" si="22"/>
        <v>36</v>
      </c>
      <c r="J46" s="73">
        <f t="shared" si="4"/>
        <v>2025</v>
      </c>
      <c r="K46" s="78">
        <f t="shared" si="23"/>
        <v>45931</v>
      </c>
    </row>
    <row r="47" spans="2:20" hidden="1" outlineLevel="1">
      <c r="B47" s="78">
        <f t="shared" si="3"/>
        <v>45962</v>
      </c>
      <c r="C47" s="75">
        <v>2702356.596441716</v>
      </c>
      <c r="D47" s="71">
        <f>IF(F47&lt;&gt;0,VLOOKUP($J47,'Table 1'!$B$13:$C$33,2,FALSE)/12*1000*Study_MW,0)</f>
        <v>0</v>
      </c>
      <c r="E47" s="71">
        <f t="shared" si="21"/>
        <v>2702356.596441716</v>
      </c>
      <c r="F47" s="75">
        <v>72000</v>
      </c>
      <c r="G47" s="76">
        <f t="shared" si="16"/>
        <v>37.532730506134946</v>
      </c>
      <c r="I47" s="77">
        <f t="shared" si="22"/>
        <v>37</v>
      </c>
      <c r="J47" s="73">
        <f t="shared" si="4"/>
        <v>2025</v>
      </c>
      <c r="K47" s="78">
        <f t="shared" si="23"/>
        <v>45962</v>
      </c>
    </row>
    <row r="48" spans="2:20" hidden="1" outlineLevel="1">
      <c r="B48" s="82">
        <f t="shared" si="3"/>
        <v>45992</v>
      </c>
      <c r="C48" s="79">
        <v>3210739.5819847584</v>
      </c>
      <c r="D48" s="80">
        <f>IF(F48&lt;&gt;0,VLOOKUP($J48,'Table 1'!$B$13:$C$33,2,FALSE)/12*1000*Study_MW,0)</f>
        <v>0</v>
      </c>
      <c r="E48" s="80">
        <f t="shared" si="21"/>
        <v>3210739.5819847584</v>
      </c>
      <c r="F48" s="79">
        <v>74400</v>
      </c>
      <c r="G48" s="81">
        <f t="shared" si="16"/>
        <v>43.155101908397292</v>
      </c>
      <c r="I48" s="64">
        <f t="shared" si="22"/>
        <v>38</v>
      </c>
      <c r="J48" s="73">
        <f t="shared" si="4"/>
        <v>2025</v>
      </c>
      <c r="K48" s="82">
        <f t="shared" si="23"/>
        <v>45992</v>
      </c>
    </row>
    <row r="49" spans="2:11" hidden="1" outlineLevel="1">
      <c r="B49" s="74">
        <f t="shared" si="3"/>
        <v>46023</v>
      </c>
      <c r="C49" s="69">
        <v>3884642.397098124</v>
      </c>
      <c r="D49" s="70">
        <f>IF(F49&lt;&gt;0,VLOOKUP($J49,'Table 1'!$B$13:$C$33,2,FALSE)/12*1000*Study_MW,0)</f>
        <v>0</v>
      </c>
      <c r="E49" s="70">
        <f t="shared" si="21"/>
        <v>3884642.397098124</v>
      </c>
      <c r="F49" s="69">
        <v>74400</v>
      </c>
      <c r="G49" s="72">
        <f t="shared" si="16"/>
        <v>52.212935444867256</v>
      </c>
      <c r="I49" s="60">
        <f>I37+13</f>
        <v>40</v>
      </c>
      <c r="J49" s="73">
        <f t="shared" si="4"/>
        <v>2026</v>
      </c>
      <c r="K49" s="74">
        <f t="shared" si="23"/>
        <v>46023</v>
      </c>
    </row>
    <row r="50" spans="2:11" hidden="1" outlineLevel="1">
      <c r="B50" s="78">
        <f t="shared" si="3"/>
        <v>46054</v>
      </c>
      <c r="C50" s="75">
        <v>3441273.7060014307</v>
      </c>
      <c r="D50" s="71">
        <f>IF(F50&lt;&gt;0,VLOOKUP($J50,'Table 1'!$B$13:$C$33,2,FALSE)/12*1000*Study_MW,0)</f>
        <v>0</v>
      </c>
      <c r="E50" s="71">
        <f t="shared" si="21"/>
        <v>3441273.7060014307</v>
      </c>
      <c r="F50" s="75">
        <v>67200</v>
      </c>
      <c r="G50" s="76">
        <f t="shared" si="16"/>
        <v>51.209430148830812</v>
      </c>
      <c r="I50" s="77">
        <f t="shared" si="22"/>
        <v>41</v>
      </c>
      <c r="J50" s="73">
        <f t="shared" si="4"/>
        <v>2026</v>
      </c>
      <c r="K50" s="78">
        <f t="shared" si="23"/>
        <v>46054</v>
      </c>
    </row>
    <row r="51" spans="2:11" hidden="1" outlineLevel="1">
      <c r="B51" s="78">
        <f t="shared" si="3"/>
        <v>46082</v>
      </c>
      <c r="C51" s="75">
        <v>2934886.9132686406</v>
      </c>
      <c r="D51" s="71">
        <f>IF(F51&lt;&gt;0,VLOOKUP($J51,'Table 1'!$B$13:$C$33,2,FALSE)/12*1000*Study_MW,0)</f>
        <v>0</v>
      </c>
      <c r="E51" s="71">
        <f t="shared" si="21"/>
        <v>2934886.9132686406</v>
      </c>
      <c r="F51" s="75">
        <v>74400</v>
      </c>
      <c r="G51" s="76">
        <f t="shared" si="16"/>
        <v>39.447404748234419</v>
      </c>
      <c r="I51" s="77">
        <f t="shared" si="22"/>
        <v>42</v>
      </c>
      <c r="J51" s="73">
        <f t="shared" si="4"/>
        <v>2026</v>
      </c>
      <c r="K51" s="78">
        <f t="shared" si="23"/>
        <v>46082</v>
      </c>
    </row>
    <row r="52" spans="2:11" hidden="1" outlineLevel="1">
      <c r="B52" s="78">
        <f t="shared" si="3"/>
        <v>46113</v>
      </c>
      <c r="C52" s="75">
        <v>2076537.9983993322</v>
      </c>
      <c r="D52" s="71">
        <f>IF(F52&lt;&gt;0,VLOOKUP($J52,'Table 1'!$B$13:$C$33,2,FALSE)/12*1000*Study_MW,0)</f>
        <v>0</v>
      </c>
      <c r="E52" s="71">
        <f t="shared" si="21"/>
        <v>2076537.9983993322</v>
      </c>
      <c r="F52" s="75">
        <v>72000</v>
      </c>
      <c r="G52" s="76">
        <f t="shared" si="16"/>
        <v>28.840805533324058</v>
      </c>
      <c r="I52" s="77">
        <f t="shared" si="22"/>
        <v>43</v>
      </c>
      <c r="J52" s="73">
        <f t="shared" si="4"/>
        <v>2026</v>
      </c>
      <c r="K52" s="78">
        <f t="shared" si="23"/>
        <v>46113</v>
      </c>
    </row>
    <row r="53" spans="2:11" hidden="1" outlineLevel="1">
      <c r="B53" s="78">
        <f t="shared" si="3"/>
        <v>46143</v>
      </c>
      <c r="C53" s="75">
        <v>1997530.6440223455</v>
      </c>
      <c r="D53" s="71">
        <f>IF(F53&lt;&gt;0,VLOOKUP($J53,'Table 1'!$B$13:$C$33,2,FALSE)/12*1000*Study_MW,0)</f>
        <v>0</v>
      </c>
      <c r="E53" s="71">
        <f t="shared" si="21"/>
        <v>1997530.6440223455</v>
      </c>
      <c r="F53" s="75">
        <v>74400</v>
      </c>
      <c r="G53" s="76">
        <f t="shared" si="16"/>
        <v>26.848530161590666</v>
      </c>
      <c r="I53" s="77">
        <f t="shared" si="22"/>
        <v>44</v>
      </c>
      <c r="J53" s="73">
        <f t="shared" si="4"/>
        <v>2026</v>
      </c>
      <c r="K53" s="78">
        <f t="shared" si="23"/>
        <v>46143</v>
      </c>
    </row>
    <row r="54" spans="2:11" hidden="1" outlineLevel="1">
      <c r="B54" s="78">
        <f t="shared" si="3"/>
        <v>46174</v>
      </c>
      <c r="C54" s="75">
        <v>2373789.8743878305</v>
      </c>
      <c r="D54" s="71">
        <f>IF(F54&lt;&gt;0,VLOOKUP($J54,'Table 1'!$B$13:$C$33,2,FALSE)/12*1000*Study_MW,0)</f>
        <v>0</v>
      </c>
      <c r="E54" s="71">
        <f t="shared" si="21"/>
        <v>2373789.8743878305</v>
      </c>
      <c r="F54" s="75">
        <v>72000</v>
      </c>
      <c r="G54" s="76">
        <f t="shared" si="16"/>
        <v>32.969303810942087</v>
      </c>
      <c r="I54" s="77">
        <f t="shared" si="22"/>
        <v>45</v>
      </c>
      <c r="J54" s="73">
        <f t="shared" si="4"/>
        <v>2026</v>
      </c>
      <c r="K54" s="78">
        <f t="shared" si="23"/>
        <v>46174</v>
      </c>
    </row>
    <row r="55" spans="2:11" hidden="1" outlineLevel="1">
      <c r="B55" s="78">
        <f t="shared" si="3"/>
        <v>46204</v>
      </c>
      <c r="C55" s="75">
        <v>5852616.8377571702</v>
      </c>
      <c r="D55" s="71">
        <f>IF(F55&lt;&gt;0,VLOOKUP($J55,'Table 1'!$B$13:$C$33,2,FALSE)/12*1000*Study_MW,0)</f>
        <v>0</v>
      </c>
      <c r="E55" s="71">
        <f t="shared" si="21"/>
        <v>5852616.8377571702</v>
      </c>
      <c r="F55" s="75">
        <v>74400</v>
      </c>
      <c r="G55" s="76">
        <f t="shared" si="16"/>
        <v>78.664204808564122</v>
      </c>
      <c r="I55" s="77">
        <f t="shared" si="22"/>
        <v>46</v>
      </c>
      <c r="J55" s="73">
        <f t="shared" si="4"/>
        <v>2026</v>
      </c>
      <c r="K55" s="78">
        <f t="shared" si="23"/>
        <v>46204</v>
      </c>
    </row>
    <row r="56" spans="2:11" hidden="1" outlineLevel="1">
      <c r="B56" s="78">
        <f t="shared" si="3"/>
        <v>46235</v>
      </c>
      <c r="C56" s="75">
        <v>6399586.3341054618</v>
      </c>
      <c r="D56" s="71">
        <f>IF(F56&lt;&gt;0,VLOOKUP($J56,'Table 1'!$B$13:$C$33,2,FALSE)/12*1000*Study_MW,0)</f>
        <v>0</v>
      </c>
      <c r="E56" s="71">
        <f t="shared" si="21"/>
        <v>6399586.3341054618</v>
      </c>
      <c r="F56" s="75">
        <v>74400</v>
      </c>
      <c r="G56" s="76">
        <f t="shared" si="16"/>
        <v>86.015945350879861</v>
      </c>
      <c r="I56" s="77">
        <f t="shared" si="22"/>
        <v>47</v>
      </c>
      <c r="J56" s="73">
        <f t="shared" si="4"/>
        <v>2026</v>
      </c>
      <c r="K56" s="78">
        <f t="shared" si="23"/>
        <v>46235</v>
      </c>
    </row>
    <row r="57" spans="2:11" hidden="1" outlineLevel="1">
      <c r="B57" s="78">
        <f t="shared" si="3"/>
        <v>46266</v>
      </c>
      <c r="C57" s="75">
        <v>4952796.9979425818</v>
      </c>
      <c r="D57" s="71">
        <f>IF(F57&lt;&gt;0,VLOOKUP($J57,'Table 1'!$B$13:$C$33,2,FALSE)/12*1000*Study_MW,0)</f>
        <v>0</v>
      </c>
      <c r="E57" s="71">
        <f t="shared" si="21"/>
        <v>4952796.9979425818</v>
      </c>
      <c r="F57" s="75">
        <v>72000</v>
      </c>
      <c r="G57" s="76">
        <f t="shared" si="16"/>
        <v>68.788847193646973</v>
      </c>
      <c r="I57" s="77">
        <f t="shared" si="22"/>
        <v>48</v>
      </c>
      <c r="J57" s="73">
        <f t="shared" si="4"/>
        <v>2026</v>
      </c>
      <c r="K57" s="78">
        <f t="shared" si="23"/>
        <v>46266</v>
      </c>
    </row>
    <row r="58" spans="2:11" hidden="1" outlineLevel="1">
      <c r="B58" s="78">
        <f t="shared" si="3"/>
        <v>46296</v>
      </c>
      <c r="C58" s="75">
        <v>3224251.1424831599</v>
      </c>
      <c r="D58" s="71">
        <f>IF(F58&lt;&gt;0,VLOOKUP($J58,'Table 1'!$B$13:$C$33,2,FALSE)/12*1000*Study_MW,0)</f>
        <v>0</v>
      </c>
      <c r="E58" s="71">
        <f t="shared" si="21"/>
        <v>3224251.1424831599</v>
      </c>
      <c r="F58" s="75">
        <v>74400</v>
      </c>
      <c r="G58" s="76">
        <f t="shared" si="16"/>
        <v>43.336708904343546</v>
      </c>
      <c r="I58" s="77">
        <f t="shared" si="22"/>
        <v>49</v>
      </c>
      <c r="J58" s="73">
        <f t="shared" si="4"/>
        <v>2026</v>
      </c>
      <c r="K58" s="78">
        <f t="shared" si="23"/>
        <v>46296</v>
      </c>
    </row>
    <row r="59" spans="2:11" hidden="1" outlineLevel="1">
      <c r="B59" s="78">
        <f t="shared" si="3"/>
        <v>46327</v>
      </c>
      <c r="C59" s="75">
        <v>3404489.7289091647</v>
      </c>
      <c r="D59" s="71">
        <f>IF(F59&lt;&gt;0,VLOOKUP($J59,'Table 1'!$B$13:$C$33,2,FALSE)/12*1000*Study_MW,0)</f>
        <v>0</v>
      </c>
      <c r="E59" s="71">
        <f t="shared" si="21"/>
        <v>3404489.7289091647</v>
      </c>
      <c r="F59" s="75">
        <v>72000</v>
      </c>
      <c r="G59" s="76">
        <f t="shared" si="16"/>
        <v>47.284579568182842</v>
      </c>
      <c r="I59" s="77">
        <f t="shared" si="22"/>
        <v>50</v>
      </c>
      <c r="J59" s="73">
        <f t="shared" si="4"/>
        <v>2026</v>
      </c>
      <c r="K59" s="78">
        <f t="shared" si="23"/>
        <v>46327</v>
      </c>
    </row>
    <row r="60" spans="2:11" hidden="1" outlineLevel="1">
      <c r="B60" s="82">
        <f t="shared" si="3"/>
        <v>46357</v>
      </c>
      <c r="C60" s="79">
        <v>3391144.5098575354</v>
      </c>
      <c r="D60" s="80">
        <f>IF(F60&lt;&gt;0,VLOOKUP($J60,'Table 1'!$B$13:$C$33,2,FALSE)/12*1000*Study_MW,0)</f>
        <v>0</v>
      </c>
      <c r="E60" s="80">
        <f t="shared" si="21"/>
        <v>3391144.5098575354</v>
      </c>
      <c r="F60" s="79">
        <v>74400</v>
      </c>
      <c r="G60" s="81">
        <f t="shared" si="16"/>
        <v>45.579899326042145</v>
      </c>
      <c r="I60" s="64">
        <f t="shared" si="22"/>
        <v>51</v>
      </c>
      <c r="J60" s="73">
        <f t="shared" si="4"/>
        <v>2026</v>
      </c>
      <c r="K60" s="82">
        <f t="shared" si="23"/>
        <v>46357</v>
      </c>
    </row>
    <row r="61" spans="2:11" hidden="1" outlineLevel="1">
      <c r="B61" s="74">
        <f t="shared" si="3"/>
        <v>46388</v>
      </c>
      <c r="C61" s="69">
        <v>3439071.4724493921</v>
      </c>
      <c r="D61" s="70">
        <f>IF(F61&lt;&gt;0,VLOOKUP($J61,'Table 1'!$B$13:$C$33,2,FALSE)/12*1000*Study_MW,0)</f>
        <v>0</v>
      </c>
      <c r="E61" s="70">
        <f t="shared" si="21"/>
        <v>3439071.4724493921</v>
      </c>
      <c r="F61" s="69">
        <v>74400</v>
      </c>
      <c r="G61" s="72">
        <f t="shared" si="16"/>
        <v>46.224078930771398</v>
      </c>
      <c r="I61" s="60">
        <f>I49+13</f>
        <v>53</v>
      </c>
      <c r="J61" s="73">
        <f t="shared" si="4"/>
        <v>2027</v>
      </c>
      <c r="K61" s="74">
        <f t="shared" si="23"/>
        <v>46388</v>
      </c>
    </row>
    <row r="62" spans="2:11" hidden="1" outlineLevel="1">
      <c r="B62" s="78">
        <f t="shared" si="3"/>
        <v>46419</v>
      </c>
      <c r="C62" s="75">
        <v>3359548.447465241</v>
      </c>
      <c r="D62" s="71">
        <f>IF(F62&lt;&gt;0,VLOOKUP($J62,'Table 1'!$B$13:$C$33,2,FALSE)/12*1000*Study_MW,0)</f>
        <v>0</v>
      </c>
      <c r="E62" s="71">
        <f t="shared" si="21"/>
        <v>3359548.447465241</v>
      </c>
      <c r="F62" s="75">
        <v>67200</v>
      </c>
      <c r="G62" s="76">
        <f t="shared" si="16"/>
        <v>49.993280468232754</v>
      </c>
      <c r="I62" s="77">
        <f t="shared" si="22"/>
        <v>54</v>
      </c>
      <c r="J62" s="73">
        <f t="shared" si="4"/>
        <v>2027</v>
      </c>
      <c r="K62" s="78">
        <f t="shared" si="23"/>
        <v>46419</v>
      </c>
    </row>
    <row r="63" spans="2:11" hidden="1" outlineLevel="1">
      <c r="B63" s="78">
        <f t="shared" si="3"/>
        <v>46447</v>
      </c>
      <c r="C63" s="75">
        <v>2684406.5034689307</v>
      </c>
      <c r="D63" s="71">
        <f>IF(F63&lt;&gt;0,VLOOKUP($J63,'Table 1'!$B$13:$C$33,2,FALSE)/12*1000*Study_MW,0)</f>
        <v>0</v>
      </c>
      <c r="E63" s="71">
        <f t="shared" si="21"/>
        <v>2684406.5034689307</v>
      </c>
      <c r="F63" s="75">
        <v>74400</v>
      </c>
      <c r="G63" s="76">
        <f t="shared" si="16"/>
        <v>36.080732573507134</v>
      </c>
      <c r="I63" s="77">
        <f t="shared" si="22"/>
        <v>55</v>
      </c>
      <c r="J63" s="73">
        <f t="shared" si="4"/>
        <v>2027</v>
      </c>
      <c r="K63" s="78">
        <f t="shared" si="23"/>
        <v>46447</v>
      </c>
    </row>
    <row r="64" spans="2:11" hidden="1" outlineLevel="1">
      <c r="B64" s="78">
        <f t="shared" si="3"/>
        <v>46478</v>
      </c>
      <c r="C64" s="75">
        <v>2190845.621956557</v>
      </c>
      <c r="D64" s="71">
        <f>IF(F64&lt;&gt;0,VLOOKUP($J64,'Table 1'!$B$13:$C$33,2,FALSE)/12*1000*Study_MW,0)</f>
        <v>0</v>
      </c>
      <c r="E64" s="71">
        <f t="shared" si="21"/>
        <v>2190845.621956557</v>
      </c>
      <c r="F64" s="75">
        <v>72000</v>
      </c>
      <c r="G64" s="76">
        <f t="shared" si="16"/>
        <v>30.428411416063291</v>
      </c>
      <c r="I64" s="77">
        <f t="shared" si="22"/>
        <v>56</v>
      </c>
      <c r="J64" s="73">
        <f t="shared" si="4"/>
        <v>2027</v>
      </c>
      <c r="K64" s="78">
        <f t="shared" si="23"/>
        <v>46478</v>
      </c>
    </row>
    <row r="65" spans="2:11" hidden="1" outlineLevel="1">
      <c r="B65" s="78">
        <f t="shared" si="3"/>
        <v>46508</v>
      </c>
      <c r="C65" s="75">
        <v>1939625.8790654242</v>
      </c>
      <c r="D65" s="71">
        <f>IF(F65&lt;&gt;0,VLOOKUP($J65,'Table 1'!$B$13:$C$33,2,FALSE)/12*1000*Study_MW,0)</f>
        <v>0</v>
      </c>
      <c r="E65" s="71">
        <f t="shared" si="21"/>
        <v>1939625.8790654242</v>
      </c>
      <c r="F65" s="75">
        <v>74400</v>
      </c>
      <c r="G65" s="76">
        <f t="shared" si="16"/>
        <v>26.070240310019141</v>
      </c>
      <c r="I65" s="77">
        <f t="shared" si="22"/>
        <v>57</v>
      </c>
      <c r="J65" s="73">
        <f t="shared" si="4"/>
        <v>2027</v>
      </c>
      <c r="K65" s="78">
        <f t="shared" si="23"/>
        <v>46508</v>
      </c>
    </row>
    <row r="66" spans="2:11" hidden="1" outlineLevel="1">
      <c r="B66" s="78">
        <f t="shared" si="3"/>
        <v>46539</v>
      </c>
      <c r="C66" s="75">
        <v>2514616.8082466125</v>
      </c>
      <c r="D66" s="71">
        <f>IF(F66&lt;&gt;0,VLOOKUP($J66,'Table 1'!$B$13:$C$33,2,FALSE)/12*1000*Study_MW,0)</f>
        <v>0</v>
      </c>
      <c r="E66" s="71">
        <f t="shared" si="21"/>
        <v>2514616.8082466125</v>
      </c>
      <c r="F66" s="75">
        <v>72000</v>
      </c>
      <c r="G66" s="76">
        <f t="shared" si="16"/>
        <v>34.925233447869616</v>
      </c>
      <c r="I66" s="77">
        <f t="shared" si="22"/>
        <v>58</v>
      </c>
      <c r="J66" s="73">
        <f t="shared" si="4"/>
        <v>2027</v>
      </c>
      <c r="K66" s="78">
        <f t="shared" si="23"/>
        <v>46539</v>
      </c>
    </row>
    <row r="67" spans="2:11" hidden="1" outlineLevel="1">
      <c r="B67" s="78">
        <f t="shared" si="3"/>
        <v>46569</v>
      </c>
      <c r="C67" s="75">
        <v>4697087.183211267</v>
      </c>
      <c r="D67" s="71">
        <f>IF(F67&lt;&gt;0,VLOOKUP($J67,'Table 1'!$B$13:$C$33,2,FALSE)/12*1000*Study_MW,0)</f>
        <v>0</v>
      </c>
      <c r="E67" s="71">
        <f t="shared" si="21"/>
        <v>4697087.183211267</v>
      </c>
      <c r="F67" s="75">
        <v>74400</v>
      </c>
      <c r="G67" s="76">
        <f t="shared" si="16"/>
        <v>63.132892247463268</v>
      </c>
      <c r="I67" s="77">
        <f t="shared" si="22"/>
        <v>59</v>
      </c>
      <c r="J67" s="73">
        <f t="shared" si="4"/>
        <v>2027</v>
      </c>
      <c r="K67" s="78">
        <f t="shared" si="23"/>
        <v>46569</v>
      </c>
    </row>
    <row r="68" spans="2:11" hidden="1" outlineLevel="1">
      <c r="B68" s="78">
        <f t="shared" si="3"/>
        <v>46600</v>
      </c>
      <c r="C68" s="75">
        <v>5535775.3623416126</v>
      </c>
      <c r="D68" s="71">
        <f>IF(F68&lt;&gt;0,VLOOKUP($J68,'Table 1'!$B$13:$C$33,2,FALSE)/12*1000*Study_MW,0)</f>
        <v>0</v>
      </c>
      <c r="E68" s="71">
        <f t="shared" si="21"/>
        <v>5535775.3623416126</v>
      </c>
      <c r="F68" s="75">
        <v>74400</v>
      </c>
      <c r="G68" s="76">
        <f t="shared" si="16"/>
        <v>74.405582827172211</v>
      </c>
      <c r="I68" s="77">
        <f t="shared" si="22"/>
        <v>60</v>
      </c>
      <c r="J68" s="73">
        <f t="shared" si="4"/>
        <v>2027</v>
      </c>
      <c r="K68" s="78">
        <f t="shared" si="23"/>
        <v>46600</v>
      </c>
    </row>
    <row r="69" spans="2:11" hidden="1" outlineLevel="1">
      <c r="B69" s="78">
        <f t="shared" si="3"/>
        <v>46631</v>
      </c>
      <c r="C69" s="75">
        <v>4018135.7894032896</v>
      </c>
      <c r="D69" s="71">
        <f>IF(F69&lt;&gt;0,VLOOKUP($J69,'Table 1'!$B$13:$C$33,2,FALSE)/12*1000*Study_MW,0)</f>
        <v>0</v>
      </c>
      <c r="E69" s="71">
        <f t="shared" si="21"/>
        <v>4018135.7894032896</v>
      </c>
      <c r="F69" s="75">
        <v>72000</v>
      </c>
      <c r="G69" s="76">
        <f t="shared" si="16"/>
        <v>55.807441519490133</v>
      </c>
      <c r="I69" s="77">
        <f t="shared" si="22"/>
        <v>61</v>
      </c>
      <c r="J69" s="73">
        <f t="shared" si="4"/>
        <v>2027</v>
      </c>
      <c r="K69" s="78">
        <f t="shared" si="23"/>
        <v>46631</v>
      </c>
    </row>
    <row r="70" spans="2:11" hidden="1" outlineLevel="1">
      <c r="B70" s="78">
        <f t="shared" si="3"/>
        <v>46661</v>
      </c>
      <c r="C70" s="75">
        <v>3271457.1356039047</v>
      </c>
      <c r="D70" s="71">
        <f>IF(F70&lt;&gt;0,VLOOKUP($J70,'Table 1'!$B$13:$C$33,2,FALSE)/12*1000*Study_MW,0)</f>
        <v>0</v>
      </c>
      <c r="E70" s="71">
        <f t="shared" si="21"/>
        <v>3271457.1356039047</v>
      </c>
      <c r="F70" s="75">
        <v>74400</v>
      </c>
      <c r="G70" s="76">
        <f t="shared" si="16"/>
        <v>43.971198059192268</v>
      </c>
      <c r="I70" s="77">
        <f t="shared" si="22"/>
        <v>62</v>
      </c>
      <c r="J70" s="73">
        <f t="shared" si="4"/>
        <v>2027</v>
      </c>
      <c r="K70" s="78">
        <f t="shared" si="23"/>
        <v>46661</v>
      </c>
    </row>
    <row r="71" spans="2:11" hidden="1" outlineLevel="1">
      <c r="B71" s="78">
        <f t="shared" si="3"/>
        <v>46692</v>
      </c>
      <c r="C71" s="75">
        <v>3371105.1807049513</v>
      </c>
      <c r="D71" s="71">
        <f>IF(F71&lt;&gt;0,VLOOKUP($J71,'Table 1'!$B$13:$C$33,2,FALSE)/12*1000*Study_MW,0)</f>
        <v>0</v>
      </c>
      <c r="E71" s="71">
        <f t="shared" si="21"/>
        <v>3371105.1807049513</v>
      </c>
      <c r="F71" s="75">
        <v>72000</v>
      </c>
      <c r="G71" s="76">
        <f t="shared" si="16"/>
        <v>46.82090528756877</v>
      </c>
      <c r="I71" s="77">
        <f t="shared" si="22"/>
        <v>63</v>
      </c>
      <c r="J71" s="73">
        <f t="shared" si="4"/>
        <v>2027</v>
      </c>
      <c r="K71" s="78">
        <f t="shared" si="23"/>
        <v>46692</v>
      </c>
    </row>
    <row r="72" spans="2:11" hidden="1" outlineLevel="1">
      <c r="B72" s="82">
        <f t="shared" si="3"/>
        <v>46722</v>
      </c>
      <c r="C72" s="79">
        <v>3315670.4670668542</v>
      </c>
      <c r="D72" s="80">
        <f>IF(F72&lt;&gt;0,VLOOKUP($J72,'Table 1'!$B$13:$C$33,2,FALSE)/12*1000*Study_MW,0)</f>
        <v>0</v>
      </c>
      <c r="E72" s="80">
        <f t="shared" si="21"/>
        <v>3315670.4670668542</v>
      </c>
      <c r="F72" s="79">
        <v>74400</v>
      </c>
      <c r="G72" s="81">
        <f t="shared" si="16"/>
        <v>44.56546326702761</v>
      </c>
      <c r="I72" s="64">
        <f t="shared" si="22"/>
        <v>64</v>
      </c>
      <c r="J72" s="73">
        <f t="shared" si="4"/>
        <v>2027</v>
      </c>
      <c r="K72" s="82">
        <f t="shared" si="23"/>
        <v>46722</v>
      </c>
    </row>
    <row r="73" spans="2:11" hidden="1" outlineLevel="1">
      <c r="B73" s="74">
        <f t="shared" si="3"/>
        <v>46753</v>
      </c>
      <c r="C73" s="69">
        <v>3232783.4993700981</v>
      </c>
      <c r="D73" s="70">
        <f>IF(F73&lt;&gt;0,VLOOKUP($J73,'Table 1'!$B$13:$C$33,2,FALSE)/12*1000*Study_MW,0)</f>
        <v>0</v>
      </c>
      <c r="E73" s="70">
        <f t="shared" si="21"/>
        <v>3232783.4993700981</v>
      </c>
      <c r="F73" s="69">
        <v>74400</v>
      </c>
      <c r="G73" s="72">
        <f t="shared" si="16"/>
        <v>43.451391120565837</v>
      </c>
      <c r="I73" s="60">
        <f>I61+13</f>
        <v>66</v>
      </c>
      <c r="J73" s="73">
        <f t="shared" si="4"/>
        <v>2028</v>
      </c>
      <c r="K73" s="74">
        <f t="shared" si="23"/>
        <v>46753</v>
      </c>
    </row>
    <row r="74" spans="2:11" hidden="1" outlineLevel="1">
      <c r="B74" s="78">
        <f t="shared" si="3"/>
        <v>46784</v>
      </c>
      <c r="C74" s="75">
        <v>2988085.8102260232</v>
      </c>
      <c r="D74" s="71">
        <f>IF(F74&lt;&gt;0,VLOOKUP($J74,'Table 1'!$B$13:$C$33,2,FALSE)/12*1000*Study_MW,0)</f>
        <v>0</v>
      </c>
      <c r="E74" s="71">
        <f t="shared" si="21"/>
        <v>2988085.8102260232</v>
      </c>
      <c r="F74" s="75">
        <v>69600</v>
      </c>
      <c r="G74" s="76">
        <f t="shared" si="16"/>
        <v>42.932267388304929</v>
      </c>
      <c r="I74" s="77">
        <f t="shared" si="22"/>
        <v>67</v>
      </c>
      <c r="J74" s="73">
        <f t="shared" si="4"/>
        <v>2028</v>
      </c>
      <c r="K74" s="78">
        <f t="shared" si="23"/>
        <v>46784</v>
      </c>
    </row>
    <row r="75" spans="2:11" hidden="1" outlineLevel="1">
      <c r="B75" s="78">
        <f t="shared" si="3"/>
        <v>46813</v>
      </c>
      <c r="C75" s="75">
        <v>2665051.0028323233</v>
      </c>
      <c r="D75" s="71">
        <f>IF(F75&lt;&gt;0,VLOOKUP($J75,'Table 1'!$B$13:$C$33,2,FALSE)/12*1000*Study_MW,0)</f>
        <v>0</v>
      </c>
      <c r="E75" s="71">
        <f t="shared" si="21"/>
        <v>2665051.0028323233</v>
      </c>
      <c r="F75" s="75">
        <v>74400</v>
      </c>
      <c r="G75" s="76">
        <f t="shared" si="16"/>
        <v>35.820577995058109</v>
      </c>
      <c r="I75" s="77">
        <f t="shared" si="22"/>
        <v>68</v>
      </c>
      <c r="J75" s="73">
        <f t="shared" si="4"/>
        <v>2028</v>
      </c>
      <c r="K75" s="78">
        <f t="shared" si="23"/>
        <v>46813</v>
      </c>
    </row>
    <row r="76" spans="2:11" hidden="1" outlineLevel="1">
      <c r="B76" s="78">
        <f t="shared" si="3"/>
        <v>46844</v>
      </c>
      <c r="C76" s="75">
        <v>2124408.7376353592</v>
      </c>
      <c r="D76" s="71">
        <f>IF(F76&lt;&gt;0,VLOOKUP($J76,'Table 1'!$B$13:$C$33,2,FALSE)/12*1000*Study_MW,0)</f>
        <v>0</v>
      </c>
      <c r="E76" s="71">
        <f t="shared" si="21"/>
        <v>2124408.7376353592</v>
      </c>
      <c r="F76" s="75">
        <v>72000</v>
      </c>
      <c r="G76" s="76">
        <f t="shared" si="16"/>
        <v>29.505676911602212</v>
      </c>
      <c r="I76" s="77">
        <f t="shared" si="22"/>
        <v>69</v>
      </c>
      <c r="J76" s="73">
        <f t="shared" si="4"/>
        <v>2028</v>
      </c>
      <c r="K76" s="78">
        <f t="shared" si="23"/>
        <v>46844</v>
      </c>
    </row>
    <row r="77" spans="2:11" hidden="1" outlineLevel="1">
      <c r="B77" s="78">
        <f t="shared" si="3"/>
        <v>46874</v>
      </c>
      <c r="C77" s="75">
        <v>1852142.6730995923</v>
      </c>
      <c r="D77" s="71">
        <f>IF(F77&lt;&gt;0,VLOOKUP($J77,'Table 1'!$B$13:$C$33,2,FALSE)/12*1000*Study_MW,0)</f>
        <v>0</v>
      </c>
      <c r="E77" s="71">
        <f t="shared" si="21"/>
        <v>1852142.6730995923</v>
      </c>
      <c r="F77" s="75">
        <v>74400</v>
      </c>
      <c r="G77" s="76">
        <f t="shared" si="16"/>
        <v>24.894390767467637</v>
      </c>
      <c r="I77" s="77">
        <f t="shared" si="22"/>
        <v>70</v>
      </c>
      <c r="J77" s="73">
        <f t="shared" si="4"/>
        <v>2028</v>
      </c>
      <c r="K77" s="78">
        <f t="shared" si="23"/>
        <v>46874</v>
      </c>
    </row>
    <row r="78" spans="2:11" hidden="1" outlineLevel="1">
      <c r="B78" s="78">
        <f t="shared" ref="B78:B141" si="43">EDATE(B77,1)</f>
        <v>46905</v>
      </c>
      <c r="C78" s="75">
        <v>2429082.2874208838</v>
      </c>
      <c r="D78" s="71">
        <f>IF(F78&lt;&gt;0,VLOOKUP($J78,'Table 1'!$B$13:$C$33,2,FALSE)/12*1000*Study_MW,0)</f>
        <v>0</v>
      </c>
      <c r="E78" s="71">
        <f t="shared" ref="E78:E141" si="44">C78+D78</f>
        <v>2429082.2874208838</v>
      </c>
      <c r="F78" s="75">
        <v>72000</v>
      </c>
      <c r="G78" s="76">
        <f t="shared" ref="G78:G141" si="45">IF(ISNUMBER($F78),E78/$F78,"")</f>
        <v>33.73725399195672</v>
      </c>
      <c r="I78" s="77">
        <f t="shared" si="22"/>
        <v>71</v>
      </c>
      <c r="J78" s="73">
        <f t="shared" ref="J78:J141" si="46">YEAR(B78)</f>
        <v>2028</v>
      </c>
      <c r="K78" s="78">
        <f t="shared" si="23"/>
        <v>46905</v>
      </c>
    </row>
    <row r="79" spans="2:11" hidden="1" outlineLevel="1">
      <c r="B79" s="78">
        <f t="shared" si="43"/>
        <v>46935</v>
      </c>
      <c r="C79" s="75">
        <v>4820836.2042942941</v>
      </c>
      <c r="D79" s="71">
        <f>IF(F79&lt;&gt;0,VLOOKUP($J79,'Table 1'!$B$13:$C$33,2,FALSE)/12*1000*Study_MW,0)</f>
        <v>0</v>
      </c>
      <c r="E79" s="71">
        <f t="shared" si="44"/>
        <v>4820836.2042942941</v>
      </c>
      <c r="F79" s="75">
        <v>74400</v>
      </c>
      <c r="G79" s="76">
        <f t="shared" si="45"/>
        <v>64.796185541589978</v>
      </c>
      <c r="I79" s="77">
        <f t="shared" si="22"/>
        <v>72</v>
      </c>
      <c r="J79" s="73">
        <f t="shared" si="46"/>
        <v>2028</v>
      </c>
      <c r="K79" s="78">
        <f t="shared" si="23"/>
        <v>46935</v>
      </c>
    </row>
    <row r="80" spans="2:11" hidden="1" outlineLevel="1">
      <c r="B80" s="78">
        <f t="shared" si="43"/>
        <v>46966</v>
      </c>
      <c r="C80" s="75">
        <v>5279861.951178968</v>
      </c>
      <c r="D80" s="71">
        <f>IF(F80&lt;&gt;0,VLOOKUP($J80,'Table 1'!$B$13:$C$33,2,FALSE)/12*1000*Study_MW,0)</f>
        <v>0</v>
      </c>
      <c r="E80" s="71">
        <f t="shared" si="44"/>
        <v>5279861.951178968</v>
      </c>
      <c r="F80" s="75">
        <v>74400</v>
      </c>
      <c r="G80" s="76">
        <f t="shared" si="45"/>
        <v>70.96588644057752</v>
      </c>
      <c r="I80" s="77">
        <f t="shared" si="22"/>
        <v>73</v>
      </c>
      <c r="J80" s="73">
        <f t="shared" si="46"/>
        <v>2028</v>
      </c>
      <c r="K80" s="78">
        <f t="shared" si="23"/>
        <v>46966</v>
      </c>
    </row>
    <row r="81" spans="2:11" hidden="1" outlineLevel="1">
      <c r="B81" s="78">
        <f t="shared" si="43"/>
        <v>46997</v>
      </c>
      <c r="C81" s="75">
        <v>3966368.8804127276</v>
      </c>
      <c r="D81" s="71">
        <f>IF(F81&lt;&gt;0,VLOOKUP($J81,'Table 1'!$B$13:$C$33,2,FALSE)/12*1000*Study_MW,0)</f>
        <v>0</v>
      </c>
      <c r="E81" s="71">
        <f t="shared" si="44"/>
        <v>3966368.8804127276</v>
      </c>
      <c r="F81" s="75">
        <v>72000</v>
      </c>
      <c r="G81" s="76">
        <f t="shared" si="45"/>
        <v>55.088456672398998</v>
      </c>
      <c r="I81" s="77">
        <f t="shared" si="22"/>
        <v>74</v>
      </c>
      <c r="J81" s="73">
        <f t="shared" si="46"/>
        <v>2028</v>
      </c>
      <c r="K81" s="78">
        <f t="shared" si="23"/>
        <v>46997</v>
      </c>
    </row>
    <row r="82" spans="2:11" hidden="1" outlineLevel="1">
      <c r="B82" s="78">
        <f t="shared" si="43"/>
        <v>47027</v>
      </c>
      <c r="C82" s="75">
        <v>3243069.8641523421</v>
      </c>
      <c r="D82" s="71">
        <f>IF(F82&lt;&gt;0,VLOOKUP($J82,'Table 1'!$B$13:$C$33,2,FALSE)/12*1000*Study_MW,0)</f>
        <v>0</v>
      </c>
      <c r="E82" s="71">
        <f t="shared" si="44"/>
        <v>3243069.8641523421</v>
      </c>
      <c r="F82" s="75">
        <v>74400</v>
      </c>
      <c r="G82" s="76">
        <f t="shared" si="45"/>
        <v>43.589648711725026</v>
      </c>
      <c r="I82" s="77">
        <f t="shared" si="22"/>
        <v>75</v>
      </c>
      <c r="J82" s="73">
        <f t="shared" si="46"/>
        <v>2028</v>
      </c>
      <c r="K82" s="78">
        <f t="shared" si="23"/>
        <v>47027</v>
      </c>
    </row>
    <row r="83" spans="2:11" hidden="1" outlineLevel="1">
      <c r="B83" s="78">
        <f t="shared" si="43"/>
        <v>47058</v>
      </c>
      <c r="C83" s="75">
        <v>3273799.8878594935</v>
      </c>
      <c r="D83" s="71">
        <f>IF(F83&lt;&gt;0,VLOOKUP($J83,'Table 1'!$B$13:$C$33,2,FALSE)/12*1000*Study_MW,0)</f>
        <v>0</v>
      </c>
      <c r="E83" s="71">
        <f t="shared" si="44"/>
        <v>3273799.8878594935</v>
      </c>
      <c r="F83" s="75">
        <v>72000</v>
      </c>
      <c r="G83" s="76">
        <f t="shared" si="45"/>
        <v>45.469442886937408</v>
      </c>
      <c r="I83" s="77">
        <f t="shared" si="22"/>
        <v>76</v>
      </c>
      <c r="J83" s="73">
        <f t="shared" si="46"/>
        <v>2028</v>
      </c>
      <c r="K83" s="78">
        <f t="shared" si="23"/>
        <v>47058</v>
      </c>
    </row>
    <row r="84" spans="2:11" hidden="1" outlineLevel="1">
      <c r="B84" s="82">
        <f t="shared" si="43"/>
        <v>47088</v>
      </c>
      <c r="C84" s="79">
        <v>3419934.703435719</v>
      </c>
      <c r="D84" s="80">
        <f>IF(F84&lt;&gt;0,VLOOKUP($J84,'Table 1'!$B$13:$C$33,2,FALSE)/12*1000*Study_MW,0)</f>
        <v>0</v>
      </c>
      <c r="E84" s="80">
        <f t="shared" si="44"/>
        <v>3419934.703435719</v>
      </c>
      <c r="F84" s="79">
        <v>74400</v>
      </c>
      <c r="G84" s="81">
        <f t="shared" si="45"/>
        <v>45.96686429349085</v>
      </c>
      <c r="I84" s="64">
        <f t="shared" si="22"/>
        <v>77</v>
      </c>
      <c r="J84" s="73">
        <f t="shared" si="46"/>
        <v>2028</v>
      </c>
      <c r="K84" s="82">
        <f t="shared" si="23"/>
        <v>47088</v>
      </c>
    </row>
    <row r="85" spans="2:11" hidden="1" outlineLevel="1">
      <c r="B85" s="74">
        <f t="shared" si="43"/>
        <v>47119</v>
      </c>
      <c r="C85" s="69">
        <v>3301944.0941305459</v>
      </c>
      <c r="D85" s="70">
        <f>IF(F85&lt;&gt;0,VLOOKUP($J85,'Table 1'!$B$13:$C$33,2,FALSE)/12*1000*Study_MW,0)</f>
        <v>0</v>
      </c>
      <c r="E85" s="70">
        <f t="shared" si="44"/>
        <v>3301944.0941305459</v>
      </c>
      <c r="F85" s="69">
        <v>74400</v>
      </c>
      <c r="G85" s="72">
        <f t="shared" si="45"/>
        <v>44.380969007130993</v>
      </c>
      <c r="I85" s="60">
        <f>I73+13</f>
        <v>79</v>
      </c>
      <c r="J85" s="73">
        <f t="shared" si="46"/>
        <v>2029</v>
      </c>
      <c r="K85" s="74">
        <f t="shared" si="23"/>
        <v>47119</v>
      </c>
    </row>
    <row r="86" spans="2:11" hidden="1" outlineLevel="1">
      <c r="B86" s="78">
        <f t="shared" si="43"/>
        <v>47150</v>
      </c>
      <c r="C86" s="75">
        <v>3470182.9730506539</v>
      </c>
      <c r="D86" s="71">
        <f>IF(F86&lt;&gt;0,VLOOKUP($J86,'Table 1'!$B$13:$C$33,2,FALSE)/12*1000*Study_MW,0)</f>
        <v>0</v>
      </c>
      <c r="E86" s="71">
        <f t="shared" si="44"/>
        <v>3470182.9730506539</v>
      </c>
      <c r="F86" s="75">
        <v>67200</v>
      </c>
      <c r="G86" s="76">
        <f t="shared" si="45"/>
        <v>51.639627575158542</v>
      </c>
      <c r="I86" s="77">
        <f t="shared" si="22"/>
        <v>80</v>
      </c>
      <c r="J86" s="73">
        <f t="shared" si="46"/>
        <v>2029</v>
      </c>
      <c r="K86" s="78">
        <f t="shared" si="23"/>
        <v>47150</v>
      </c>
    </row>
    <row r="87" spans="2:11" hidden="1" outlineLevel="1">
      <c r="B87" s="78">
        <f t="shared" si="43"/>
        <v>47178</v>
      </c>
      <c r="C87" s="75">
        <v>2625018.748884201</v>
      </c>
      <c r="D87" s="71">
        <f>IF(F87&lt;&gt;0,VLOOKUP($J87,'Table 1'!$B$13:$C$33,2,FALSE)/12*1000*Study_MW,0)</f>
        <v>0</v>
      </c>
      <c r="E87" s="71">
        <f t="shared" si="44"/>
        <v>2625018.748884201</v>
      </c>
      <c r="F87" s="75">
        <v>74400</v>
      </c>
      <c r="G87" s="76">
        <f t="shared" si="45"/>
        <v>35.282510065647863</v>
      </c>
      <c r="I87" s="77">
        <f t="shared" si="22"/>
        <v>81</v>
      </c>
      <c r="J87" s="73">
        <f t="shared" si="46"/>
        <v>2029</v>
      </c>
      <c r="K87" s="78">
        <f t="shared" si="23"/>
        <v>47178</v>
      </c>
    </row>
    <row r="88" spans="2:11" hidden="1" outlineLevel="1">
      <c r="B88" s="78">
        <f t="shared" si="43"/>
        <v>47209</v>
      </c>
      <c r="C88" s="75">
        <v>2255231.176903978</v>
      </c>
      <c r="D88" s="71">
        <f>IF(F88&lt;&gt;0,VLOOKUP($J88,'Table 1'!$B$13:$C$33,2,FALSE)/12*1000*Study_MW,0)</f>
        <v>0</v>
      </c>
      <c r="E88" s="71">
        <f t="shared" si="44"/>
        <v>2255231.176903978</v>
      </c>
      <c r="F88" s="75">
        <v>72000</v>
      </c>
      <c r="G88" s="76">
        <f t="shared" si="45"/>
        <v>31.322655234777471</v>
      </c>
      <c r="I88" s="77">
        <f t="shared" si="22"/>
        <v>82</v>
      </c>
      <c r="J88" s="73">
        <f t="shared" si="46"/>
        <v>2029</v>
      </c>
      <c r="K88" s="78">
        <f t="shared" si="23"/>
        <v>47209</v>
      </c>
    </row>
    <row r="89" spans="2:11" hidden="1" outlineLevel="1">
      <c r="B89" s="78">
        <f t="shared" si="43"/>
        <v>47239</v>
      </c>
      <c r="C89" s="75">
        <v>1829763.2310663164</v>
      </c>
      <c r="D89" s="71">
        <f>IF(F89&lt;&gt;0,VLOOKUP($J89,'Table 1'!$B$13:$C$33,2,FALSE)/12*1000*Study_MW,0)</f>
        <v>0</v>
      </c>
      <c r="E89" s="71">
        <f t="shared" si="44"/>
        <v>1829763.2310663164</v>
      </c>
      <c r="F89" s="75">
        <v>74400</v>
      </c>
      <c r="G89" s="76">
        <f t="shared" si="45"/>
        <v>24.593591815407478</v>
      </c>
      <c r="I89" s="77">
        <f t="shared" si="22"/>
        <v>83</v>
      </c>
      <c r="J89" s="73">
        <f t="shared" si="46"/>
        <v>2029</v>
      </c>
      <c r="K89" s="78">
        <f t="shared" si="23"/>
        <v>47239</v>
      </c>
    </row>
    <row r="90" spans="2:11" hidden="1" outlineLevel="1">
      <c r="B90" s="78">
        <f t="shared" si="43"/>
        <v>47270</v>
      </c>
      <c r="C90" s="75">
        <v>2318460.3848898262</v>
      </c>
      <c r="D90" s="71">
        <f>IF(F90&lt;&gt;0,VLOOKUP($J90,'Table 1'!$B$13:$C$33,2,FALSE)/12*1000*Study_MW,0)</f>
        <v>0</v>
      </c>
      <c r="E90" s="71">
        <f t="shared" si="44"/>
        <v>2318460.3848898262</v>
      </c>
      <c r="F90" s="75">
        <v>72000</v>
      </c>
      <c r="G90" s="76">
        <f t="shared" si="45"/>
        <v>32.200838679025367</v>
      </c>
      <c r="I90" s="77">
        <f t="shared" ref="I90:I96" si="47">I78+13</f>
        <v>84</v>
      </c>
      <c r="J90" s="73">
        <f t="shared" si="46"/>
        <v>2029</v>
      </c>
      <c r="K90" s="78">
        <f t="shared" ref="K90:K153" si="48">IF(ISNUMBER(F90),IF(F90&lt;&gt;0,B90,""),"")</f>
        <v>47270</v>
      </c>
    </row>
    <row r="91" spans="2:11" hidden="1" outlineLevel="1">
      <c r="B91" s="78">
        <f t="shared" si="43"/>
        <v>47300</v>
      </c>
      <c r="C91" s="75">
        <v>4760969.5161133707</v>
      </c>
      <c r="D91" s="71">
        <f>IF(F91&lt;&gt;0,VLOOKUP($J91,'Table 1'!$B$13:$C$33,2,FALSE)/12*1000*Study_MW,0)</f>
        <v>0</v>
      </c>
      <c r="E91" s="71">
        <f t="shared" si="44"/>
        <v>4760969.5161133707</v>
      </c>
      <c r="F91" s="75">
        <v>74400</v>
      </c>
      <c r="G91" s="76">
        <f t="shared" si="45"/>
        <v>63.99152575421197</v>
      </c>
      <c r="I91" s="77">
        <f t="shared" si="47"/>
        <v>85</v>
      </c>
      <c r="J91" s="73">
        <f t="shared" si="46"/>
        <v>2029</v>
      </c>
      <c r="K91" s="78">
        <f t="shared" si="48"/>
        <v>47300</v>
      </c>
    </row>
    <row r="92" spans="2:11" hidden="1" outlineLevel="1">
      <c r="B92" s="78">
        <f t="shared" si="43"/>
        <v>47331</v>
      </c>
      <c r="C92" s="75">
        <v>5153341.8389127851</v>
      </c>
      <c r="D92" s="71">
        <f>IF(F92&lt;&gt;0,VLOOKUP($J92,'Table 1'!$B$13:$C$33,2,FALSE)/12*1000*Study_MW,0)</f>
        <v>0</v>
      </c>
      <c r="E92" s="71">
        <f t="shared" si="44"/>
        <v>5153341.8389127851</v>
      </c>
      <c r="F92" s="75">
        <v>74400</v>
      </c>
      <c r="G92" s="76">
        <f t="shared" si="45"/>
        <v>69.265347297214859</v>
      </c>
      <c r="I92" s="77">
        <f t="shared" si="47"/>
        <v>86</v>
      </c>
      <c r="J92" s="73">
        <f t="shared" si="46"/>
        <v>2029</v>
      </c>
      <c r="K92" s="78">
        <f t="shared" si="48"/>
        <v>47331</v>
      </c>
    </row>
    <row r="93" spans="2:11" hidden="1" outlineLevel="1">
      <c r="B93" s="78">
        <f t="shared" si="43"/>
        <v>47362</v>
      </c>
      <c r="C93" s="75">
        <v>3934867.5244975984</v>
      </c>
      <c r="D93" s="71">
        <f>IF(F93&lt;&gt;0,VLOOKUP($J93,'Table 1'!$B$13:$C$33,2,FALSE)/12*1000*Study_MW,0)</f>
        <v>0</v>
      </c>
      <c r="E93" s="71">
        <f t="shared" si="44"/>
        <v>3934867.5244975984</v>
      </c>
      <c r="F93" s="75">
        <v>72000</v>
      </c>
      <c r="G93" s="76">
        <f t="shared" si="45"/>
        <v>54.650937840244424</v>
      </c>
      <c r="I93" s="77">
        <f t="shared" si="47"/>
        <v>87</v>
      </c>
      <c r="J93" s="73">
        <f t="shared" si="46"/>
        <v>2029</v>
      </c>
      <c r="K93" s="78">
        <f t="shared" si="48"/>
        <v>47362</v>
      </c>
    </row>
    <row r="94" spans="2:11" hidden="1" outlineLevel="1">
      <c r="B94" s="78">
        <f t="shared" si="43"/>
        <v>47392</v>
      </c>
      <c r="C94" s="75">
        <v>3123435.4722214043</v>
      </c>
      <c r="D94" s="71">
        <f>IF(F94&lt;&gt;0,VLOOKUP($J94,'Table 1'!$B$13:$C$33,2,FALSE)/12*1000*Study_MW,0)</f>
        <v>0</v>
      </c>
      <c r="E94" s="71">
        <f t="shared" si="44"/>
        <v>3123435.4722214043</v>
      </c>
      <c r="F94" s="75">
        <v>74400</v>
      </c>
      <c r="G94" s="76">
        <f t="shared" si="45"/>
        <v>41.981659572868338</v>
      </c>
      <c r="I94" s="77">
        <f t="shared" si="47"/>
        <v>88</v>
      </c>
      <c r="J94" s="73">
        <f t="shared" si="46"/>
        <v>2029</v>
      </c>
      <c r="K94" s="78">
        <f t="shared" si="48"/>
        <v>47392</v>
      </c>
    </row>
    <row r="95" spans="2:11" hidden="1" outlineLevel="1">
      <c r="B95" s="78">
        <f t="shared" si="43"/>
        <v>47423</v>
      </c>
      <c r="C95" s="75">
        <v>3294525.1743046045</v>
      </c>
      <c r="D95" s="71">
        <f>IF(F95&lt;&gt;0,VLOOKUP($J95,'Table 1'!$B$13:$C$33,2,FALSE)/12*1000*Study_MW,0)</f>
        <v>0</v>
      </c>
      <c r="E95" s="71">
        <f t="shared" si="44"/>
        <v>3294525.1743046045</v>
      </c>
      <c r="F95" s="75">
        <v>72000</v>
      </c>
      <c r="G95" s="76">
        <f t="shared" si="45"/>
        <v>45.757294087563949</v>
      </c>
      <c r="I95" s="77">
        <f t="shared" si="47"/>
        <v>89</v>
      </c>
      <c r="J95" s="73">
        <f t="shared" si="46"/>
        <v>2029</v>
      </c>
      <c r="K95" s="78">
        <f t="shared" si="48"/>
        <v>47423</v>
      </c>
    </row>
    <row r="96" spans="2:11" hidden="1" outlineLevel="1">
      <c r="B96" s="82">
        <f t="shared" si="43"/>
        <v>47453</v>
      </c>
      <c r="C96" s="79">
        <v>3396138.4980086386</v>
      </c>
      <c r="D96" s="80">
        <f>IF(F96&lt;&gt;0,VLOOKUP($J96,'Table 1'!$B$13:$C$33,2,FALSE)/12*1000*Study_MW,0)</f>
        <v>0</v>
      </c>
      <c r="E96" s="80">
        <f t="shared" si="44"/>
        <v>3396138.4980086386</v>
      </c>
      <c r="F96" s="79">
        <v>74400</v>
      </c>
      <c r="G96" s="81">
        <f t="shared" si="45"/>
        <v>45.647022822696755</v>
      </c>
      <c r="I96" s="64">
        <f t="shared" si="47"/>
        <v>90</v>
      </c>
      <c r="J96" s="73">
        <f t="shared" si="46"/>
        <v>2029</v>
      </c>
      <c r="K96" s="82">
        <f t="shared" si="48"/>
        <v>47453</v>
      </c>
    </row>
    <row r="97" spans="2:11" hidden="1" outlineLevel="1">
      <c r="B97" s="74">
        <f t="shared" si="43"/>
        <v>47484</v>
      </c>
      <c r="C97" s="69">
        <v>3024405.194688648</v>
      </c>
      <c r="D97" s="70">
        <f>IF(F97&lt;&gt;0,VLOOKUP($J97,'Table 1'!$B$13:$C$33,2,FALSE)/12*1000*Study_MW,0)</f>
        <v>0</v>
      </c>
      <c r="E97" s="70">
        <f t="shared" si="44"/>
        <v>3024405.194688648</v>
      </c>
      <c r="F97" s="69">
        <v>74400</v>
      </c>
      <c r="G97" s="72">
        <f t="shared" si="45"/>
        <v>40.650607455492583</v>
      </c>
      <c r="I97" s="60">
        <f>I85+13</f>
        <v>92</v>
      </c>
      <c r="J97" s="73">
        <f t="shared" si="46"/>
        <v>2030</v>
      </c>
      <c r="K97" s="74">
        <f t="shared" si="48"/>
        <v>47484</v>
      </c>
    </row>
    <row r="98" spans="2:11" hidden="1" outlineLevel="1">
      <c r="B98" s="78">
        <f t="shared" si="43"/>
        <v>47515</v>
      </c>
      <c r="C98" s="75">
        <v>2898303.6147429049</v>
      </c>
      <c r="D98" s="71">
        <f>IF(F98&lt;&gt;0,VLOOKUP($J98,'Table 1'!$B$13:$C$33,2,FALSE)/12*1000*Study_MW,0)</f>
        <v>0</v>
      </c>
      <c r="E98" s="71">
        <f t="shared" si="44"/>
        <v>2898303.6147429049</v>
      </c>
      <c r="F98" s="75">
        <v>67200</v>
      </c>
      <c r="G98" s="76">
        <f t="shared" si="45"/>
        <v>43.129518076531326</v>
      </c>
      <c r="I98" s="77">
        <f t="shared" ref="I98:I120" si="49">I86+13</f>
        <v>93</v>
      </c>
      <c r="J98" s="73">
        <f t="shared" si="46"/>
        <v>2030</v>
      </c>
      <c r="K98" s="78">
        <f t="shared" si="48"/>
        <v>47515</v>
      </c>
    </row>
    <row r="99" spans="2:11" hidden="1" outlineLevel="1">
      <c r="B99" s="78">
        <f t="shared" si="43"/>
        <v>47543</v>
      </c>
      <c r="C99" s="75">
        <v>2360604.9238662571</v>
      </c>
      <c r="D99" s="71">
        <f>IF(F99&lt;&gt;0,VLOOKUP($J99,'Table 1'!$B$13:$C$33,2,FALSE)/12*1000*Study_MW,0)</f>
        <v>0</v>
      </c>
      <c r="E99" s="71">
        <f t="shared" si="44"/>
        <v>2360604.9238662571</v>
      </c>
      <c r="F99" s="75">
        <v>74400</v>
      </c>
      <c r="G99" s="76">
        <f t="shared" si="45"/>
        <v>31.728560804653991</v>
      </c>
      <c r="I99" s="77">
        <f t="shared" si="49"/>
        <v>94</v>
      </c>
      <c r="J99" s="73">
        <f t="shared" si="46"/>
        <v>2030</v>
      </c>
      <c r="K99" s="78">
        <f t="shared" si="48"/>
        <v>47543</v>
      </c>
    </row>
    <row r="100" spans="2:11" hidden="1" outlineLevel="1">
      <c r="B100" s="78">
        <f t="shared" si="43"/>
        <v>47574</v>
      </c>
      <c r="C100" s="75">
        <v>2005332.8533850908</v>
      </c>
      <c r="D100" s="71">
        <f>IF(F100&lt;&gt;0,VLOOKUP($J100,'Table 1'!$B$13:$C$33,2,FALSE)/12*1000*Study_MW,0)</f>
        <v>0</v>
      </c>
      <c r="E100" s="71">
        <f t="shared" si="44"/>
        <v>2005332.8533850908</v>
      </c>
      <c r="F100" s="75">
        <v>72000</v>
      </c>
      <c r="G100" s="76">
        <f t="shared" si="45"/>
        <v>27.85184518590404</v>
      </c>
      <c r="I100" s="77">
        <f t="shared" si="49"/>
        <v>95</v>
      </c>
      <c r="J100" s="73">
        <f t="shared" si="46"/>
        <v>2030</v>
      </c>
      <c r="K100" s="78">
        <f t="shared" si="48"/>
        <v>47574</v>
      </c>
    </row>
    <row r="101" spans="2:11" hidden="1" outlineLevel="1">
      <c r="B101" s="78">
        <f t="shared" si="43"/>
        <v>47604</v>
      </c>
      <c r="C101" s="75">
        <v>1626343.8319847286</v>
      </c>
      <c r="D101" s="71">
        <f>IF(F101&lt;&gt;0,VLOOKUP($J101,'Table 1'!$B$13:$C$33,2,FALSE)/12*1000*Study_MW,0)</f>
        <v>0</v>
      </c>
      <c r="E101" s="71">
        <f t="shared" si="44"/>
        <v>1626343.8319847286</v>
      </c>
      <c r="F101" s="75">
        <v>74400</v>
      </c>
      <c r="G101" s="76">
        <f t="shared" si="45"/>
        <v>21.85946010732162</v>
      </c>
      <c r="I101" s="77">
        <f t="shared" si="49"/>
        <v>96</v>
      </c>
      <c r="J101" s="73">
        <f t="shared" si="46"/>
        <v>2030</v>
      </c>
      <c r="K101" s="78">
        <f t="shared" si="48"/>
        <v>47604</v>
      </c>
    </row>
    <row r="102" spans="2:11" hidden="1" outlineLevel="1">
      <c r="B102" s="78">
        <f t="shared" si="43"/>
        <v>47635</v>
      </c>
      <c r="C102" s="75">
        <v>2039427.8958329856</v>
      </c>
      <c r="D102" s="71">
        <f>IF(F102&lt;&gt;0,VLOOKUP($J102,'Table 1'!$B$13:$C$33,2,FALSE)/12*1000*Study_MW,0)</f>
        <v>0</v>
      </c>
      <c r="E102" s="71">
        <f t="shared" si="44"/>
        <v>2039427.8958329856</v>
      </c>
      <c r="F102" s="75">
        <v>72000</v>
      </c>
      <c r="G102" s="76">
        <f t="shared" si="45"/>
        <v>28.3253874421248</v>
      </c>
      <c r="I102" s="77">
        <f t="shared" si="49"/>
        <v>97</v>
      </c>
      <c r="J102" s="73">
        <f t="shared" si="46"/>
        <v>2030</v>
      </c>
      <c r="K102" s="78">
        <f t="shared" si="48"/>
        <v>47635</v>
      </c>
    </row>
    <row r="103" spans="2:11" hidden="1" outlineLevel="1">
      <c r="B103" s="78">
        <f t="shared" si="43"/>
        <v>47665</v>
      </c>
      <c r="C103" s="75">
        <v>4399492.6620679498</v>
      </c>
      <c r="D103" s="71">
        <f>IF(F103&lt;&gt;0,VLOOKUP($J103,'Table 1'!$B$13:$C$33,2,FALSE)/12*1000*Study_MW,0)</f>
        <v>0</v>
      </c>
      <c r="E103" s="71">
        <f t="shared" si="44"/>
        <v>4399492.6620679498</v>
      </c>
      <c r="F103" s="75">
        <v>74400</v>
      </c>
      <c r="G103" s="76">
        <f t="shared" si="45"/>
        <v>59.132965888010077</v>
      </c>
      <c r="I103" s="77">
        <f t="shared" si="49"/>
        <v>98</v>
      </c>
      <c r="J103" s="73">
        <f t="shared" si="46"/>
        <v>2030</v>
      </c>
      <c r="K103" s="78">
        <f t="shared" si="48"/>
        <v>47665</v>
      </c>
    </row>
    <row r="104" spans="2:11" hidden="1" outlineLevel="1">
      <c r="B104" s="78">
        <f t="shared" si="43"/>
        <v>47696</v>
      </c>
      <c r="C104" s="75">
        <v>4789312.2395274639</v>
      </c>
      <c r="D104" s="71">
        <f>IF(F104&lt;&gt;0,VLOOKUP($J104,'Table 1'!$B$13:$C$33,2,FALSE)/12*1000*Study_MW,0)</f>
        <v>0</v>
      </c>
      <c r="E104" s="71">
        <f t="shared" si="44"/>
        <v>4789312.2395274639</v>
      </c>
      <c r="F104" s="75">
        <v>74400</v>
      </c>
      <c r="G104" s="76">
        <f t="shared" si="45"/>
        <v>64.372476337734724</v>
      </c>
      <c r="I104" s="77">
        <f t="shared" si="49"/>
        <v>99</v>
      </c>
      <c r="J104" s="73">
        <f t="shared" si="46"/>
        <v>2030</v>
      </c>
      <c r="K104" s="78">
        <f t="shared" si="48"/>
        <v>47696</v>
      </c>
    </row>
    <row r="105" spans="2:11" hidden="1" outlineLevel="1">
      <c r="B105" s="78">
        <f t="shared" si="43"/>
        <v>47727</v>
      </c>
      <c r="C105" s="75">
        <v>3914151.7706668377</v>
      </c>
      <c r="D105" s="71">
        <f>IF(F105&lt;&gt;0,VLOOKUP($J105,'Table 1'!$B$13:$C$33,2,FALSE)/12*1000*Study_MW,0)</f>
        <v>0</v>
      </c>
      <c r="E105" s="71">
        <f t="shared" si="44"/>
        <v>3914151.7706668377</v>
      </c>
      <c r="F105" s="75">
        <v>72000</v>
      </c>
      <c r="G105" s="76">
        <f t="shared" si="45"/>
        <v>54.363219037039414</v>
      </c>
      <c r="I105" s="77">
        <f t="shared" si="49"/>
        <v>100</v>
      </c>
      <c r="J105" s="73">
        <f t="shared" si="46"/>
        <v>2030</v>
      </c>
      <c r="K105" s="78">
        <f t="shared" si="48"/>
        <v>47727</v>
      </c>
    </row>
    <row r="106" spans="2:11" hidden="1" outlineLevel="1">
      <c r="B106" s="78">
        <f t="shared" si="43"/>
        <v>47757</v>
      </c>
      <c r="C106" s="75">
        <v>2866156.9747869968</v>
      </c>
      <c r="D106" s="71">
        <f>IF(F106&lt;&gt;0,VLOOKUP($J106,'Table 1'!$B$13:$C$33,2,FALSE)/12*1000*Study_MW,0)</f>
        <v>0</v>
      </c>
      <c r="E106" s="71">
        <f t="shared" si="44"/>
        <v>2866156.9747869968</v>
      </c>
      <c r="F106" s="75">
        <v>74400</v>
      </c>
      <c r="G106" s="76">
        <f t="shared" si="45"/>
        <v>38.523615252513402</v>
      </c>
      <c r="I106" s="77">
        <f t="shared" si="49"/>
        <v>101</v>
      </c>
      <c r="J106" s="73">
        <f t="shared" si="46"/>
        <v>2030</v>
      </c>
      <c r="K106" s="78">
        <f t="shared" si="48"/>
        <v>47757</v>
      </c>
    </row>
    <row r="107" spans="2:11" hidden="1" outlineLevel="1">
      <c r="B107" s="78">
        <f t="shared" si="43"/>
        <v>47788</v>
      </c>
      <c r="C107" s="75">
        <v>3114005.2339752018</v>
      </c>
      <c r="D107" s="71">
        <f>IF(F107&lt;&gt;0,VLOOKUP($J107,'Table 1'!$B$13:$C$33,2,FALSE)/12*1000*Study_MW,0)</f>
        <v>0</v>
      </c>
      <c r="E107" s="71">
        <f t="shared" si="44"/>
        <v>3114005.2339752018</v>
      </c>
      <c r="F107" s="75">
        <v>72000</v>
      </c>
      <c r="G107" s="76">
        <f t="shared" si="45"/>
        <v>43.250072694100027</v>
      </c>
      <c r="I107" s="77">
        <f t="shared" si="49"/>
        <v>102</v>
      </c>
      <c r="J107" s="73">
        <f t="shared" si="46"/>
        <v>2030</v>
      </c>
      <c r="K107" s="78">
        <f t="shared" si="48"/>
        <v>47788</v>
      </c>
    </row>
    <row r="108" spans="2:11" hidden="1" outlineLevel="1">
      <c r="B108" s="82">
        <f t="shared" si="43"/>
        <v>47818</v>
      </c>
      <c r="C108" s="79">
        <v>3101198.6208728552</v>
      </c>
      <c r="D108" s="80">
        <f>IF(F108&lt;&gt;0,VLOOKUP($J108,'Table 1'!$B$13:$C$33,2,FALSE)/12*1000*Study_MW,0)</f>
        <v>0</v>
      </c>
      <c r="E108" s="80">
        <f t="shared" si="44"/>
        <v>3101198.6208728552</v>
      </c>
      <c r="F108" s="79">
        <v>74400</v>
      </c>
      <c r="G108" s="81">
        <f t="shared" si="45"/>
        <v>41.682777162269559</v>
      </c>
      <c r="I108" s="64">
        <f t="shared" si="49"/>
        <v>103</v>
      </c>
      <c r="J108" s="73">
        <f t="shared" si="46"/>
        <v>2030</v>
      </c>
      <c r="K108" s="82">
        <f t="shared" si="48"/>
        <v>47818</v>
      </c>
    </row>
    <row r="109" spans="2:11" hidden="1" outlineLevel="1">
      <c r="B109" s="74">
        <f t="shared" si="43"/>
        <v>47849</v>
      </c>
      <c r="C109" s="69">
        <v>2096016.1088862121</v>
      </c>
      <c r="D109" s="70">
        <f>IF(F109&lt;&gt;0,VLOOKUP($J109,'Table 1'!$B$13:$C$33,2,FALSE)/12*1000*Study_MW,0)</f>
        <v>994067.96433950693</v>
      </c>
      <c r="E109" s="70">
        <f t="shared" si="44"/>
        <v>3090084.0732257189</v>
      </c>
      <c r="F109" s="69">
        <v>74400</v>
      </c>
      <c r="G109" s="72">
        <f t="shared" si="45"/>
        <v>41.533388080990846</v>
      </c>
      <c r="I109" s="60">
        <f>I97+13</f>
        <v>105</v>
      </c>
      <c r="J109" s="73">
        <f t="shared" si="46"/>
        <v>2031</v>
      </c>
      <c r="K109" s="74">
        <f t="shared" si="48"/>
        <v>47849</v>
      </c>
    </row>
    <row r="110" spans="2:11" hidden="1" outlineLevel="1">
      <c r="B110" s="78">
        <f t="shared" si="43"/>
        <v>47880</v>
      </c>
      <c r="C110" s="75">
        <v>2198091.4945985377</v>
      </c>
      <c r="D110" s="71">
        <f>IF(F110&lt;&gt;0,VLOOKUP($J110,'Table 1'!$B$13:$C$33,2,FALSE)/12*1000*Study_MW,0)</f>
        <v>994067.96433950693</v>
      </c>
      <c r="E110" s="71">
        <f t="shared" si="44"/>
        <v>3192159.4589380445</v>
      </c>
      <c r="F110" s="75">
        <v>67200</v>
      </c>
      <c r="G110" s="76">
        <f t="shared" si="45"/>
        <v>47.502372900863755</v>
      </c>
      <c r="I110" s="77">
        <f t="shared" si="49"/>
        <v>106</v>
      </c>
      <c r="J110" s="73">
        <f t="shared" si="46"/>
        <v>2031</v>
      </c>
      <c r="K110" s="78">
        <f t="shared" si="48"/>
        <v>47880</v>
      </c>
    </row>
    <row r="111" spans="2:11" hidden="1" outlineLevel="1">
      <c r="B111" s="78">
        <f t="shared" si="43"/>
        <v>47908</v>
      </c>
      <c r="C111" s="75">
        <v>2193410.0481881052</v>
      </c>
      <c r="D111" s="71">
        <f>IF(F111&lt;&gt;0,VLOOKUP($J111,'Table 1'!$B$13:$C$33,2,FALSE)/12*1000*Study_MW,0)</f>
        <v>994067.96433950693</v>
      </c>
      <c r="E111" s="71">
        <f t="shared" si="44"/>
        <v>3187478.012527612</v>
      </c>
      <c r="F111" s="75">
        <v>74400</v>
      </c>
      <c r="G111" s="76">
        <f t="shared" si="45"/>
        <v>42.842446404941022</v>
      </c>
      <c r="I111" s="77">
        <f t="shared" si="49"/>
        <v>107</v>
      </c>
      <c r="J111" s="73">
        <f t="shared" si="46"/>
        <v>2031</v>
      </c>
      <c r="K111" s="78">
        <f t="shared" si="48"/>
        <v>47908</v>
      </c>
    </row>
    <row r="112" spans="2:11" hidden="1" outlineLevel="1">
      <c r="B112" s="78">
        <f t="shared" si="43"/>
        <v>47939</v>
      </c>
      <c r="C112" s="75">
        <v>1731152.2559113801</v>
      </c>
      <c r="D112" s="71">
        <f>IF(F112&lt;&gt;0,VLOOKUP($J112,'Table 1'!$B$13:$C$33,2,FALSE)/12*1000*Study_MW,0)</f>
        <v>994067.96433950693</v>
      </c>
      <c r="E112" s="71">
        <f t="shared" si="44"/>
        <v>2725220.2202508869</v>
      </c>
      <c r="F112" s="75">
        <v>72000</v>
      </c>
      <c r="G112" s="76">
        <f t="shared" si="45"/>
        <v>37.850280836817873</v>
      </c>
      <c r="I112" s="77">
        <f t="shared" si="49"/>
        <v>108</v>
      </c>
      <c r="J112" s="73">
        <f t="shared" si="46"/>
        <v>2031</v>
      </c>
      <c r="K112" s="78">
        <f t="shared" si="48"/>
        <v>47939</v>
      </c>
    </row>
    <row r="113" spans="2:11" hidden="1" outlineLevel="1">
      <c r="B113" s="78">
        <f t="shared" si="43"/>
        <v>47969</v>
      </c>
      <c r="C113" s="75">
        <v>1469078.9555191398</v>
      </c>
      <c r="D113" s="71">
        <f>IF(F113&lt;&gt;0,VLOOKUP($J113,'Table 1'!$B$13:$C$33,2,FALSE)/12*1000*Study_MW,0)</f>
        <v>994067.96433950693</v>
      </c>
      <c r="E113" s="71">
        <f t="shared" si="44"/>
        <v>2463146.9198586466</v>
      </c>
      <c r="F113" s="75">
        <v>74400</v>
      </c>
      <c r="G113" s="76">
        <f t="shared" si="45"/>
        <v>33.106813438960302</v>
      </c>
      <c r="I113" s="77">
        <f t="shared" si="49"/>
        <v>109</v>
      </c>
      <c r="J113" s="73">
        <f t="shared" si="46"/>
        <v>2031</v>
      </c>
      <c r="K113" s="78">
        <f t="shared" si="48"/>
        <v>47969</v>
      </c>
    </row>
    <row r="114" spans="2:11" hidden="1" outlineLevel="1">
      <c r="B114" s="78">
        <f t="shared" si="43"/>
        <v>48000</v>
      </c>
      <c r="C114" s="75">
        <v>1912381.9882226735</v>
      </c>
      <c r="D114" s="71">
        <f>IF(F114&lt;&gt;0,VLOOKUP($J114,'Table 1'!$B$13:$C$33,2,FALSE)/12*1000*Study_MW,0)</f>
        <v>994067.96433950693</v>
      </c>
      <c r="E114" s="71">
        <f t="shared" si="44"/>
        <v>2906449.9525621803</v>
      </c>
      <c r="F114" s="75">
        <v>72000</v>
      </c>
      <c r="G114" s="76">
        <f t="shared" si="45"/>
        <v>40.367360452252505</v>
      </c>
      <c r="I114" s="77">
        <f t="shared" si="49"/>
        <v>110</v>
      </c>
      <c r="J114" s="73">
        <f t="shared" si="46"/>
        <v>2031</v>
      </c>
      <c r="K114" s="78">
        <f t="shared" si="48"/>
        <v>48000</v>
      </c>
    </row>
    <row r="115" spans="2:11" hidden="1" outlineLevel="1">
      <c r="B115" s="78">
        <f t="shared" si="43"/>
        <v>48030</v>
      </c>
      <c r="C115" s="75">
        <v>4321766.3712221086</v>
      </c>
      <c r="D115" s="71">
        <f>IF(F115&lt;&gt;0,VLOOKUP($J115,'Table 1'!$B$13:$C$33,2,FALSE)/12*1000*Study_MW,0)</f>
        <v>994067.96433950693</v>
      </c>
      <c r="E115" s="71">
        <f t="shared" si="44"/>
        <v>5315834.3355616154</v>
      </c>
      <c r="F115" s="75">
        <v>74400</v>
      </c>
      <c r="G115" s="76">
        <f t="shared" si="45"/>
        <v>71.449386230666875</v>
      </c>
      <c r="I115" s="77">
        <f t="shared" si="49"/>
        <v>111</v>
      </c>
      <c r="J115" s="73">
        <f t="shared" si="46"/>
        <v>2031</v>
      </c>
      <c r="K115" s="78">
        <f t="shared" si="48"/>
        <v>48030</v>
      </c>
    </row>
    <row r="116" spans="2:11" hidden="1" outlineLevel="1">
      <c r="B116" s="78">
        <f t="shared" si="43"/>
        <v>48061</v>
      </c>
      <c r="C116" s="75">
        <v>4603369.0617815852</v>
      </c>
      <c r="D116" s="71">
        <f>IF(F116&lt;&gt;0,VLOOKUP($J116,'Table 1'!$B$13:$C$33,2,FALSE)/12*1000*Study_MW,0)</f>
        <v>994067.96433950693</v>
      </c>
      <c r="E116" s="71">
        <f t="shared" si="44"/>
        <v>5597437.026121092</v>
      </c>
      <c r="F116" s="75">
        <v>74400</v>
      </c>
      <c r="G116" s="76">
        <f t="shared" si="45"/>
        <v>75.234368630659844</v>
      </c>
      <c r="I116" s="77">
        <f t="shared" si="49"/>
        <v>112</v>
      </c>
      <c r="J116" s="73">
        <f t="shared" si="46"/>
        <v>2031</v>
      </c>
      <c r="K116" s="78">
        <f t="shared" si="48"/>
        <v>48061</v>
      </c>
    </row>
    <row r="117" spans="2:11" hidden="1" outlineLevel="1">
      <c r="B117" s="78">
        <f t="shared" si="43"/>
        <v>48092</v>
      </c>
      <c r="C117" s="75">
        <v>2833475.5195204616</v>
      </c>
      <c r="D117" s="71">
        <f>IF(F117&lt;&gt;0,VLOOKUP($J117,'Table 1'!$B$13:$C$33,2,FALSE)/12*1000*Study_MW,0)</f>
        <v>994067.96433950693</v>
      </c>
      <c r="E117" s="71">
        <f t="shared" si="44"/>
        <v>3827543.4838599684</v>
      </c>
      <c r="F117" s="75">
        <v>72000</v>
      </c>
      <c r="G117" s="76">
        <f t="shared" si="45"/>
        <v>53.160326164721781</v>
      </c>
      <c r="I117" s="77">
        <f t="shared" si="49"/>
        <v>113</v>
      </c>
      <c r="J117" s="73">
        <f t="shared" si="46"/>
        <v>2031</v>
      </c>
      <c r="K117" s="78">
        <f t="shared" si="48"/>
        <v>48092</v>
      </c>
    </row>
    <row r="118" spans="2:11" hidden="1" outlineLevel="1">
      <c r="B118" s="78">
        <f t="shared" si="43"/>
        <v>48122</v>
      </c>
      <c r="C118" s="75">
        <v>2223141.0040483177</v>
      </c>
      <c r="D118" s="71">
        <f>IF(F118&lt;&gt;0,VLOOKUP($J118,'Table 1'!$B$13:$C$33,2,FALSE)/12*1000*Study_MW,0)</f>
        <v>994067.96433950693</v>
      </c>
      <c r="E118" s="71">
        <f t="shared" si="44"/>
        <v>3217208.9683878245</v>
      </c>
      <c r="F118" s="75">
        <v>74400</v>
      </c>
      <c r="G118" s="76">
        <f t="shared" si="45"/>
        <v>43.242056026718068</v>
      </c>
      <c r="I118" s="77">
        <f t="shared" si="49"/>
        <v>114</v>
      </c>
      <c r="J118" s="73">
        <f t="shared" si="46"/>
        <v>2031</v>
      </c>
      <c r="K118" s="78">
        <f t="shared" si="48"/>
        <v>48122</v>
      </c>
    </row>
    <row r="119" spans="2:11" hidden="1" outlineLevel="1">
      <c r="B119" s="78">
        <f t="shared" si="43"/>
        <v>48153</v>
      </c>
      <c r="C119" s="75">
        <v>2427912.8480727971</v>
      </c>
      <c r="D119" s="71">
        <f>IF(F119&lt;&gt;0,VLOOKUP($J119,'Table 1'!$B$13:$C$33,2,FALSE)/12*1000*Study_MW,0)</f>
        <v>994067.96433950693</v>
      </c>
      <c r="E119" s="71">
        <f t="shared" si="44"/>
        <v>3421980.8124123039</v>
      </c>
      <c r="F119" s="75">
        <v>72000</v>
      </c>
      <c r="G119" s="76">
        <f t="shared" si="45"/>
        <v>47.527511283504218</v>
      </c>
      <c r="I119" s="77">
        <f t="shared" si="49"/>
        <v>115</v>
      </c>
      <c r="J119" s="73">
        <f t="shared" si="46"/>
        <v>2031</v>
      </c>
      <c r="K119" s="78">
        <f t="shared" si="48"/>
        <v>48153</v>
      </c>
    </row>
    <row r="120" spans="2:11" hidden="1" outlineLevel="1">
      <c r="B120" s="82">
        <f t="shared" si="43"/>
        <v>48183</v>
      </c>
      <c r="C120" s="79">
        <v>2446738.2968051434</v>
      </c>
      <c r="D120" s="80">
        <f>IF(F120&lt;&gt;0,VLOOKUP($J120,'Table 1'!$B$13:$C$33,2,FALSE)/12*1000*Study_MW,0)</f>
        <v>994067.96433950693</v>
      </c>
      <c r="E120" s="80">
        <f t="shared" si="44"/>
        <v>3440806.2611446502</v>
      </c>
      <c r="F120" s="79">
        <v>74400</v>
      </c>
      <c r="G120" s="81">
        <f t="shared" si="45"/>
        <v>46.247395983127021</v>
      </c>
      <c r="I120" s="64">
        <f t="shared" si="49"/>
        <v>116</v>
      </c>
      <c r="J120" s="73">
        <f t="shared" si="46"/>
        <v>2031</v>
      </c>
      <c r="K120" s="82">
        <f t="shared" si="48"/>
        <v>48183</v>
      </c>
    </row>
    <row r="121" spans="2:11" hidden="1" outlineLevel="1">
      <c r="B121" s="74">
        <f t="shared" si="43"/>
        <v>48214</v>
      </c>
      <c r="C121" s="69">
        <v>2057441.3077911139</v>
      </c>
      <c r="D121" s="70">
        <f>IF(F121&lt;&gt;0,VLOOKUP($J121,'Table 1'!$B$13:$C$33,2,FALSE)/12*1000*Study_MW,0)</f>
        <v>1015435.4032833691</v>
      </c>
      <c r="E121" s="70">
        <f t="shared" si="44"/>
        <v>3072876.7110744831</v>
      </c>
      <c r="F121" s="69">
        <v>74400</v>
      </c>
      <c r="G121" s="72">
        <f t="shared" si="45"/>
        <v>41.302106331646279</v>
      </c>
      <c r="I121" s="60">
        <f>I109+13</f>
        <v>118</v>
      </c>
      <c r="J121" s="73">
        <f t="shared" si="46"/>
        <v>2032</v>
      </c>
      <c r="K121" s="74">
        <f t="shared" si="48"/>
        <v>48214</v>
      </c>
    </row>
    <row r="122" spans="2:11" hidden="1" outlineLevel="1">
      <c r="B122" s="78">
        <f t="shared" si="43"/>
        <v>48245</v>
      </c>
      <c r="C122" s="75">
        <v>2278880.6810881197</v>
      </c>
      <c r="D122" s="71">
        <f>IF(F122&lt;&gt;0,VLOOKUP($J122,'Table 1'!$B$13:$C$33,2,FALSE)/12*1000*Study_MW,0)</f>
        <v>1015435.4032833691</v>
      </c>
      <c r="E122" s="71">
        <f t="shared" si="44"/>
        <v>3294316.084371489</v>
      </c>
      <c r="F122" s="75">
        <v>69600</v>
      </c>
      <c r="G122" s="76">
        <f t="shared" si="45"/>
        <v>47.332127649015646</v>
      </c>
      <c r="I122" s="77">
        <f t="shared" ref="I122:I132" si="50">I110+13</f>
        <v>119</v>
      </c>
      <c r="J122" s="73">
        <f t="shared" si="46"/>
        <v>2032</v>
      </c>
      <c r="K122" s="78">
        <f t="shared" si="48"/>
        <v>48245</v>
      </c>
    </row>
    <row r="123" spans="2:11" hidden="1" outlineLevel="1">
      <c r="B123" s="78">
        <f t="shared" si="43"/>
        <v>48274</v>
      </c>
      <c r="C123" s="75">
        <v>2015899.0107855052</v>
      </c>
      <c r="D123" s="71">
        <f>IF(F123&lt;&gt;0,VLOOKUP($J123,'Table 1'!$B$13:$C$33,2,FALSE)/12*1000*Study_MW,0)</f>
        <v>1015435.4032833691</v>
      </c>
      <c r="E123" s="71">
        <f t="shared" si="44"/>
        <v>3031334.4140688744</v>
      </c>
      <c r="F123" s="75">
        <v>74400</v>
      </c>
      <c r="G123" s="76">
        <f t="shared" si="45"/>
        <v>40.743742124581644</v>
      </c>
      <c r="I123" s="77">
        <f t="shared" si="50"/>
        <v>120</v>
      </c>
      <c r="J123" s="73">
        <f t="shared" si="46"/>
        <v>2032</v>
      </c>
      <c r="K123" s="78">
        <f t="shared" si="48"/>
        <v>48274</v>
      </c>
    </row>
    <row r="124" spans="2:11" hidden="1" outlineLevel="1">
      <c r="B124" s="78">
        <f t="shared" si="43"/>
        <v>48305</v>
      </c>
      <c r="C124" s="75">
        <v>1488117.3502762169</v>
      </c>
      <c r="D124" s="71">
        <f>IF(F124&lt;&gt;0,VLOOKUP($J124,'Table 1'!$B$13:$C$33,2,FALSE)/12*1000*Study_MW,0)</f>
        <v>1015435.4032833691</v>
      </c>
      <c r="E124" s="71">
        <f t="shared" si="44"/>
        <v>2503552.7535595861</v>
      </c>
      <c r="F124" s="75">
        <v>72000</v>
      </c>
      <c r="G124" s="76">
        <f t="shared" si="45"/>
        <v>34.771566021660917</v>
      </c>
      <c r="I124" s="77">
        <f t="shared" si="50"/>
        <v>121</v>
      </c>
      <c r="J124" s="73">
        <f t="shared" si="46"/>
        <v>2032</v>
      </c>
      <c r="K124" s="78">
        <f t="shared" si="48"/>
        <v>48305</v>
      </c>
    </row>
    <row r="125" spans="2:11" hidden="1" outlineLevel="1">
      <c r="B125" s="78">
        <f t="shared" si="43"/>
        <v>48335</v>
      </c>
      <c r="C125" s="75">
        <v>1258173.5839861929</v>
      </c>
      <c r="D125" s="71">
        <f>IF(F125&lt;&gt;0,VLOOKUP($J125,'Table 1'!$B$13:$C$33,2,FALSE)/12*1000*Study_MW,0)</f>
        <v>1015435.4032833691</v>
      </c>
      <c r="E125" s="71">
        <f t="shared" si="44"/>
        <v>2273608.9872695622</v>
      </c>
      <c r="F125" s="75">
        <v>74400</v>
      </c>
      <c r="G125" s="76">
        <f t="shared" si="45"/>
        <v>30.559260581580137</v>
      </c>
      <c r="I125" s="77">
        <f t="shared" si="50"/>
        <v>122</v>
      </c>
      <c r="J125" s="73">
        <f t="shared" si="46"/>
        <v>2032</v>
      </c>
      <c r="K125" s="78">
        <f t="shared" si="48"/>
        <v>48335</v>
      </c>
    </row>
    <row r="126" spans="2:11" hidden="1" outlineLevel="1">
      <c r="B126" s="78">
        <f t="shared" si="43"/>
        <v>48366</v>
      </c>
      <c r="C126" s="75">
        <v>1780611.8099408895</v>
      </c>
      <c r="D126" s="71">
        <f>IF(F126&lt;&gt;0,VLOOKUP($J126,'Table 1'!$B$13:$C$33,2,FALSE)/12*1000*Study_MW,0)</f>
        <v>1015435.4032833691</v>
      </c>
      <c r="E126" s="71">
        <f t="shared" si="44"/>
        <v>2796047.2132242587</v>
      </c>
      <c r="F126" s="75">
        <v>72000</v>
      </c>
      <c r="G126" s="76">
        <f t="shared" si="45"/>
        <v>38.833989072559149</v>
      </c>
      <c r="I126" s="77">
        <f t="shared" si="50"/>
        <v>123</v>
      </c>
      <c r="J126" s="73">
        <f t="shared" si="46"/>
        <v>2032</v>
      </c>
      <c r="K126" s="78">
        <f t="shared" si="48"/>
        <v>48366</v>
      </c>
    </row>
    <row r="127" spans="2:11" hidden="1" outlineLevel="1">
      <c r="B127" s="78">
        <f t="shared" si="43"/>
        <v>48396</v>
      </c>
      <c r="C127" s="75">
        <v>4427965.7826872766</v>
      </c>
      <c r="D127" s="71">
        <f>IF(F127&lt;&gt;0,VLOOKUP($J127,'Table 1'!$B$13:$C$33,2,FALSE)/12*1000*Study_MW,0)</f>
        <v>1015435.4032833691</v>
      </c>
      <c r="E127" s="71">
        <f t="shared" si="44"/>
        <v>5443401.1859706454</v>
      </c>
      <c r="F127" s="75">
        <v>74400</v>
      </c>
      <c r="G127" s="76">
        <f t="shared" si="45"/>
        <v>73.163994435089322</v>
      </c>
      <c r="I127" s="77">
        <f t="shared" si="50"/>
        <v>124</v>
      </c>
      <c r="J127" s="73">
        <f t="shared" si="46"/>
        <v>2032</v>
      </c>
      <c r="K127" s="78">
        <f t="shared" si="48"/>
        <v>48396</v>
      </c>
    </row>
    <row r="128" spans="2:11" hidden="1" outlineLevel="1">
      <c r="B128" s="78">
        <f t="shared" si="43"/>
        <v>48427</v>
      </c>
      <c r="C128" s="75">
        <v>4779037.8161303699</v>
      </c>
      <c r="D128" s="71">
        <f>IF(F128&lt;&gt;0,VLOOKUP($J128,'Table 1'!$B$13:$C$33,2,FALSE)/12*1000*Study_MW,0)</f>
        <v>1015435.4032833691</v>
      </c>
      <c r="E128" s="71">
        <f t="shared" si="44"/>
        <v>5794473.2194137387</v>
      </c>
      <c r="F128" s="75">
        <v>74400</v>
      </c>
      <c r="G128" s="76">
        <f t="shared" si="45"/>
        <v>77.88270456201262</v>
      </c>
      <c r="I128" s="77">
        <f t="shared" si="50"/>
        <v>125</v>
      </c>
      <c r="J128" s="73">
        <f t="shared" si="46"/>
        <v>2032</v>
      </c>
      <c r="K128" s="78">
        <f t="shared" si="48"/>
        <v>48427</v>
      </c>
    </row>
    <row r="129" spans="2:11" hidden="1" outlineLevel="1">
      <c r="B129" s="78">
        <f t="shared" si="43"/>
        <v>48458</v>
      </c>
      <c r="C129" s="75">
        <v>2661356.6225705147</v>
      </c>
      <c r="D129" s="71">
        <f>IF(F129&lt;&gt;0,VLOOKUP($J129,'Table 1'!$B$13:$C$33,2,FALSE)/12*1000*Study_MW,0)</f>
        <v>1015435.4032833691</v>
      </c>
      <c r="E129" s="71">
        <f t="shared" si="44"/>
        <v>3676792.0258538839</v>
      </c>
      <c r="F129" s="75">
        <v>72000</v>
      </c>
      <c r="G129" s="76">
        <f t="shared" si="45"/>
        <v>51.066555914637277</v>
      </c>
      <c r="I129" s="77">
        <f t="shared" si="50"/>
        <v>126</v>
      </c>
      <c r="J129" s="73">
        <f t="shared" si="46"/>
        <v>2032</v>
      </c>
      <c r="K129" s="78">
        <f t="shared" si="48"/>
        <v>48458</v>
      </c>
    </row>
    <row r="130" spans="2:11" hidden="1" outlineLevel="1">
      <c r="B130" s="78">
        <f t="shared" si="43"/>
        <v>48488</v>
      </c>
      <c r="C130" s="75">
        <v>2200512.5905425251</v>
      </c>
      <c r="D130" s="71">
        <f>IF(F130&lt;&gt;0,VLOOKUP($J130,'Table 1'!$B$13:$C$33,2,FALSE)/12*1000*Study_MW,0)</f>
        <v>1015435.4032833691</v>
      </c>
      <c r="E130" s="71">
        <f t="shared" si="44"/>
        <v>3215947.9938258943</v>
      </c>
      <c r="F130" s="75">
        <v>74400</v>
      </c>
      <c r="G130" s="76">
        <f t="shared" si="45"/>
        <v>43.225107443896427</v>
      </c>
      <c r="I130" s="77">
        <f t="shared" si="50"/>
        <v>127</v>
      </c>
      <c r="J130" s="73">
        <f t="shared" si="46"/>
        <v>2032</v>
      </c>
      <c r="K130" s="78">
        <f t="shared" si="48"/>
        <v>48488</v>
      </c>
    </row>
    <row r="131" spans="2:11" hidden="1" outlineLevel="1">
      <c r="B131" s="78">
        <f t="shared" si="43"/>
        <v>48519</v>
      </c>
      <c r="C131" s="75">
        <v>2431918.5655266345</v>
      </c>
      <c r="D131" s="71">
        <f>IF(F131&lt;&gt;0,VLOOKUP($J131,'Table 1'!$B$13:$C$33,2,FALSE)/12*1000*Study_MW,0)</f>
        <v>1015435.4032833691</v>
      </c>
      <c r="E131" s="71">
        <f t="shared" si="44"/>
        <v>3447353.9688100037</v>
      </c>
      <c r="F131" s="75">
        <v>72000</v>
      </c>
      <c r="G131" s="76">
        <f t="shared" si="45"/>
        <v>47.879916233472272</v>
      </c>
      <c r="I131" s="77">
        <f t="shared" si="50"/>
        <v>128</v>
      </c>
      <c r="J131" s="73">
        <f t="shared" si="46"/>
        <v>2032</v>
      </c>
      <c r="K131" s="78">
        <f t="shared" si="48"/>
        <v>48519</v>
      </c>
    </row>
    <row r="132" spans="2:11" hidden="1" outlineLevel="1">
      <c r="B132" s="82">
        <f t="shared" si="43"/>
        <v>48549</v>
      </c>
      <c r="C132" s="79">
        <v>2342165.1763203144</v>
      </c>
      <c r="D132" s="80">
        <f>IF(F132&lt;&gt;0,VLOOKUP($J132,'Table 1'!$B$13:$C$33,2,FALSE)/12*1000*Study_MW,0)</f>
        <v>1015435.4032833691</v>
      </c>
      <c r="E132" s="80">
        <f t="shared" si="44"/>
        <v>3357600.5796036837</v>
      </c>
      <c r="F132" s="79">
        <v>74400</v>
      </c>
      <c r="G132" s="81">
        <f t="shared" si="45"/>
        <v>45.129040048436607</v>
      </c>
      <c r="I132" s="64">
        <f t="shared" si="50"/>
        <v>129</v>
      </c>
      <c r="J132" s="73">
        <f t="shared" si="46"/>
        <v>2032</v>
      </c>
      <c r="K132" s="82">
        <f t="shared" si="48"/>
        <v>48549</v>
      </c>
    </row>
    <row r="133" spans="2:11" hidden="1" outlineLevel="1">
      <c r="B133" s="74">
        <f t="shared" si="43"/>
        <v>48580</v>
      </c>
      <c r="C133" s="69">
        <v>1933661.9424270689</v>
      </c>
      <c r="D133" s="70">
        <f>IF(F133&lt;&gt;0,VLOOKUP($J133,'Table 1'!$B$13:$C$33,2,FALSE)/12*1000*Study_MW,0)</f>
        <v>1037294.789436117</v>
      </c>
      <c r="E133" s="70">
        <f t="shared" si="44"/>
        <v>2970956.7318631858</v>
      </c>
      <c r="F133" s="69">
        <v>74400</v>
      </c>
      <c r="G133" s="72">
        <f t="shared" si="45"/>
        <v>39.932214137946048</v>
      </c>
      <c r="I133" s="60">
        <f>I13</f>
        <v>1</v>
      </c>
      <c r="J133" s="73">
        <f t="shared" si="46"/>
        <v>2033</v>
      </c>
      <c r="K133" s="74">
        <f t="shared" si="48"/>
        <v>48580</v>
      </c>
    </row>
    <row r="134" spans="2:11" hidden="1" outlineLevel="1">
      <c r="B134" s="78">
        <f t="shared" si="43"/>
        <v>48611</v>
      </c>
      <c r="C134" s="75">
        <v>2228635.8027435541</v>
      </c>
      <c r="D134" s="71">
        <f>IF(F134&lt;&gt;0,VLOOKUP($J134,'Table 1'!$B$13:$C$33,2,FALSE)/12*1000*Study_MW,0)</f>
        <v>1037294.789436117</v>
      </c>
      <c r="E134" s="71">
        <f t="shared" si="44"/>
        <v>3265930.5921796709</v>
      </c>
      <c r="F134" s="75">
        <v>67200</v>
      </c>
      <c r="G134" s="76">
        <f t="shared" si="45"/>
        <v>48.600157621721294</v>
      </c>
      <c r="I134" s="77">
        <f t="shared" ref="I134:I197" si="51">I14</f>
        <v>2</v>
      </c>
      <c r="J134" s="73">
        <f t="shared" si="46"/>
        <v>2033</v>
      </c>
      <c r="K134" s="78">
        <f t="shared" si="48"/>
        <v>48611</v>
      </c>
    </row>
    <row r="135" spans="2:11" hidden="1" outlineLevel="1">
      <c r="B135" s="78">
        <f t="shared" si="43"/>
        <v>48639</v>
      </c>
      <c r="C135" s="75">
        <v>1852830.9351642132</v>
      </c>
      <c r="D135" s="71">
        <f>IF(F135&lt;&gt;0,VLOOKUP($J135,'Table 1'!$B$13:$C$33,2,FALSE)/12*1000*Study_MW,0)</f>
        <v>1037294.789436117</v>
      </c>
      <c r="E135" s="71">
        <f t="shared" si="44"/>
        <v>2890125.72460033</v>
      </c>
      <c r="F135" s="75">
        <v>74400</v>
      </c>
      <c r="G135" s="76">
        <f t="shared" si="45"/>
        <v>38.845775868284008</v>
      </c>
      <c r="I135" s="77">
        <f t="shared" si="51"/>
        <v>3</v>
      </c>
      <c r="J135" s="73">
        <f t="shared" si="46"/>
        <v>2033</v>
      </c>
      <c r="K135" s="78">
        <f t="shared" si="48"/>
        <v>48639</v>
      </c>
    </row>
    <row r="136" spans="2:11" hidden="1" outlineLevel="1">
      <c r="B136" s="78">
        <f t="shared" si="43"/>
        <v>48670</v>
      </c>
      <c r="C136" s="75">
        <v>1491747.3345659226</v>
      </c>
      <c r="D136" s="71">
        <f>IF(F136&lt;&gt;0,VLOOKUP($J136,'Table 1'!$B$13:$C$33,2,FALSE)/12*1000*Study_MW,0)</f>
        <v>1037294.789436117</v>
      </c>
      <c r="E136" s="71">
        <f t="shared" si="44"/>
        <v>2529042.1240020394</v>
      </c>
      <c r="F136" s="75">
        <v>72000</v>
      </c>
      <c r="G136" s="76">
        <f t="shared" si="45"/>
        <v>35.125585055583883</v>
      </c>
      <c r="I136" s="77">
        <f t="shared" si="51"/>
        <v>4</v>
      </c>
      <c r="J136" s="73">
        <f t="shared" si="46"/>
        <v>2033</v>
      </c>
      <c r="K136" s="78">
        <f t="shared" si="48"/>
        <v>48670</v>
      </c>
    </row>
    <row r="137" spans="2:11" hidden="1" outlineLevel="1">
      <c r="B137" s="78">
        <f t="shared" si="43"/>
        <v>48700</v>
      </c>
      <c r="C137" s="75">
        <v>1285590.2204198539</v>
      </c>
      <c r="D137" s="71">
        <f>IF(F137&lt;&gt;0,VLOOKUP($J137,'Table 1'!$B$13:$C$33,2,FALSE)/12*1000*Study_MW,0)</f>
        <v>1037294.789436117</v>
      </c>
      <c r="E137" s="71">
        <f t="shared" si="44"/>
        <v>2322885.0098559707</v>
      </c>
      <c r="F137" s="75">
        <v>74400</v>
      </c>
      <c r="G137" s="76">
        <f t="shared" si="45"/>
        <v>31.221572713117887</v>
      </c>
      <c r="I137" s="77">
        <f t="shared" si="51"/>
        <v>5</v>
      </c>
      <c r="J137" s="73">
        <f t="shared" si="46"/>
        <v>2033</v>
      </c>
      <c r="K137" s="78">
        <f t="shared" si="48"/>
        <v>48700</v>
      </c>
    </row>
    <row r="138" spans="2:11" hidden="1" outlineLevel="1">
      <c r="B138" s="78">
        <f t="shared" si="43"/>
        <v>48731</v>
      </c>
      <c r="C138" s="75">
        <v>1770468.8163064122</v>
      </c>
      <c r="D138" s="71">
        <f>IF(F138&lt;&gt;0,VLOOKUP($J138,'Table 1'!$B$13:$C$33,2,FALSE)/12*1000*Study_MW,0)</f>
        <v>1037294.789436117</v>
      </c>
      <c r="E138" s="71">
        <f t="shared" si="44"/>
        <v>2807763.605742529</v>
      </c>
      <c r="F138" s="75">
        <v>72000</v>
      </c>
      <c r="G138" s="76">
        <f t="shared" si="45"/>
        <v>38.996716746424013</v>
      </c>
      <c r="I138" s="77">
        <f t="shared" si="51"/>
        <v>6</v>
      </c>
      <c r="J138" s="73">
        <f t="shared" si="46"/>
        <v>2033</v>
      </c>
      <c r="K138" s="78">
        <f t="shared" si="48"/>
        <v>48731</v>
      </c>
    </row>
    <row r="139" spans="2:11" hidden="1" outlineLevel="1">
      <c r="B139" s="78">
        <f t="shared" si="43"/>
        <v>48761</v>
      </c>
      <c r="C139" s="75">
        <v>4319674.9047119319</v>
      </c>
      <c r="D139" s="71">
        <f>IF(F139&lt;&gt;0,VLOOKUP($J139,'Table 1'!$B$13:$C$33,2,FALSE)/12*1000*Study_MW,0)</f>
        <v>1037294.789436117</v>
      </c>
      <c r="E139" s="71">
        <f t="shared" si="44"/>
        <v>5356969.6941480488</v>
      </c>
      <c r="F139" s="75">
        <v>74400</v>
      </c>
      <c r="G139" s="76">
        <f t="shared" si="45"/>
        <v>72.002280835323234</v>
      </c>
      <c r="I139" s="77">
        <f t="shared" si="51"/>
        <v>7</v>
      </c>
      <c r="J139" s="73">
        <f t="shared" si="46"/>
        <v>2033</v>
      </c>
      <c r="K139" s="78">
        <f t="shared" si="48"/>
        <v>48761</v>
      </c>
    </row>
    <row r="140" spans="2:11" hidden="1" outlineLevel="1">
      <c r="B140" s="78">
        <f t="shared" si="43"/>
        <v>48792</v>
      </c>
      <c r="C140" s="75">
        <v>4919398.8506588936</v>
      </c>
      <c r="D140" s="71">
        <f>IF(F140&lt;&gt;0,VLOOKUP($J140,'Table 1'!$B$13:$C$33,2,FALSE)/12*1000*Study_MW,0)</f>
        <v>1037294.789436117</v>
      </c>
      <c r="E140" s="71">
        <f t="shared" si="44"/>
        <v>5956693.6400950104</v>
      </c>
      <c r="F140" s="75">
        <v>74400</v>
      </c>
      <c r="G140" s="76">
        <f t="shared" si="45"/>
        <v>80.063086560416806</v>
      </c>
      <c r="I140" s="77">
        <f t="shared" si="51"/>
        <v>8</v>
      </c>
      <c r="J140" s="73">
        <f t="shared" si="46"/>
        <v>2033</v>
      </c>
      <c r="K140" s="78">
        <f t="shared" si="48"/>
        <v>48792</v>
      </c>
    </row>
    <row r="141" spans="2:11" hidden="1" outlineLevel="1">
      <c r="B141" s="78">
        <f t="shared" si="43"/>
        <v>48823</v>
      </c>
      <c r="C141" s="75">
        <v>2640758.7170529962</v>
      </c>
      <c r="D141" s="71">
        <f>IF(F141&lt;&gt;0,VLOOKUP($J141,'Table 1'!$B$13:$C$33,2,FALSE)/12*1000*Study_MW,0)</f>
        <v>1037294.789436117</v>
      </c>
      <c r="E141" s="71">
        <f t="shared" si="44"/>
        <v>3678053.506489113</v>
      </c>
      <c r="F141" s="75">
        <v>72000</v>
      </c>
      <c r="G141" s="76">
        <f t="shared" si="45"/>
        <v>51.084076479015458</v>
      </c>
      <c r="I141" s="77">
        <f t="shared" si="51"/>
        <v>9</v>
      </c>
      <c r="J141" s="73">
        <f t="shared" si="46"/>
        <v>2033</v>
      </c>
      <c r="K141" s="78">
        <f t="shared" si="48"/>
        <v>48823</v>
      </c>
    </row>
    <row r="142" spans="2:11" hidden="1" outlineLevel="1">
      <c r="B142" s="78">
        <f t="shared" ref="B142:B205" si="52">EDATE(B141,1)</f>
        <v>48853</v>
      </c>
      <c r="C142" s="75">
        <v>2238219.1078114212</v>
      </c>
      <c r="D142" s="71">
        <f>IF(F142&lt;&gt;0,VLOOKUP($J142,'Table 1'!$B$13:$C$33,2,FALSE)/12*1000*Study_MW,0)</f>
        <v>1037294.789436117</v>
      </c>
      <c r="E142" s="71">
        <f t="shared" ref="E142:E192" si="53">C142+D142</f>
        <v>3275513.897247538</v>
      </c>
      <c r="F142" s="75">
        <v>74400</v>
      </c>
      <c r="G142" s="76">
        <f t="shared" ref="G142:G192" si="54">IF(ISNUMBER($F142),E142/$F142,"")</f>
        <v>44.025724425370136</v>
      </c>
      <c r="I142" s="77">
        <f t="shared" si="51"/>
        <v>10</v>
      </c>
      <c r="J142" s="73">
        <f t="shared" ref="J142:J192" si="55">YEAR(B142)</f>
        <v>2033</v>
      </c>
      <c r="K142" s="78">
        <f t="shared" si="48"/>
        <v>48853</v>
      </c>
    </row>
    <row r="143" spans="2:11" hidden="1" outlineLevel="1">
      <c r="B143" s="78">
        <f t="shared" si="52"/>
        <v>48884</v>
      </c>
      <c r="C143" s="75">
        <v>2570819.5297378004</v>
      </c>
      <c r="D143" s="71">
        <f>IF(F143&lt;&gt;0,VLOOKUP($J143,'Table 1'!$B$13:$C$33,2,FALSE)/12*1000*Study_MW,0)</f>
        <v>1037294.789436117</v>
      </c>
      <c r="E143" s="71">
        <f t="shared" si="53"/>
        <v>3608114.3191739172</v>
      </c>
      <c r="F143" s="75">
        <v>72000</v>
      </c>
      <c r="G143" s="76">
        <f t="shared" si="54"/>
        <v>50.112698877415518</v>
      </c>
      <c r="I143" s="77">
        <f t="shared" si="51"/>
        <v>11</v>
      </c>
      <c r="J143" s="73">
        <f t="shared" si="55"/>
        <v>2033</v>
      </c>
      <c r="K143" s="78">
        <f t="shared" si="48"/>
        <v>48884</v>
      </c>
    </row>
    <row r="144" spans="2:11" hidden="1" outlineLevel="1">
      <c r="B144" s="82">
        <f t="shared" si="52"/>
        <v>48914</v>
      </c>
      <c r="C144" s="79">
        <v>2199852.367164135</v>
      </c>
      <c r="D144" s="80">
        <f>IF(F144&lt;&gt;0,VLOOKUP($J144,'Table 1'!$B$13:$C$33,2,FALSE)/12*1000*Study_MW,0)</f>
        <v>1037294.789436117</v>
      </c>
      <c r="E144" s="80">
        <f t="shared" si="53"/>
        <v>3237147.1566002518</v>
      </c>
      <c r="F144" s="79">
        <v>74400</v>
      </c>
      <c r="G144" s="81">
        <f t="shared" si="54"/>
        <v>43.510042427422739</v>
      </c>
      <c r="I144" s="64">
        <f t="shared" si="51"/>
        <v>12</v>
      </c>
      <c r="J144" s="73">
        <f t="shared" si="55"/>
        <v>2033</v>
      </c>
      <c r="K144" s="82">
        <f t="shared" si="48"/>
        <v>48914</v>
      </c>
    </row>
    <row r="145" spans="2:11" hidden="1" outlineLevel="1">
      <c r="B145" s="74">
        <f t="shared" si="52"/>
        <v>48945</v>
      </c>
      <c r="C145" s="69">
        <v>1797459.7520973682</v>
      </c>
      <c r="D145" s="70">
        <f>IF(F145&lt;&gt;0,VLOOKUP($J145,'Table 1'!$B$13:$C$33,2,FALSE)/12*1000*Study_MW,0)</f>
        <v>1059689.5074946468</v>
      </c>
      <c r="E145" s="70">
        <f t="shared" si="53"/>
        <v>2857149.2595920153</v>
      </c>
      <c r="F145" s="69">
        <v>74400</v>
      </c>
      <c r="G145" s="72">
        <f t="shared" si="54"/>
        <v>38.402543811720633</v>
      </c>
      <c r="I145" s="60">
        <f>I25</f>
        <v>14</v>
      </c>
      <c r="J145" s="73">
        <f t="shared" si="55"/>
        <v>2034</v>
      </c>
      <c r="K145" s="74">
        <f t="shared" si="48"/>
        <v>48945</v>
      </c>
    </row>
    <row r="146" spans="2:11" hidden="1" outlineLevel="1">
      <c r="B146" s="78">
        <f t="shared" si="52"/>
        <v>48976</v>
      </c>
      <c r="C146" s="75">
        <v>2013648.803073138</v>
      </c>
      <c r="D146" s="71">
        <f>IF(F146&lt;&gt;0,VLOOKUP($J146,'Table 1'!$B$13:$C$33,2,FALSE)/12*1000*Study_MW,0)</f>
        <v>1059689.5074946468</v>
      </c>
      <c r="E146" s="71">
        <f t="shared" si="53"/>
        <v>3073338.3105677851</v>
      </c>
      <c r="F146" s="75">
        <v>67200</v>
      </c>
      <c r="G146" s="76">
        <f t="shared" si="54"/>
        <v>45.73420105011585</v>
      </c>
      <c r="I146" s="77">
        <f t="shared" si="51"/>
        <v>15</v>
      </c>
      <c r="J146" s="73">
        <f t="shared" si="55"/>
        <v>2034</v>
      </c>
      <c r="K146" s="78">
        <f t="shared" si="48"/>
        <v>48976</v>
      </c>
    </row>
    <row r="147" spans="2:11" hidden="1" outlineLevel="1">
      <c r="B147" s="78">
        <f t="shared" si="52"/>
        <v>49004</v>
      </c>
      <c r="C147" s="75">
        <v>1766634.9961919636</v>
      </c>
      <c r="D147" s="71">
        <f>IF(F147&lt;&gt;0,VLOOKUP($J147,'Table 1'!$B$13:$C$33,2,FALSE)/12*1000*Study_MW,0)</f>
        <v>1059689.5074946468</v>
      </c>
      <c r="E147" s="71">
        <f t="shared" si="53"/>
        <v>2826324.5036866106</v>
      </c>
      <c r="F147" s="75">
        <v>74400</v>
      </c>
      <c r="G147" s="76">
        <f t="shared" si="54"/>
        <v>37.988232576432935</v>
      </c>
      <c r="I147" s="77">
        <f t="shared" si="51"/>
        <v>16</v>
      </c>
      <c r="J147" s="73">
        <f t="shared" si="55"/>
        <v>2034</v>
      </c>
      <c r="K147" s="78">
        <f t="shared" si="48"/>
        <v>49004</v>
      </c>
    </row>
    <row r="148" spans="2:11" hidden="1" outlineLevel="1">
      <c r="B148" s="78">
        <f t="shared" si="52"/>
        <v>49035</v>
      </c>
      <c r="C148" s="75">
        <v>1483288.1446059346</v>
      </c>
      <c r="D148" s="71">
        <f>IF(F148&lt;&gt;0,VLOOKUP($J148,'Table 1'!$B$13:$C$33,2,FALSE)/12*1000*Study_MW,0)</f>
        <v>1059689.5074946468</v>
      </c>
      <c r="E148" s="71">
        <f t="shared" si="53"/>
        <v>2542977.6521005817</v>
      </c>
      <c r="F148" s="75">
        <v>72000</v>
      </c>
      <c r="G148" s="76">
        <f t="shared" si="54"/>
        <v>35.319134056952521</v>
      </c>
      <c r="I148" s="77">
        <f t="shared" si="51"/>
        <v>17</v>
      </c>
      <c r="J148" s="73">
        <f t="shared" si="55"/>
        <v>2034</v>
      </c>
      <c r="K148" s="78">
        <f t="shared" si="48"/>
        <v>49035</v>
      </c>
    </row>
    <row r="149" spans="2:11" hidden="1" outlineLevel="1">
      <c r="B149" s="78">
        <f t="shared" si="52"/>
        <v>49065</v>
      </c>
      <c r="C149" s="75">
        <v>1242994.9229466021</v>
      </c>
      <c r="D149" s="71">
        <f>IF(F149&lt;&gt;0,VLOOKUP($J149,'Table 1'!$B$13:$C$33,2,FALSE)/12*1000*Study_MW,0)</f>
        <v>1059689.5074946468</v>
      </c>
      <c r="E149" s="71">
        <f t="shared" si="53"/>
        <v>2302684.4304412492</v>
      </c>
      <c r="F149" s="75">
        <v>74400</v>
      </c>
      <c r="G149" s="76">
        <f t="shared" si="54"/>
        <v>30.950059548941521</v>
      </c>
      <c r="I149" s="77">
        <f t="shared" si="51"/>
        <v>18</v>
      </c>
      <c r="J149" s="73">
        <f t="shared" si="55"/>
        <v>2034</v>
      </c>
      <c r="K149" s="78">
        <f t="shared" si="48"/>
        <v>49065</v>
      </c>
    </row>
    <row r="150" spans="2:11" hidden="1" outlineLevel="1">
      <c r="B150" s="78">
        <f t="shared" si="52"/>
        <v>49096</v>
      </c>
      <c r="C150" s="75">
        <v>1680792.2230108231</v>
      </c>
      <c r="D150" s="71">
        <f>IF(F150&lt;&gt;0,VLOOKUP($J150,'Table 1'!$B$13:$C$33,2,FALSE)/12*1000*Study_MW,0)</f>
        <v>1059689.5074946468</v>
      </c>
      <c r="E150" s="71">
        <f t="shared" si="53"/>
        <v>2740481.7305054702</v>
      </c>
      <c r="F150" s="75">
        <v>72000</v>
      </c>
      <c r="G150" s="76">
        <f t="shared" si="54"/>
        <v>38.062246257020419</v>
      </c>
      <c r="I150" s="77">
        <f t="shared" si="51"/>
        <v>19</v>
      </c>
      <c r="J150" s="73">
        <f t="shared" si="55"/>
        <v>2034</v>
      </c>
      <c r="K150" s="78">
        <f t="shared" si="48"/>
        <v>49096</v>
      </c>
    </row>
    <row r="151" spans="2:11" hidden="1" outlineLevel="1">
      <c r="B151" s="78">
        <f t="shared" si="52"/>
        <v>49126</v>
      </c>
      <c r="C151" s="75">
        <v>4212956.2628436387</v>
      </c>
      <c r="D151" s="71">
        <f>IF(F151&lt;&gt;0,VLOOKUP($J151,'Table 1'!$B$13:$C$33,2,FALSE)/12*1000*Study_MW,0)</f>
        <v>1059689.5074946468</v>
      </c>
      <c r="E151" s="71">
        <f t="shared" si="53"/>
        <v>5272645.7703382857</v>
      </c>
      <c r="F151" s="75">
        <v>74400</v>
      </c>
      <c r="G151" s="76">
        <f t="shared" si="54"/>
        <v>70.868894762611362</v>
      </c>
      <c r="I151" s="77">
        <f t="shared" si="51"/>
        <v>20</v>
      </c>
      <c r="J151" s="73">
        <f t="shared" si="55"/>
        <v>2034</v>
      </c>
      <c r="K151" s="78">
        <f t="shared" si="48"/>
        <v>49126</v>
      </c>
    </row>
    <row r="152" spans="2:11" hidden="1" outlineLevel="1">
      <c r="B152" s="78">
        <f t="shared" si="52"/>
        <v>49157</v>
      </c>
      <c r="C152" s="75">
        <v>4742912.8935625553</v>
      </c>
      <c r="D152" s="71">
        <f>IF(F152&lt;&gt;0,VLOOKUP($J152,'Table 1'!$B$13:$C$33,2,FALSE)/12*1000*Study_MW,0)</f>
        <v>1059689.5074946468</v>
      </c>
      <c r="E152" s="71">
        <f t="shared" si="53"/>
        <v>5802602.4010572024</v>
      </c>
      <c r="F152" s="75">
        <v>74400</v>
      </c>
      <c r="G152" s="76">
        <f t="shared" si="54"/>
        <v>77.991967756145186</v>
      </c>
      <c r="I152" s="77">
        <f t="shared" si="51"/>
        <v>21</v>
      </c>
      <c r="J152" s="73">
        <f t="shared" si="55"/>
        <v>2034</v>
      </c>
      <c r="K152" s="78">
        <f t="shared" si="48"/>
        <v>49157</v>
      </c>
    </row>
    <row r="153" spans="2:11" hidden="1" outlineLevel="1">
      <c r="B153" s="78">
        <f t="shared" si="52"/>
        <v>49188</v>
      </c>
      <c r="C153" s="75">
        <v>2561486.5603040755</v>
      </c>
      <c r="D153" s="71">
        <f>IF(F153&lt;&gt;0,VLOOKUP($J153,'Table 1'!$B$13:$C$33,2,FALSE)/12*1000*Study_MW,0)</f>
        <v>1059689.5074946468</v>
      </c>
      <c r="E153" s="71">
        <f t="shared" si="53"/>
        <v>3621176.0677987225</v>
      </c>
      <c r="F153" s="75">
        <v>72000</v>
      </c>
      <c r="G153" s="76">
        <f t="shared" si="54"/>
        <v>50.294112052760035</v>
      </c>
      <c r="I153" s="77">
        <f t="shared" si="51"/>
        <v>22</v>
      </c>
      <c r="J153" s="73">
        <f t="shared" si="55"/>
        <v>2034</v>
      </c>
      <c r="K153" s="78">
        <f t="shared" si="48"/>
        <v>49188</v>
      </c>
    </row>
    <row r="154" spans="2:11" hidden="1" outlineLevel="1">
      <c r="B154" s="78">
        <f t="shared" si="52"/>
        <v>49218</v>
      </c>
      <c r="C154" s="75">
        <v>2037517.3687843084</v>
      </c>
      <c r="D154" s="71">
        <f>IF(F154&lt;&gt;0,VLOOKUP($J154,'Table 1'!$B$13:$C$33,2,FALSE)/12*1000*Study_MW,0)</f>
        <v>1059689.5074946468</v>
      </c>
      <c r="E154" s="71">
        <f t="shared" si="53"/>
        <v>3097206.8762789555</v>
      </c>
      <c r="F154" s="75">
        <v>74400</v>
      </c>
      <c r="G154" s="76">
        <f t="shared" si="54"/>
        <v>41.629124681168754</v>
      </c>
      <c r="I154" s="77">
        <f t="shared" si="51"/>
        <v>23</v>
      </c>
      <c r="J154" s="73">
        <f t="shared" si="55"/>
        <v>2034</v>
      </c>
      <c r="K154" s="78">
        <f t="shared" ref="K154:K192" si="56">IF(ISNUMBER(F154),IF(F154&lt;&gt;0,B154,""),"")</f>
        <v>49218</v>
      </c>
    </row>
    <row r="155" spans="2:11" hidden="1" outlineLevel="1">
      <c r="B155" s="78">
        <f t="shared" si="52"/>
        <v>49249</v>
      </c>
      <c r="C155" s="75">
        <v>2323985.0719569325</v>
      </c>
      <c r="D155" s="71">
        <f>IF(F155&lt;&gt;0,VLOOKUP($J155,'Table 1'!$B$13:$C$33,2,FALSE)/12*1000*Study_MW,0)</f>
        <v>1059689.5074946468</v>
      </c>
      <c r="E155" s="71">
        <f t="shared" si="53"/>
        <v>3383674.5794515796</v>
      </c>
      <c r="F155" s="75">
        <v>72000</v>
      </c>
      <c r="G155" s="76">
        <f t="shared" si="54"/>
        <v>46.995480270160826</v>
      </c>
      <c r="I155" s="77">
        <f t="shared" si="51"/>
        <v>24</v>
      </c>
      <c r="J155" s="73">
        <f t="shared" si="55"/>
        <v>2034</v>
      </c>
      <c r="K155" s="78">
        <f t="shared" si="56"/>
        <v>49249</v>
      </c>
    </row>
    <row r="156" spans="2:11" hidden="1" outlineLevel="1">
      <c r="B156" s="82">
        <f t="shared" si="52"/>
        <v>49279</v>
      </c>
      <c r="C156" s="79">
        <v>2022466.2181428671</v>
      </c>
      <c r="D156" s="80">
        <f>IF(F156&lt;&gt;0,VLOOKUP($J156,'Table 1'!$B$13:$C$33,2,FALSE)/12*1000*Study_MW,0)</f>
        <v>1059689.5074946468</v>
      </c>
      <c r="E156" s="80">
        <f t="shared" si="53"/>
        <v>3082155.7256375141</v>
      </c>
      <c r="F156" s="79">
        <v>74400</v>
      </c>
      <c r="G156" s="81">
        <f t="shared" si="54"/>
        <v>41.426824269321429</v>
      </c>
      <c r="I156" s="64">
        <f t="shared" si="51"/>
        <v>25</v>
      </c>
      <c r="J156" s="73">
        <f t="shared" si="55"/>
        <v>2034</v>
      </c>
      <c r="K156" s="82">
        <f t="shared" si="56"/>
        <v>49279</v>
      </c>
    </row>
    <row r="157" spans="2:11" hidden="1" outlineLevel="1">
      <c r="B157" s="74">
        <f t="shared" si="52"/>
        <v>49310</v>
      </c>
      <c r="C157" s="69">
        <v>1865202.4815783501</v>
      </c>
      <c r="D157" s="70">
        <f>IF(F157&lt;&gt;0,VLOOKUP($J157,'Table 1'!$B$13:$C$33,2,FALSE)/12*1000*Study_MW,0)</f>
        <v>1082530.3354746609</v>
      </c>
      <c r="E157" s="70">
        <f t="shared" si="53"/>
        <v>2947732.8170530107</v>
      </c>
      <c r="F157" s="69">
        <v>74400</v>
      </c>
      <c r="G157" s="72">
        <f t="shared" si="54"/>
        <v>39.620064745336165</v>
      </c>
      <c r="I157" s="60">
        <f>I37</f>
        <v>27</v>
      </c>
      <c r="J157" s="73">
        <f t="shared" si="55"/>
        <v>2035</v>
      </c>
      <c r="K157" s="74">
        <f t="shared" si="56"/>
        <v>49310</v>
      </c>
    </row>
    <row r="158" spans="2:11" hidden="1" outlineLevel="1">
      <c r="B158" s="78">
        <f t="shared" si="52"/>
        <v>49341</v>
      </c>
      <c r="C158" s="75">
        <v>2082090.4477686584</v>
      </c>
      <c r="D158" s="71">
        <f>IF(F158&lt;&gt;0,VLOOKUP($J158,'Table 1'!$B$13:$C$33,2,FALSE)/12*1000*Study_MW,0)</f>
        <v>1082530.3354746609</v>
      </c>
      <c r="E158" s="71">
        <f t="shared" si="53"/>
        <v>3164620.783243319</v>
      </c>
      <c r="F158" s="75">
        <v>67200</v>
      </c>
      <c r="G158" s="76">
        <f t="shared" si="54"/>
        <v>47.092571179216058</v>
      </c>
      <c r="I158" s="77">
        <f t="shared" si="51"/>
        <v>28</v>
      </c>
      <c r="J158" s="73">
        <f t="shared" si="55"/>
        <v>2035</v>
      </c>
      <c r="K158" s="78">
        <f t="shared" si="56"/>
        <v>49341</v>
      </c>
    </row>
    <row r="159" spans="2:11" hidden="1" outlineLevel="1">
      <c r="B159" s="78">
        <f t="shared" si="52"/>
        <v>49369</v>
      </c>
      <c r="C159" s="75">
        <v>1908727.7921954542</v>
      </c>
      <c r="D159" s="71">
        <f>IF(F159&lt;&gt;0,VLOOKUP($J159,'Table 1'!$B$13:$C$33,2,FALSE)/12*1000*Study_MW,0)</f>
        <v>1082530.3354746609</v>
      </c>
      <c r="E159" s="71">
        <f t="shared" si="53"/>
        <v>2991258.1276701149</v>
      </c>
      <c r="F159" s="75">
        <v>74400</v>
      </c>
      <c r="G159" s="76">
        <f t="shared" si="54"/>
        <v>40.205082361157459</v>
      </c>
      <c r="I159" s="77">
        <f t="shared" si="51"/>
        <v>29</v>
      </c>
      <c r="J159" s="73">
        <f t="shared" si="55"/>
        <v>2035</v>
      </c>
      <c r="K159" s="78">
        <f t="shared" si="56"/>
        <v>49369</v>
      </c>
    </row>
    <row r="160" spans="2:11" hidden="1" outlineLevel="1">
      <c r="B160" s="78">
        <f t="shared" si="52"/>
        <v>49400</v>
      </c>
      <c r="C160" s="75">
        <v>1523715.5835640132</v>
      </c>
      <c r="D160" s="71">
        <f>IF(F160&lt;&gt;0,VLOOKUP($J160,'Table 1'!$B$13:$C$33,2,FALSE)/12*1000*Study_MW,0)</f>
        <v>1082530.3354746609</v>
      </c>
      <c r="E160" s="71">
        <f t="shared" si="53"/>
        <v>2606245.9190386739</v>
      </c>
      <c r="F160" s="75">
        <v>72000</v>
      </c>
      <c r="G160" s="76">
        <f t="shared" si="54"/>
        <v>36.197859986648247</v>
      </c>
      <c r="I160" s="77">
        <f t="shared" si="51"/>
        <v>30</v>
      </c>
      <c r="J160" s="73">
        <f t="shared" si="55"/>
        <v>2035</v>
      </c>
      <c r="K160" s="78">
        <f t="shared" si="56"/>
        <v>49400</v>
      </c>
    </row>
    <row r="161" spans="2:11" hidden="1" outlineLevel="1">
      <c r="B161" s="78">
        <f t="shared" si="52"/>
        <v>49430</v>
      </c>
      <c r="C161" s="75">
        <v>1294149.6565779895</v>
      </c>
      <c r="D161" s="71">
        <f>IF(F161&lt;&gt;0,VLOOKUP($J161,'Table 1'!$B$13:$C$33,2,FALSE)/12*1000*Study_MW,0)</f>
        <v>1082530.3354746609</v>
      </c>
      <c r="E161" s="71">
        <f t="shared" si="53"/>
        <v>2376679.9920526501</v>
      </c>
      <c r="F161" s="75">
        <v>74400</v>
      </c>
      <c r="G161" s="76">
        <f t="shared" si="54"/>
        <v>31.944623549094761</v>
      </c>
      <c r="I161" s="77">
        <f t="shared" si="51"/>
        <v>31</v>
      </c>
      <c r="J161" s="73">
        <f t="shared" si="55"/>
        <v>2035</v>
      </c>
      <c r="K161" s="78">
        <f t="shared" si="56"/>
        <v>49430</v>
      </c>
    </row>
    <row r="162" spans="2:11" hidden="1" outlineLevel="1">
      <c r="B162" s="78">
        <f t="shared" si="52"/>
        <v>49461</v>
      </c>
      <c r="C162" s="75">
        <v>1767262.5044010878</v>
      </c>
      <c r="D162" s="71">
        <f>IF(F162&lt;&gt;0,VLOOKUP($J162,'Table 1'!$B$13:$C$33,2,FALSE)/12*1000*Study_MW,0)</f>
        <v>1082530.3354746609</v>
      </c>
      <c r="E162" s="71">
        <f t="shared" si="53"/>
        <v>2849792.8398757484</v>
      </c>
      <c r="F162" s="75">
        <v>72000</v>
      </c>
      <c r="G162" s="76">
        <f t="shared" si="54"/>
        <v>39.580456109385395</v>
      </c>
      <c r="I162" s="77">
        <f t="shared" si="51"/>
        <v>32</v>
      </c>
      <c r="J162" s="73">
        <f t="shared" si="55"/>
        <v>2035</v>
      </c>
      <c r="K162" s="78">
        <f t="shared" si="56"/>
        <v>49461</v>
      </c>
    </row>
    <row r="163" spans="2:11" hidden="1" outlineLevel="1">
      <c r="B163" s="78">
        <f t="shared" si="52"/>
        <v>49491</v>
      </c>
      <c r="C163" s="75">
        <v>4471742.9564226568</v>
      </c>
      <c r="D163" s="71">
        <f>IF(F163&lt;&gt;0,VLOOKUP($J163,'Table 1'!$B$13:$C$33,2,FALSE)/12*1000*Study_MW,0)</f>
        <v>1082530.3354746609</v>
      </c>
      <c r="E163" s="71">
        <f t="shared" si="53"/>
        <v>5554273.2918973174</v>
      </c>
      <c r="F163" s="75">
        <v>74400</v>
      </c>
      <c r="G163" s="76">
        <f t="shared" si="54"/>
        <v>74.654210912598359</v>
      </c>
      <c r="I163" s="77">
        <f t="shared" si="51"/>
        <v>33</v>
      </c>
      <c r="J163" s="73">
        <f t="shared" si="55"/>
        <v>2035</v>
      </c>
      <c r="K163" s="78">
        <f t="shared" si="56"/>
        <v>49491</v>
      </c>
    </row>
    <row r="164" spans="2:11" hidden="1" outlineLevel="1">
      <c r="B164" s="78">
        <f t="shared" si="52"/>
        <v>49522</v>
      </c>
      <c r="C164" s="75">
        <v>4813974.9730547071</v>
      </c>
      <c r="D164" s="71">
        <f>IF(F164&lt;&gt;0,VLOOKUP($J164,'Table 1'!$B$13:$C$33,2,FALSE)/12*1000*Study_MW,0)</f>
        <v>1082530.3354746609</v>
      </c>
      <c r="E164" s="71">
        <f t="shared" si="53"/>
        <v>5896505.3085293677</v>
      </c>
      <c r="F164" s="75">
        <v>74400</v>
      </c>
      <c r="G164" s="76">
        <f t="shared" si="54"/>
        <v>79.254103609265698</v>
      </c>
      <c r="I164" s="77">
        <f t="shared" si="51"/>
        <v>34</v>
      </c>
      <c r="J164" s="73">
        <f t="shared" si="55"/>
        <v>2035</v>
      </c>
      <c r="K164" s="78">
        <f t="shared" si="56"/>
        <v>49522</v>
      </c>
    </row>
    <row r="165" spans="2:11" hidden="1" outlineLevel="1">
      <c r="B165" s="78">
        <f t="shared" si="52"/>
        <v>49553</v>
      </c>
      <c r="C165" s="75">
        <v>2669272.6153131723</v>
      </c>
      <c r="D165" s="71">
        <f>IF(F165&lt;&gt;0,VLOOKUP($J165,'Table 1'!$B$13:$C$33,2,FALSE)/12*1000*Study_MW,0)</f>
        <v>1082530.3354746609</v>
      </c>
      <c r="E165" s="71">
        <f t="shared" si="53"/>
        <v>3751802.950787833</v>
      </c>
      <c r="F165" s="75">
        <v>72000</v>
      </c>
      <c r="G165" s="76">
        <f t="shared" si="54"/>
        <v>52.108374316497681</v>
      </c>
      <c r="I165" s="77">
        <f t="shared" si="51"/>
        <v>35</v>
      </c>
      <c r="J165" s="73">
        <f t="shared" si="55"/>
        <v>2035</v>
      </c>
      <c r="K165" s="78">
        <f t="shared" si="56"/>
        <v>49553</v>
      </c>
    </row>
    <row r="166" spans="2:11" hidden="1" outlineLevel="1">
      <c r="B166" s="78">
        <f t="shared" si="52"/>
        <v>49583</v>
      </c>
      <c r="C166" s="75">
        <v>2136416.1952116936</v>
      </c>
      <c r="D166" s="71">
        <f>IF(F166&lt;&gt;0,VLOOKUP($J166,'Table 1'!$B$13:$C$33,2,FALSE)/12*1000*Study_MW,0)</f>
        <v>1082530.3354746609</v>
      </c>
      <c r="E166" s="71">
        <f t="shared" si="53"/>
        <v>3218946.5306863543</v>
      </c>
      <c r="F166" s="75">
        <v>74400</v>
      </c>
      <c r="G166" s="76">
        <f t="shared" si="54"/>
        <v>43.265410358687561</v>
      </c>
      <c r="I166" s="77">
        <f t="shared" si="51"/>
        <v>36</v>
      </c>
      <c r="J166" s="73">
        <f t="shared" si="55"/>
        <v>2035</v>
      </c>
      <c r="K166" s="78">
        <f t="shared" si="56"/>
        <v>49583</v>
      </c>
    </row>
    <row r="167" spans="2:11" hidden="1" outlineLevel="1">
      <c r="B167" s="78">
        <f t="shared" si="52"/>
        <v>49614</v>
      </c>
      <c r="C167" s="75">
        <v>2383517.6887322366</v>
      </c>
      <c r="D167" s="71">
        <f>IF(F167&lt;&gt;0,VLOOKUP($J167,'Table 1'!$B$13:$C$33,2,FALSE)/12*1000*Study_MW,0)</f>
        <v>1082530.3354746609</v>
      </c>
      <c r="E167" s="71">
        <f t="shared" si="53"/>
        <v>3466048.0242068972</v>
      </c>
      <c r="F167" s="75">
        <v>72000</v>
      </c>
      <c r="G167" s="76">
        <f t="shared" si="54"/>
        <v>48.139555891762463</v>
      </c>
      <c r="I167" s="77">
        <f t="shared" si="51"/>
        <v>37</v>
      </c>
      <c r="J167" s="73">
        <f t="shared" si="55"/>
        <v>2035</v>
      </c>
      <c r="K167" s="78">
        <f t="shared" si="56"/>
        <v>49614</v>
      </c>
    </row>
    <row r="168" spans="2:11" hidden="1" outlineLevel="1">
      <c r="B168" s="82">
        <f t="shared" si="52"/>
        <v>49644</v>
      </c>
      <c r="C168" s="79">
        <v>2101386.725453347</v>
      </c>
      <c r="D168" s="80">
        <f>IF(F168&lt;&gt;0,VLOOKUP($J168,'Table 1'!$B$13:$C$33,2,FALSE)/12*1000*Study_MW,0)</f>
        <v>1082530.3354746609</v>
      </c>
      <c r="E168" s="80">
        <f t="shared" si="53"/>
        <v>3183917.0609280076</v>
      </c>
      <c r="F168" s="79">
        <v>74400</v>
      </c>
      <c r="G168" s="81">
        <f t="shared" si="54"/>
        <v>42.794584152258167</v>
      </c>
      <c r="I168" s="64">
        <f t="shared" si="51"/>
        <v>38</v>
      </c>
      <c r="J168" s="73">
        <f t="shared" si="55"/>
        <v>2035</v>
      </c>
      <c r="K168" s="82">
        <f t="shared" si="56"/>
        <v>49644</v>
      </c>
    </row>
    <row r="169" spans="2:11" hidden="1" outlineLevel="1">
      <c r="B169" s="74">
        <f t="shared" si="52"/>
        <v>49675</v>
      </c>
      <c r="C169" s="69">
        <v>1943849.5778325498</v>
      </c>
      <c r="D169" s="70">
        <f>IF(F169&lt;&gt;0,VLOOKUP($J169,'Table 1'!$B$13:$C$33,2,FALSE)/12*1000*Study_MW,0)</f>
        <v>1105817.2733761598</v>
      </c>
      <c r="E169" s="70">
        <f t="shared" si="53"/>
        <v>3049666.8512087096</v>
      </c>
      <c r="F169" s="69">
        <v>74400</v>
      </c>
      <c r="G169" s="72">
        <f t="shared" si="54"/>
        <v>40.990145849579427</v>
      </c>
      <c r="I169" s="60">
        <f>I49</f>
        <v>40</v>
      </c>
      <c r="J169" s="73">
        <f t="shared" si="55"/>
        <v>2036</v>
      </c>
      <c r="K169" s="74">
        <f t="shared" si="56"/>
        <v>49675</v>
      </c>
    </row>
    <row r="170" spans="2:11" hidden="1" outlineLevel="1">
      <c r="B170" s="78">
        <f t="shared" si="52"/>
        <v>49706</v>
      </c>
      <c r="C170" s="75">
        <v>2117331.6661987901</v>
      </c>
      <c r="D170" s="71">
        <f>IF(F170&lt;&gt;0,VLOOKUP($J170,'Table 1'!$B$13:$C$33,2,FALSE)/12*1000*Study_MW,0)</f>
        <v>1105817.2733761598</v>
      </c>
      <c r="E170" s="71">
        <f t="shared" si="53"/>
        <v>3223148.9395749499</v>
      </c>
      <c r="F170" s="75">
        <v>69600</v>
      </c>
      <c r="G170" s="76">
        <f t="shared" si="54"/>
        <v>46.309611200789512</v>
      </c>
      <c r="I170" s="77">
        <f t="shared" si="51"/>
        <v>41</v>
      </c>
      <c r="J170" s="73">
        <f t="shared" si="55"/>
        <v>2036</v>
      </c>
      <c r="K170" s="78">
        <f t="shared" si="56"/>
        <v>49706</v>
      </c>
    </row>
    <row r="171" spans="2:11" hidden="1" outlineLevel="1">
      <c r="B171" s="78">
        <f t="shared" si="52"/>
        <v>49735</v>
      </c>
      <c r="C171" s="75">
        <v>1921510.2968712747</v>
      </c>
      <c r="D171" s="71">
        <f>IF(F171&lt;&gt;0,VLOOKUP($J171,'Table 1'!$B$13:$C$33,2,FALSE)/12*1000*Study_MW,0)</f>
        <v>1105817.2733761598</v>
      </c>
      <c r="E171" s="71">
        <f t="shared" si="53"/>
        <v>3027327.5702474345</v>
      </c>
      <c r="F171" s="75">
        <v>74400</v>
      </c>
      <c r="G171" s="76">
        <f t="shared" si="54"/>
        <v>40.689886696874119</v>
      </c>
      <c r="I171" s="77">
        <f t="shared" si="51"/>
        <v>42</v>
      </c>
      <c r="J171" s="73">
        <f t="shared" si="55"/>
        <v>2036</v>
      </c>
      <c r="K171" s="78">
        <f t="shared" si="56"/>
        <v>49735</v>
      </c>
    </row>
    <row r="172" spans="2:11" hidden="1" outlineLevel="1">
      <c r="B172" s="78">
        <f t="shared" si="52"/>
        <v>49766</v>
      </c>
      <c r="C172" s="75">
        <v>1639529.5594822913</v>
      </c>
      <c r="D172" s="71">
        <f>IF(F172&lt;&gt;0,VLOOKUP($J172,'Table 1'!$B$13:$C$33,2,FALSE)/12*1000*Study_MW,0)</f>
        <v>1105817.2733761598</v>
      </c>
      <c r="E172" s="71">
        <f t="shared" si="53"/>
        <v>2745346.8328584512</v>
      </c>
      <c r="F172" s="75">
        <v>72000</v>
      </c>
      <c r="G172" s="76">
        <f t="shared" si="54"/>
        <v>38.129817123034044</v>
      </c>
      <c r="I172" s="77">
        <f t="shared" si="51"/>
        <v>43</v>
      </c>
      <c r="J172" s="73">
        <f t="shared" si="55"/>
        <v>2036</v>
      </c>
      <c r="K172" s="78">
        <f t="shared" si="56"/>
        <v>49766</v>
      </c>
    </row>
    <row r="173" spans="2:11" hidden="1" outlineLevel="1">
      <c r="B173" s="78">
        <f t="shared" si="52"/>
        <v>49796</v>
      </c>
      <c r="C173" s="75">
        <v>1391846.8050785661</v>
      </c>
      <c r="D173" s="71">
        <f>IF(F173&lt;&gt;0,VLOOKUP($J173,'Table 1'!$B$13:$C$33,2,FALSE)/12*1000*Study_MW,0)</f>
        <v>1105817.2733761598</v>
      </c>
      <c r="E173" s="71">
        <f t="shared" si="53"/>
        <v>2497664.0784547259</v>
      </c>
      <c r="F173" s="75">
        <v>74400</v>
      </c>
      <c r="G173" s="76">
        <f t="shared" si="54"/>
        <v>33.570753742671045</v>
      </c>
      <c r="I173" s="77">
        <f t="shared" si="51"/>
        <v>44</v>
      </c>
      <c r="J173" s="73">
        <f t="shared" si="55"/>
        <v>2036</v>
      </c>
      <c r="K173" s="78">
        <f t="shared" si="56"/>
        <v>49796</v>
      </c>
    </row>
    <row r="174" spans="2:11" hidden="1" outlineLevel="1">
      <c r="B174" s="78">
        <f t="shared" si="52"/>
        <v>49827</v>
      </c>
      <c r="C174" s="75">
        <v>1912620.3464976102</v>
      </c>
      <c r="D174" s="71">
        <f>IF(F174&lt;&gt;0,VLOOKUP($J174,'Table 1'!$B$13:$C$33,2,FALSE)/12*1000*Study_MW,0)</f>
        <v>1105817.2733761598</v>
      </c>
      <c r="E174" s="71">
        <f t="shared" si="53"/>
        <v>3018437.61987377</v>
      </c>
      <c r="F174" s="75">
        <v>72000</v>
      </c>
      <c r="G174" s="76">
        <f t="shared" si="54"/>
        <v>41.922744720469026</v>
      </c>
      <c r="I174" s="77">
        <f t="shared" si="51"/>
        <v>45</v>
      </c>
      <c r="J174" s="73">
        <f t="shared" si="55"/>
        <v>2036</v>
      </c>
      <c r="K174" s="78">
        <f t="shared" si="56"/>
        <v>49827</v>
      </c>
    </row>
    <row r="175" spans="2:11" hidden="1" outlineLevel="1">
      <c r="B175" s="78">
        <f t="shared" si="52"/>
        <v>49857</v>
      </c>
      <c r="C175" s="75">
        <v>4751270.5803833306</v>
      </c>
      <c r="D175" s="71">
        <f>IF(F175&lt;&gt;0,VLOOKUP($J175,'Table 1'!$B$13:$C$33,2,FALSE)/12*1000*Study_MW,0)</f>
        <v>1105817.2733761598</v>
      </c>
      <c r="E175" s="71">
        <f t="shared" si="53"/>
        <v>5857087.85375949</v>
      </c>
      <c r="F175" s="75">
        <v>74400</v>
      </c>
      <c r="G175" s="76">
        <f t="shared" si="54"/>
        <v>78.724299109670568</v>
      </c>
      <c r="I175" s="77">
        <f t="shared" si="51"/>
        <v>46</v>
      </c>
      <c r="J175" s="73">
        <f t="shared" si="55"/>
        <v>2036</v>
      </c>
      <c r="K175" s="78">
        <f t="shared" si="56"/>
        <v>49857</v>
      </c>
    </row>
    <row r="176" spans="2:11" hidden="1" outlineLevel="1">
      <c r="B176" s="78">
        <f t="shared" si="52"/>
        <v>49888</v>
      </c>
      <c r="C176" s="75">
        <v>5362784.1461127102</v>
      </c>
      <c r="D176" s="71">
        <f>IF(F176&lt;&gt;0,VLOOKUP($J176,'Table 1'!$B$13:$C$33,2,FALSE)/12*1000*Study_MW,0)</f>
        <v>1105817.2733761598</v>
      </c>
      <c r="E176" s="71">
        <f t="shared" si="53"/>
        <v>6468601.4194888696</v>
      </c>
      <c r="F176" s="75">
        <v>74400</v>
      </c>
      <c r="G176" s="76">
        <f t="shared" si="54"/>
        <v>86.943567466248254</v>
      </c>
      <c r="I176" s="77">
        <f t="shared" si="51"/>
        <v>47</v>
      </c>
      <c r="J176" s="73">
        <f t="shared" si="55"/>
        <v>2036</v>
      </c>
      <c r="K176" s="78">
        <f t="shared" si="56"/>
        <v>49888</v>
      </c>
    </row>
    <row r="177" spans="2:11" hidden="1" outlineLevel="1">
      <c r="B177" s="78">
        <f t="shared" si="52"/>
        <v>49919</v>
      </c>
      <c r="C177" s="75">
        <v>3090114.6543824971</v>
      </c>
      <c r="D177" s="71">
        <f>IF(F177&lt;&gt;0,VLOOKUP($J177,'Table 1'!$B$13:$C$33,2,FALSE)/12*1000*Study_MW,0)</f>
        <v>1105817.2733761598</v>
      </c>
      <c r="E177" s="71">
        <f t="shared" si="53"/>
        <v>4195931.9277586564</v>
      </c>
      <c r="F177" s="75">
        <v>72000</v>
      </c>
      <c r="G177" s="76">
        <f t="shared" si="54"/>
        <v>58.276832329981339</v>
      </c>
      <c r="I177" s="77">
        <f t="shared" si="51"/>
        <v>48</v>
      </c>
      <c r="J177" s="73">
        <f t="shared" si="55"/>
        <v>2036</v>
      </c>
      <c r="K177" s="78">
        <f t="shared" si="56"/>
        <v>49919</v>
      </c>
    </row>
    <row r="178" spans="2:11" hidden="1" outlineLevel="1">
      <c r="B178" s="78">
        <f t="shared" si="52"/>
        <v>49949</v>
      </c>
      <c r="C178" s="75">
        <v>2280106.8445401937</v>
      </c>
      <c r="D178" s="71">
        <f>IF(F178&lt;&gt;0,VLOOKUP($J178,'Table 1'!$B$13:$C$33,2,FALSE)/12*1000*Study_MW,0)</f>
        <v>1105817.2733761598</v>
      </c>
      <c r="E178" s="71">
        <f t="shared" si="53"/>
        <v>3385924.1179163535</v>
      </c>
      <c r="F178" s="75">
        <v>74400</v>
      </c>
      <c r="G178" s="76">
        <f t="shared" si="54"/>
        <v>45.509732767692924</v>
      </c>
      <c r="I178" s="77">
        <f t="shared" si="51"/>
        <v>49</v>
      </c>
      <c r="J178" s="73">
        <f t="shared" si="55"/>
        <v>2036</v>
      </c>
      <c r="K178" s="78">
        <f t="shared" si="56"/>
        <v>49949</v>
      </c>
    </row>
    <row r="179" spans="2:11" hidden="1" outlineLevel="1">
      <c r="B179" s="78">
        <f t="shared" si="52"/>
        <v>49980</v>
      </c>
      <c r="C179" s="75">
        <v>2462605.6681827605</v>
      </c>
      <c r="D179" s="71">
        <f>IF(F179&lt;&gt;0,VLOOKUP($J179,'Table 1'!$B$13:$C$33,2,FALSE)/12*1000*Study_MW,0)</f>
        <v>1105817.2733761598</v>
      </c>
      <c r="E179" s="71">
        <f t="shared" si="53"/>
        <v>3568422.9415589203</v>
      </c>
      <c r="F179" s="75">
        <v>72000</v>
      </c>
      <c r="G179" s="76">
        <f t="shared" si="54"/>
        <v>49.561429743873894</v>
      </c>
      <c r="I179" s="77">
        <f t="shared" si="51"/>
        <v>50</v>
      </c>
      <c r="J179" s="73">
        <f t="shared" si="55"/>
        <v>2036</v>
      </c>
      <c r="K179" s="78">
        <f t="shared" si="56"/>
        <v>49980</v>
      </c>
    </row>
    <row r="180" spans="2:11" hidden="1" outlineLevel="1">
      <c r="B180" s="82">
        <f t="shared" si="52"/>
        <v>50010</v>
      </c>
      <c r="C180" s="79">
        <v>2173646.3794665039</v>
      </c>
      <c r="D180" s="80">
        <f>IF(F180&lt;&gt;0,VLOOKUP($J180,'Table 1'!$B$13:$C$33,2,FALSE)/12*1000*Study_MW,0)</f>
        <v>1105817.2733761598</v>
      </c>
      <c r="E180" s="80">
        <f t="shared" si="53"/>
        <v>3279463.6528426637</v>
      </c>
      <c r="F180" s="79">
        <v>74400</v>
      </c>
      <c r="G180" s="81">
        <f t="shared" si="54"/>
        <v>44.078812538207842</v>
      </c>
      <c r="I180" s="64">
        <f t="shared" si="51"/>
        <v>51</v>
      </c>
      <c r="J180" s="73">
        <f t="shared" si="55"/>
        <v>2036</v>
      </c>
      <c r="K180" s="82">
        <f t="shared" si="56"/>
        <v>50010</v>
      </c>
    </row>
    <row r="181" spans="2:11" collapsed="1">
      <c r="B181" s="74">
        <f t="shared" si="52"/>
        <v>50041</v>
      </c>
      <c r="C181" s="69">
        <v>2711461.3428542614</v>
      </c>
      <c r="D181" s="70">
        <f>IF(F181&lt;&gt;0,VLOOKUP($J181,'Table 1'!$B$13:$C$33,2,FALSE)/12*1000*Study_MW,0)</f>
        <v>1129639.5431834406</v>
      </c>
      <c r="E181" s="70">
        <f t="shared" si="53"/>
        <v>3841100.8860377017</v>
      </c>
      <c r="F181" s="69">
        <v>74400</v>
      </c>
      <c r="G181" s="72">
        <f t="shared" si="54"/>
        <v>51.627700081151907</v>
      </c>
      <c r="I181" s="60">
        <f>I61</f>
        <v>53</v>
      </c>
      <c r="J181" s="73">
        <f t="shared" si="55"/>
        <v>2037</v>
      </c>
      <c r="K181" s="74">
        <f t="shared" si="56"/>
        <v>50041</v>
      </c>
    </row>
    <row r="182" spans="2:11">
      <c r="B182" s="78">
        <f t="shared" si="52"/>
        <v>50072</v>
      </c>
      <c r="C182" s="75">
        <v>2600758.4879041612</v>
      </c>
      <c r="D182" s="71">
        <f>IF(F182&lt;&gt;0,VLOOKUP($J182,'Table 1'!$B$13:$C$33,2,FALSE)/12*1000*Study_MW,0)</f>
        <v>1129639.5431834406</v>
      </c>
      <c r="E182" s="71">
        <f t="shared" si="53"/>
        <v>3730398.0310876016</v>
      </c>
      <c r="F182" s="75">
        <v>67200</v>
      </c>
      <c r="G182" s="76">
        <f t="shared" si="54"/>
        <v>55.511875462613119</v>
      </c>
      <c r="I182" s="77">
        <f t="shared" si="51"/>
        <v>54</v>
      </c>
      <c r="J182" s="73">
        <f t="shared" si="55"/>
        <v>2037</v>
      </c>
      <c r="K182" s="78">
        <f t="shared" si="56"/>
        <v>50072</v>
      </c>
    </row>
    <row r="183" spans="2:11">
      <c r="B183" s="78">
        <f t="shared" si="52"/>
        <v>50100</v>
      </c>
      <c r="C183" s="75">
        <v>1975853.9265412688</v>
      </c>
      <c r="D183" s="71">
        <f>IF(F183&lt;&gt;0,VLOOKUP($J183,'Table 1'!$B$13:$C$33,2,FALSE)/12*1000*Study_MW,0)</f>
        <v>1129639.5431834406</v>
      </c>
      <c r="E183" s="71">
        <f t="shared" si="53"/>
        <v>3105493.4697247092</v>
      </c>
      <c r="F183" s="75">
        <v>74400</v>
      </c>
      <c r="G183" s="76">
        <f t="shared" si="54"/>
        <v>41.74050362533211</v>
      </c>
      <c r="I183" s="77">
        <f t="shared" si="51"/>
        <v>55</v>
      </c>
      <c r="J183" s="73">
        <f t="shared" si="55"/>
        <v>2037</v>
      </c>
      <c r="K183" s="78">
        <f t="shared" si="56"/>
        <v>50100</v>
      </c>
    </row>
    <row r="184" spans="2:11">
      <c r="B184" s="78">
        <f t="shared" si="52"/>
        <v>50131</v>
      </c>
      <c r="C184" s="75">
        <v>1826698.896385327</v>
      </c>
      <c r="D184" s="71">
        <f>IF(F184&lt;&gt;0,VLOOKUP($J184,'Table 1'!$B$13:$C$33,2,FALSE)/12*1000*Study_MW,0)</f>
        <v>1129639.5431834406</v>
      </c>
      <c r="E184" s="71">
        <f t="shared" si="53"/>
        <v>2956338.4395687673</v>
      </c>
      <c r="F184" s="75">
        <v>72000</v>
      </c>
      <c r="G184" s="76">
        <f t="shared" si="54"/>
        <v>41.060256105121766</v>
      </c>
      <c r="I184" s="77">
        <f t="shared" si="51"/>
        <v>56</v>
      </c>
      <c r="J184" s="73">
        <f t="shared" si="55"/>
        <v>2037</v>
      </c>
      <c r="K184" s="78">
        <f t="shared" si="56"/>
        <v>50131</v>
      </c>
    </row>
    <row r="185" spans="2:11">
      <c r="B185" s="78">
        <f t="shared" si="52"/>
        <v>50161</v>
      </c>
      <c r="C185" s="75">
        <v>1447010.4817465097</v>
      </c>
      <c r="D185" s="71">
        <f>IF(F185&lt;&gt;0,VLOOKUP($J185,'Table 1'!$B$13:$C$33,2,FALSE)/12*1000*Study_MW,0)</f>
        <v>1129639.5431834406</v>
      </c>
      <c r="E185" s="71">
        <f t="shared" si="53"/>
        <v>2576650.02492995</v>
      </c>
      <c r="F185" s="75">
        <v>74400</v>
      </c>
      <c r="G185" s="76">
        <f t="shared" si="54"/>
        <v>34.632392808198254</v>
      </c>
      <c r="I185" s="77">
        <f t="shared" si="51"/>
        <v>57</v>
      </c>
      <c r="J185" s="73">
        <f t="shared" si="55"/>
        <v>2037</v>
      </c>
      <c r="K185" s="78">
        <f t="shared" si="56"/>
        <v>50161</v>
      </c>
    </row>
    <row r="186" spans="2:11">
      <c r="B186" s="78">
        <f t="shared" si="52"/>
        <v>50192</v>
      </c>
      <c r="C186" s="75">
        <v>1975291.2262548655</v>
      </c>
      <c r="D186" s="71">
        <f>IF(F186&lt;&gt;0,VLOOKUP($J186,'Table 1'!$B$13:$C$33,2,FALSE)/12*1000*Study_MW,0)</f>
        <v>1129639.5431834406</v>
      </c>
      <c r="E186" s="71">
        <f t="shared" si="53"/>
        <v>3104930.7694383059</v>
      </c>
      <c r="F186" s="75">
        <v>72000</v>
      </c>
      <c r="G186" s="76">
        <f t="shared" si="54"/>
        <v>43.124038464420913</v>
      </c>
      <c r="I186" s="77">
        <f t="shared" si="51"/>
        <v>58</v>
      </c>
      <c r="J186" s="73">
        <f t="shared" si="55"/>
        <v>2037</v>
      </c>
      <c r="K186" s="78">
        <f t="shared" si="56"/>
        <v>50192</v>
      </c>
    </row>
    <row r="187" spans="2:11">
      <c r="B187" s="78">
        <f t="shared" si="52"/>
        <v>50222</v>
      </c>
      <c r="C187" s="75">
        <v>5114420.589227289</v>
      </c>
      <c r="D187" s="71">
        <f>IF(F187&lt;&gt;0,VLOOKUP($J187,'Table 1'!$B$13:$C$33,2,FALSE)/12*1000*Study_MW,0)</f>
        <v>1129639.5431834406</v>
      </c>
      <c r="E187" s="71">
        <f t="shared" si="53"/>
        <v>6244060.1324107293</v>
      </c>
      <c r="F187" s="75">
        <v>74400</v>
      </c>
      <c r="G187" s="76">
        <f t="shared" si="54"/>
        <v>83.92553941412271</v>
      </c>
      <c r="I187" s="77">
        <f t="shared" si="51"/>
        <v>59</v>
      </c>
      <c r="J187" s="73">
        <f t="shared" si="55"/>
        <v>2037</v>
      </c>
      <c r="K187" s="78">
        <f t="shared" si="56"/>
        <v>50222</v>
      </c>
    </row>
    <row r="188" spans="2:11">
      <c r="B188" s="78">
        <f t="shared" si="52"/>
        <v>50253</v>
      </c>
      <c r="C188" s="75">
        <v>6130000.2199952006</v>
      </c>
      <c r="D188" s="71">
        <f>IF(F188&lt;&gt;0,VLOOKUP($J188,'Table 1'!$B$13:$C$33,2,FALSE)/12*1000*Study_MW,0)</f>
        <v>1129639.5431834406</v>
      </c>
      <c r="E188" s="71">
        <f t="shared" si="53"/>
        <v>7259639.763178641</v>
      </c>
      <c r="F188" s="75">
        <v>74400</v>
      </c>
      <c r="G188" s="76">
        <f t="shared" si="54"/>
        <v>97.575803268530123</v>
      </c>
      <c r="I188" s="77">
        <f t="shared" si="51"/>
        <v>60</v>
      </c>
      <c r="J188" s="73">
        <f t="shared" si="55"/>
        <v>2037</v>
      </c>
      <c r="K188" s="78">
        <f t="shared" si="56"/>
        <v>50253</v>
      </c>
    </row>
    <row r="189" spans="2:11">
      <c r="B189" s="78">
        <f t="shared" si="52"/>
        <v>50284</v>
      </c>
      <c r="C189" s="75">
        <v>4585352.5358701646</v>
      </c>
      <c r="D189" s="71">
        <f>IF(F189&lt;&gt;0,VLOOKUP($J189,'Table 1'!$B$13:$C$33,2,FALSE)/12*1000*Study_MW,0)</f>
        <v>1129639.5431834406</v>
      </c>
      <c r="E189" s="71">
        <f t="shared" si="53"/>
        <v>5714992.079053605</v>
      </c>
      <c r="F189" s="75">
        <v>72000</v>
      </c>
      <c r="G189" s="76">
        <f t="shared" si="54"/>
        <v>79.374889986855621</v>
      </c>
      <c r="I189" s="77">
        <f t="shared" si="51"/>
        <v>61</v>
      </c>
      <c r="J189" s="73">
        <f t="shared" si="55"/>
        <v>2037</v>
      </c>
      <c r="K189" s="78">
        <f t="shared" si="56"/>
        <v>50284</v>
      </c>
    </row>
    <row r="190" spans="2:11">
      <c r="B190" s="78">
        <f t="shared" si="52"/>
        <v>50314</v>
      </c>
      <c r="C190" s="75">
        <v>2688390.7657429725</v>
      </c>
      <c r="D190" s="71">
        <f>IF(F190&lt;&gt;0,VLOOKUP($J190,'Table 1'!$B$13:$C$33,2,FALSE)/12*1000*Study_MW,0)</f>
        <v>1129639.5431834406</v>
      </c>
      <c r="E190" s="71">
        <f t="shared" si="53"/>
        <v>3818030.3089264128</v>
      </c>
      <c r="F190" s="75">
        <v>74400</v>
      </c>
      <c r="G190" s="76">
        <f t="shared" si="54"/>
        <v>51.31761167911845</v>
      </c>
      <c r="I190" s="77">
        <f t="shared" si="51"/>
        <v>62</v>
      </c>
      <c r="J190" s="73">
        <f t="shared" si="55"/>
        <v>2037</v>
      </c>
      <c r="K190" s="78">
        <f t="shared" si="56"/>
        <v>50314</v>
      </c>
    </row>
    <row r="191" spans="2:11">
      <c r="B191" s="78">
        <f t="shared" si="52"/>
        <v>50345</v>
      </c>
      <c r="C191" s="75">
        <v>3217034.0245933533</v>
      </c>
      <c r="D191" s="71">
        <f>IF(F191&lt;&gt;0,VLOOKUP($J191,'Table 1'!$B$13:$C$33,2,FALSE)/12*1000*Study_MW,0)</f>
        <v>1129639.5431834406</v>
      </c>
      <c r="E191" s="71">
        <f t="shared" si="53"/>
        <v>4346673.5677767936</v>
      </c>
      <c r="F191" s="75">
        <v>72000</v>
      </c>
      <c r="G191" s="76">
        <f t="shared" si="54"/>
        <v>60.370466219122136</v>
      </c>
      <c r="I191" s="77">
        <f t="shared" si="51"/>
        <v>63</v>
      </c>
      <c r="J191" s="73">
        <f t="shared" si="55"/>
        <v>2037</v>
      </c>
      <c r="K191" s="78">
        <f t="shared" si="56"/>
        <v>50345</v>
      </c>
    </row>
    <row r="192" spans="2:11">
      <c r="B192" s="82">
        <f t="shared" si="52"/>
        <v>50375</v>
      </c>
      <c r="C192" s="79">
        <v>3255958.3106086552</v>
      </c>
      <c r="D192" s="80">
        <f>IF(F192&lt;&gt;0,VLOOKUP($J192,'Table 1'!$B$13:$C$33,2,FALSE)/12*1000*Study_MW,0)</f>
        <v>1129639.5431834406</v>
      </c>
      <c r="E192" s="80">
        <f t="shared" si="53"/>
        <v>4385597.8537920956</v>
      </c>
      <c r="F192" s="79">
        <v>74400</v>
      </c>
      <c r="G192" s="81">
        <f t="shared" si="54"/>
        <v>58.946207712259351</v>
      </c>
      <c r="I192" s="64">
        <f t="shared" si="51"/>
        <v>64</v>
      </c>
      <c r="J192" s="73">
        <f t="shared" si="55"/>
        <v>2037</v>
      </c>
      <c r="K192" s="82">
        <f t="shared" si="56"/>
        <v>50375</v>
      </c>
    </row>
    <row r="193" spans="2:20" hidden="1" outlineLevel="1">
      <c r="B193" s="74">
        <f t="shared" si="52"/>
        <v>50406</v>
      </c>
      <c r="C193" s="69">
        <v>2693545.81569314</v>
      </c>
      <c r="D193" s="70">
        <f>IF(F193&lt;&gt;0,VLOOKUP($J193,'Table 1'!$B$13:$C$33,2,FALSE)/12*1000*Study_MW,0)</f>
        <v>1153907.9229122053</v>
      </c>
      <c r="E193" s="70">
        <f t="shared" ref="E193:E216" si="57">C193+D193</f>
        <v>3847453.7386053456</v>
      </c>
      <c r="F193" s="69">
        <v>74400</v>
      </c>
      <c r="G193" s="72">
        <f t="shared" ref="G193:G216" si="58">IF(ISNUMBER($F193),E193/$F193,"")</f>
        <v>51.713087884480451</v>
      </c>
      <c r="I193" s="60">
        <f>I73</f>
        <v>66</v>
      </c>
      <c r="J193" s="73">
        <f t="shared" ref="J193:J240" si="59">YEAR(B193)</f>
        <v>2038</v>
      </c>
      <c r="K193" s="74">
        <f t="shared" ref="K193:K240" si="60">IF(ISNUMBER(F193),IF(F193&lt;&gt;0,B193,""),"")</f>
        <v>50406</v>
      </c>
      <c r="M193" s="41">
        <f t="shared" ref="M193:M224" si="61">IRP21_Infl_Rate</f>
        <v>2.155E-2</v>
      </c>
    </row>
    <row r="194" spans="2:20" hidden="1" outlineLevel="1">
      <c r="B194" s="78">
        <f t="shared" si="52"/>
        <v>50437</v>
      </c>
      <c r="C194" s="75">
        <v>2626111.0457908511</v>
      </c>
      <c r="D194" s="71">
        <f>IF(F194&lt;&gt;0,VLOOKUP($J194,'Table 1'!$B$13:$C$33,2,FALSE)/12*1000*Study_MW,0)</f>
        <v>1153907.9229122053</v>
      </c>
      <c r="E194" s="71">
        <f t="shared" si="57"/>
        <v>3780018.9687030567</v>
      </c>
      <c r="F194" s="75">
        <v>67200</v>
      </c>
      <c r="G194" s="76">
        <f t="shared" si="58"/>
        <v>56.250282272366917</v>
      </c>
      <c r="I194" s="77">
        <f t="shared" si="51"/>
        <v>67</v>
      </c>
      <c r="J194" s="73">
        <f t="shared" si="59"/>
        <v>2038</v>
      </c>
      <c r="K194" s="78">
        <f t="shared" si="60"/>
        <v>50437</v>
      </c>
      <c r="M194" s="41">
        <f t="shared" si="61"/>
        <v>2.155E-2</v>
      </c>
    </row>
    <row r="195" spans="2:20" hidden="1" outlineLevel="1">
      <c r="B195" s="78">
        <f t="shared" si="52"/>
        <v>50465</v>
      </c>
      <c r="C195" s="75">
        <v>1999307.2694883943</v>
      </c>
      <c r="D195" s="71">
        <f>IF(F195&lt;&gt;0,VLOOKUP($J195,'Table 1'!$B$13:$C$33,2,FALSE)/12*1000*Study_MW,0)</f>
        <v>1153907.9229122053</v>
      </c>
      <c r="E195" s="71">
        <f t="shared" si="57"/>
        <v>3153215.1924005998</v>
      </c>
      <c r="F195" s="75">
        <v>74400</v>
      </c>
      <c r="G195" s="76">
        <f t="shared" si="58"/>
        <v>42.38192462904032</v>
      </c>
      <c r="I195" s="77">
        <f t="shared" si="51"/>
        <v>68</v>
      </c>
      <c r="J195" s="73">
        <f t="shared" si="59"/>
        <v>2038</v>
      </c>
      <c r="K195" s="78">
        <f t="shared" si="60"/>
        <v>50465</v>
      </c>
      <c r="M195" s="41">
        <f t="shared" si="61"/>
        <v>2.155E-2</v>
      </c>
    </row>
    <row r="196" spans="2:20" hidden="1" outlineLevel="1">
      <c r="B196" s="78">
        <f t="shared" si="52"/>
        <v>50496</v>
      </c>
      <c r="C196" s="75">
        <v>1787111.8781754225</v>
      </c>
      <c r="D196" s="71">
        <f>IF(F196&lt;&gt;0,VLOOKUP($J196,'Table 1'!$B$13:$C$33,2,FALSE)/12*1000*Study_MW,0)</f>
        <v>1153907.9229122053</v>
      </c>
      <c r="E196" s="71">
        <f t="shared" si="57"/>
        <v>2941019.8010876281</v>
      </c>
      <c r="F196" s="75">
        <v>72000</v>
      </c>
      <c r="G196" s="76">
        <f t="shared" si="58"/>
        <v>40.84749723732817</v>
      </c>
      <c r="I196" s="77">
        <f t="shared" si="51"/>
        <v>69</v>
      </c>
      <c r="J196" s="73">
        <f t="shared" si="59"/>
        <v>2038</v>
      </c>
      <c r="K196" s="78">
        <f t="shared" si="60"/>
        <v>50496</v>
      </c>
      <c r="M196" s="41">
        <f t="shared" si="61"/>
        <v>2.155E-2</v>
      </c>
    </row>
    <row r="197" spans="2:20" hidden="1" outlineLevel="1">
      <c r="B197" s="78">
        <f t="shared" si="52"/>
        <v>50526</v>
      </c>
      <c r="C197" s="75">
        <v>1370257.4818779081</v>
      </c>
      <c r="D197" s="71">
        <f>IF(F197&lt;&gt;0,VLOOKUP($J197,'Table 1'!$B$13:$C$33,2,FALSE)/12*1000*Study_MW,0)</f>
        <v>1153907.9229122053</v>
      </c>
      <c r="E197" s="71">
        <f t="shared" si="57"/>
        <v>2524165.4047901137</v>
      </c>
      <c r="F197" s="75">
        <v>74400</v>
      </c>
      <c r="G197" s="76">
        <f t="shared" si="58"/>
        <v>33.926954365458521</v>
      </c>
      <c r="I197" s="77">
        <f t="shared" si="51"/>
        <v>70</v>
      </c>
      <c r="J197" s="73">
        <f t="shared" si="59"/>
        <v>2038</v>
      </c>
      <c r="K197" s="78">
        <f t="shared" si="60"/>
        <v>50526</v>
      </c>
      <c r="M197" s="41">
        <f t="shared" si="61"/>
        <v>2.155E-2</v>
      </c>
    </row>
    <row r="198" spans="2:20" hidden="1" outlineLevel="1">
      <c r="B198" s="78">
        <f t="shared" si="52"/>
        <v>50557</v>
      </c>
      <c r="C198" s="75">
        <v>1900785.4344143718</v>
      </c>
      <c r="D198" s="71">
        <f>IF(F198&lt;&gt;0,VLOOKUP($J198,'Table 1'!$B$13:$C$33,2,FALSE)/12*1000*Study_MW,0)</f>
        <v>1153907.9229122053</v>
      </c>
      <c r="E198" s="71">
        <f t="shared" si="57"/>
        <v>3054693.3573265774</v>
      </c>
      <c r="F198" s="75">
        <v>72000</v>
      </c>
      <c r="G198" s="76">
        <f t="shared" si="58"/>
        <v>42.426296629535798</v>
      </c>
      <c r="I198" s="77">
        <f t="shared" ref="I198:I204" si="62">I78</f>
        <v>71</v>
      </c>
      <c r="J198" s="73">
        <f t="shared" si="59"/>
        <v>2038</v>
      </c>
      <c r="K198" s="78">
        <f t="shared" si="60"/>
        <v>50557</v>
      </c>
      <c r="M198" s="41">
        <f t="shared" si="61"/>
        <v>2.155E-2</v>
      </c>
    </row>
    <row r="199" spans="2:20" hidden="1" outlineLevel="1">
      <c r="B199" s="78">
        <f t="shared" si="52"/>
        <v>50587</v>
      </c>
      <c r="C199" s="75">
        <v>5059823.7407654822</v>
      </c>
      <c r="D199" s="71">
        <f>IF(F199&lt;&gt;0,VLOOKUP($J199,'Table 1'!$B$13:$C$33,2,FALSE)/12*1000*Study_MW,0)</f>
        <v>1153907.9229122053</v>
      </c>
      <c r="E199" s="71">
        <f t="shared" si="57"/>
        <v>6213731.6636776878</v>
      </c>
      <c r="F199" s="75">
        <v>74400</v>
      </c>
      <c r="G199" s="76">
        <f t="shared" si="58"/>
        <v>83.51789870534526</v>
      </c>
      <c r="I199" s="77">
        <f t="shared" si="62"/>
        <v>72</v>
      </c>
      <c r="J199" s="73">
        <f t="shared" si="59"/>
        <v>2038</v>
      </c>
      <c r="K199" s="78">
        <f t="shared" si="60"/>
        <v>50587</v>
      </c>
      <c r="M199" s="41">
        <f t="shared" si="61"/>
        <v>2.155E-2</v>
      </c>
    </row>
    <row r="200" spans="2:20" hidden="1" outlineLevel="1">
      <c r="B200" s="78">
        <f t="shared" si="52"/>
        <v>50618</v>
      </c>
      <c r="C200" s="75">
        <v>5974064.6037753224</v>
      </c>
      <c r="D200" s="71">
        <f>IF(F200&lt;&gt;0,VLOOKUP($J200,'Table 1'!$B$13:$C$33,2,FALSE)/12*1000*Study_MW,0)</f>
        <v>1153907.9229122053</v>
      </c>
      <c r="E200" s="71">
        <f t="shared" si="57"/>
        <v>7127972.526687528</v>
      </c>
      <c r="F200" s="75">
        <v>74400</v>
      </c>
      <c r="G200" s="76">
        <f t="shared" si="58"/>
        <v>95.80608234795065</v>
      </c>
      <c r="I200" s="77">
        <f t="shared" si="62"/>
        <v>73</v>
      </c>
      <c r="J200" s="73">
        <f t="shared" si="59"/>
        <v>2038</v>
      </c>
      <c r="K200" s="78">
        <f t="shared" si="60"/>
        <v>50618</v>
      </c>
      <c r="M200" s="41">
        <f t="shared" si="61"/>
        <v>2.155E-2</v>
      </c>
    </row>
    <row r="201" spans="2:20" hidden="1" outlineLevel="1">
      <c r="B201" s="78">
        <f t="shared" si="52"/>
        <v>50649</v>
      </c>
      <c r="C201" s="75">
        <v>4464991.5400574803</v>
      </c>
      <c r="D201" s="71">
        <f>IF(F201&lt;&gt;0,VLOOKUP($J201,'Table 1'!$B$13:$C$33,2,FALSE)/12*1000*Study_MW,0)</f>
        <v>1153907.9229122053</v>
      </c>
      <c r="E201" s="71">
        <f t="shared" si="57"/>
        <v>5618899.4629696859</v>
      </c>
      <c r="F201" s="75">
        <v>72000</v>
      </c>
      <c r="G201" s="76">
        <f t="shared" si="58"/>
        <v>78.040270319023421</v>
      </c>
      <c r="I201" s="77">
        <f t="shared" si="62"/>
        <v>74</v>
      </c>
      <c r="J201" s="73">
        <f t="shared" si="59"/>
        <v>2038</v>
      </c>
      <c r="K201" s="78">
        <f t="shared" si="60"/>
        <v>50649</v>
      </c>
      <c r="M201" s="41">
        <f t="shared" si="61"/>
        <v>2.155E-2</v>
      </c>
    </row>
    <row r="202" spans="2:20" hidden="1" outlineLevel="1">
      <c r="B202" s="78">
        <f t="shared" si="52"/>
        <v>50679</v>
      </c>
      <c r="C202" s="75">
        <v>2691608.3623253405</v>
      </c>
      <c r="D202" s="71">
        <f>IF(F202&lt;&gt;0,VLOOKUP($J202,'Table 1'!$B$13:$C$33,2,FALSE)/12*1000*Study_MW,0)</f>
        <v>1153907.9229122053</v>
      </c>
      <c r="E202" s="71">
        <f t="shared" si="57"/>
        <v>3845516.2852375461</v>
      </c>
      <c r="F202" s="75">
        <v>74400</v>
      </c>
      <c r="G202" s="76">
        <f t="shared" si="58"/>
        <v>51.687046844590675</v>
      </c>
      <c r="I202" s="77">
        <f t="shared" si="62"/>
        <v>75</v>
      </c>
      <c r="J202" s="73">
        <f t="shared" si="59"/>
        <v>2038</v>
      </c>
      <c r="K202" s="78">
        <f t="shared" si="60"/>
        <v>50679</v>
      </c>
      <c r="M202" s="41">
        <f t="shared" si="61"/>
        <v>2.155E-2</v>
      </c>
    </row>
    <row r="203" spans="2:20" hidden="1" outlineLevel="1">
      <c r="B203" s="78">
        <f t="shared" si="52"/>
        <v>50710</v>
      </c>
      <c r="C203" s="75">
        <v>3350084.2239553928</v>
      </c>
      <c r="D203" s="71">
        <f>IF(F203&lt;&gt;0,VLOOKUP($J203,'Table 1'!$B$13:$C$33,2,FALSE)/12*1000*Study_MW,0)</f>
        <v>1153907.9229122053</v>
      </c>
      <c r="E203" s="71">
        <f t="shared" si="57"/>
        <v>4503992.1468675984</v>
      </c>
      <c r="F203" s="75">
        <v>72000</v>
      </c>
      <c r="G203" s="76">
        <f t="shared" si="58"/>
        <v>62.555446484272203</v>
      </c>
      <c r="I203" s="77">
        <f t="shared" si="62"/>
        <v>76</v>
      </c>
      <c r="J203" s="73">
        <f t="shared" si="59"/>
        <v>2038</v>
      </c>
      <c r="K203" s="78">
        <f t="shared" si="60"/>
        <v>50710</v>
      </c>
      <c r="M203" s="41">
        <f t="shared" si="61"/>
        <v>2.155E-2</v>
      </c>
    </row>
    <row r="204" spans="2:20" hidden="1" outlineLevel="1">
      <c r="B204" s="82">
        <f t="shared" si="52"/>
        <v>50740</v>
      </c>
      <c r="C204" s="79">
        <v>4298693.245618701</v>
      </c>
      <c r="D204" s="80">
        <f>IF(F204&lt;&gt;0,VLOOKUP($J204,'Table 1'!$B$13:$C$33,2,FALSE)/12*1000*Study_MW,0)</f>
        <v>1153907.9229122053</v>
      </c>
      <c r="E204" s="80">
        <f t="shared" si="57"/>
        <v>5452601.1685309066</v>
      </c>
      <c r="F204" s="79">
        <v>74400</v>
      </c>
      <c r="G204" s="81">
        <f t="shared" si="58"/>
        <v>73.287650114662725</v>
      </c>
      <c r="I204" s="64">
        <f t="shared" si="62"/>
        <v>77</v>
      </c>
      <c r="J204" s="73">
        <f t="shared" si="59"/>
        <v>2038</v>
      </c>
      <c r="K204" s="82">
        <f t="shared" si="60"/>
        <v>50740</v>
      </c>
      <c r="M204" s="41">
        <f t="shared" si="61"/>
        <v>2.155E-2</v>
      </c>
    </row>
    <row r="205" spans="2:20" hidden="1" outlineLevel="1">
      <c r="B205" s="74">
        <f t="shared" si="52"/>
        <v>50771</v>
      </c>
      <c r="C205" s="69">
        <v>2763325.4498653412</v>
      </c>
      <c r="D205" s="70">
        <f>IF(F205&lt;&gt;0,VLOOKUP($J205,'Table 1'!$B$13:$C$33,2,FALSE)/12*1000*Study_MW,0)</f>
        <v>1178800.8565310494</v>
      </c>
      <c r="E205" s="70">
        <f t="shared" si="57"/>
        <v>3942126.3063963903</v>
      </c>
      <c r="F205" s="69">
        <v>74400</v>
      </c>
      <c r="G205" s="72">
        <f t="shared" si="58"/>
        <v>52.985568634360085</v>
      </c>
      <c r="I205" s="60">
        <f>I85</f>
        <v>79</v>
      </c>
      <c r="J205" s="73">
        <f t="shared" si="59"/>
        <v>2039</v>
      </c>
      <c r="K205" s="74">
        <f t="shared" si="60"/>
        <v>50771</v>
      </c>
      <c r="M205" s="41">
        <f t="shared" si="61"/>
        <v>2.155E-2</v>
      </c>
      <c r="T205" s="165"/>
    </row>
    <row r="206" spans="2:20" hidden="1" outlineLevel="1">
      <c r="B206" s="78">
        <f t="shared" ref="B206:B240" si="63">EDATE(B205,1)</f>
        <v>50802</v>
      </c>
      <c r="C206" s="75">
        <v>2563226.8830445409</v>
      </c>
      <c r="D206" s="71">
        <f>IF(F206&lt;&gt;0,VLOOKUP($J206,'Table 1'!$B$13:$C$33,2,FALSE)/12*1000*Study_MW,0)</f>
        <v>1178800.8565310494</v>
      </c>
      <c r="E206" s="71">
        <f t="shared" si="57"/>
        <v>3742027.73957559</v>
      </c>
      <c r="F206" s="75">
        <v>67200</v>
      </c>
      <c r="G206" s="76">
        <f t="shared" si="58"/>
        <v>55.684936600827236</v>
      </c>
      <c r="I206" s="77">
        <f t="shared" ref="I206:I216" si="64">I86</f>
        <v>80</v>
      </c>
      <c r="J206" s="73">
        <f t="shared" si="59"/>
        <v>2039</v>
      </c>
      <c r="K206" s="78">
        <f t="shared" si="60"/>
        <v>50802</v>
      </c>
      <c r="M206" s="41">
        <f t="shared" si="61"/>
        <v>2.155E-2</v>
      </c>
      <c r="T206" s="165"/>
    </row>
    <row r="207" spans="2:20" hidden="1" outlineLevel="1">
      <c r="B207" s="78">
        <f t="shared" si="63"/>
        <v>50830</v>
      </c>
      <c r="C207" s="75">
        <v>2013738.1344121695</v>
      </c>
      <c r="D207" s="71">
        <f>IF(F207&lt;&gt;0,VLOOKUP($J207,'Table 1'!$B$13:$C$33,2,FALSE)/12*1000*Study_MW,0)</f>
        <v>1178800.8565310494</v>
      </c>
      <c r="E207" s="71">
        <f t="shared" si="57"/>
        <v>3192538.9909432186</v>
      </c>
      <c r="F207" s="75">
        <v>74400</v>
      </c>
      <c r="G207" s="76">
        <f t="shared" si="58"/>
        <v>42.910470308376595</v>
      </c>
      <c r="I207" s="77">
        <f t="shared" si="64"/>
        <v>81</v>
      </c>
      <c r="J207" s="73">
        <f t="shared" si="59"/>
        <v>2039</v>
      </c>
      <c r="K207" s="78">
        <f t="shared" si="60"/>
        <v>50830</v>
      </c>
      <c r="M207" s="41">
        <f t="shared" si="61"/>
        <v>2.155E-2</v>
      </c>
      <c r="T207" s="165"/>
    </row>
    <row r="208" spans="2:20" hidden="1" outlineLevel="1">
      <c r="B208" s="78">
        <f t="shared" si="63"/>
        <v>50861</v>
      </c>
      <c r="C208" s="75">
        <v>1772462.160045594</v>
      </c>
      <c r="D208" s="71">
        <f>IF(F208&lt;&gt;0,VLOOKUP($J208,'Table 1'!$B$13:$C$33,2,FALSE)/12*1000*Study_MW,0)</f>
        <v>1178800.8565310494</v>
      </c>
      <c r="E208" s="71">
        <f t="shared" si="57"/>
        <v>2951263.0165766431</v>
      </c>
      <c r="F208" s="75">
        <v>72000</v>
      </c>
      <c r="G208" s="76">
        <f t="shared" si="58"/>
        <v>40.989764119120046</v>
      </c>
      <c r="I208" s="77">
        <f t="shared" si="64"/>
        <v>82</v>
      </c>
      <c r="J208" s="73">
        <f t="shared" si="59"/>
        <v>2039</v>
      </c>
      <c r="K208" s="78">
        <f t="shared" si="60"/>
        <v>50861</v>
      </c>
      <c r="M208" s="41">
        <f t="shared" si="61"/>
        <v>2.155E-2</v>
      </c>
      <c r="T208" s="165"/>
    </row>
    <row r="209" spans="2:20" hidden="1" outlineLevel="1">
      <c r="B209" s="78">
        <f t="shared" si="63"/>
        <v>50891</v>
      </c>
      <c r="C209" s="75">
        <v>1421459.3800407648</v>
      </c>
      <c r="D209" s="71">
        <f>IF(F209&lt;&gt;0,VLOOKUP($J209,'Table 1'!$B$13:$C$33,2,FALSE)/12*1000*Study_MW,0)</f>
        <v>1178800.8565310494</v>
      </c>
      <c r="E209" s="71">
        <f t="shared" si="57"/>
        <v>2600260.2365718139</v>
      </c>
      <c r="F209" s="75">
        <v>74400</v>
      </c>
      <c r="G209" s="76">
        <f t="shared" si="58"/>
        <v>34.949734362524381</v>
      </c>
      <c r="I209" s="77">
        <f t="shared" si="64"/>
        <v>83</v>
      </c>
      <c r="J209" s="73">
        <f t="shared" si="59"/>
        <v>2039</v>
      </c>
      <c r="K209" s="78">
        <f t="shared" si="60"/>
        <v>50891</v>
      </c>
      <c r="M209" s="41">
        <f t="shared" si="61"/>
        <v>2.155E-2</v>
      </c>
      <c r="T209" s="165"/>
    </row>
    <row r="210" spans="2:20" hidden="1" outlineLevel="1">
      <c r="B210" s="78">
        <f t="shared" si="63"/>
        <v>50922</v>
      </c>
      <c r="C210" s="75">
        <v>1949413.5114431977</v>
      </c>
      <c r="D210" s="71">
        <f>IF(F210&lt;&gt;0,VLOOKUP($J210,'Table 1'!$B$13:$C$33,2,FALSE)/12*1000*Study_MW,0)</f>
        <v>1178800.8565310494</v>
      </c>
      <c r="E210" s="71">
        <f t="shared" si="57"/>
        <v>3128214.3679742469</v>
      </c>
      <c r="F210" s="75">
        <v>72000</v>
      </c>
      <c r="G210" s="76">
        <f t="shared" si="58"/>
        <v>43.447421777420097</v>
      </c>
      <c r="I210" s="77">
        <f t="shared" si="64"/>
        <v>84</v>
      </c>
      <c r="J210" s="73">
        <f t="shared" si="59"/>
        <v>2039</v>
      </c>
      <c r="K210" s="78">
        <f t="shared" si="60"/>
        <v>50922</v>
      </c>
      <c r="M210" s="41">
        <f t="shared" si="61"/>
        <v>2.155E-2</v>
      </c>
      <c r="T210" s="165"/>
    </row>
    <row r="211" spans="2:20" hidden="1" outlineLevel="1">
      <c r="B211" s="78">
        <f t="shared" si="63"/>
        <v>50952</v>
      </c>
      <c r="C211" s="75">
        <v>5285946.6568854451</v>
      </c>
      <c r="D211" s="71">
        <f>IF(F211&lt;&gt;0,VLOOKUP($J211,'Table 1'!$B$13:$C$33,2,FALSE)/12*1000*Study_MW,0)</f>
        <v>1178800.8565310494</v>
      </c>
      <c r="E211" s="71">
        <f t="shared" si="57"/>
        <v>6464747.5134164942</v>
      </c>
      <c r="F211" s="75">
        <v>74400</v>
      </c>
      <c r="G211" s="76">
        <f t="shared" si="58"/>
        <v>86.891767653447502</v>
      </c>
      <c r="I211" s="77">
        <f t="shared" si="64"/>
        <v>85</v>
      </c>
      <c r="J211" s="73">
        <f t="shared" si="59"/>
        <v>2039</v>
      </c>
      <c r="K211" s="78">
        <f t="shared" si="60"/>
        <v>50952</v>
      </c>
      <c r="M211" s="41">
        <f t="shared" si="61"/>
        <v>2.155E-2</v>
      </c>
      <c r="T211" s="165"/>
    </row>
    <row r="212" spans="2:20" hidden="1" outlineLevel="1">
      <c r="B212" s="78">
        <f t="shared" si="63"/>
        <v>50983</v>
      </c>
      <c r="C212" s="75">
        <v>6174720.1478126645</v>
      </c>
      <c r="D212" s="71">
        <f>IF(F212&lt;&gt;0,VLOOKUP($J212,'Table 1'!$B$13:$C$33,2,FALSE)/12*1000*Study_MW,0)</f>
        <v>1178800.8565310494</v>
      </c>
      <c r="E212" s="71">
        <f t="shared" si="57"/>
        <v>7353521.0043437136</v>
      </c>
      <c r="F212" s="75">
        <v>74400</v>
      </c>
      <c r="G212" s="76">
        <f t="shared" si="58"/>
        <v>98.837647907845607</v>
      </c>
      <c r="I212" s="77">
        <f t="shared" si="64"/>
        <v>86</v>
      </c>
      <c r="J212" s="73">
        <f t="shared" si="59"/>
        <v>2039</v>
      </c>
      <c r="K212" s="78">
        <f t="shared" si="60"/>
        <v>50983</v>
      </c>
      <c r="M212" s="41">
        <f t="shared" si="61"/>
        <v>2.155E-2</v>
      </c>
      <c r="T212" s="165"/>
    </row>
    <row r="213" spans="2:20" hidden="1" outlineLevel="1">
      <c r="B213" s="78">
        <f t="shared" si="63"/>
        <v>51014</v>
      </c>
      <c r="C213" s="75">
        <v>4501580.9672200084</v>
      </c>
      <c r="D213" s="71">
        <f>IF(F213&lt;&gt;0,VLOOKUP($J213,'Table 1'!$B$13:$C$33,2,FALSE)/12*1000*Study_MW,0)</f>
        <v>1178800.8565310494</v>
      </c>
      <c r="E213" s="71">
        <f t="shared" si="57"/>
        <v>5680381.8237510575</v>
      </c>
      <c r="F213" s="75">
        <v>72000</v>
      </c>
      <c r="G213" s="76">
        <f t="shared" si="58"/>
        <v>78.89419199654246</v>
      </c>
      <c r="I213" s="77">
        <f t="shared" si="64"/>
        <v>87</v>
      </c>
      <c r="J213" s="73">
        <f t="shared" si="59"/>
        <v>2039</v>
      </c>
      <c r="K213" s="78">
        <f t="shared" si="60"/>
        <v>51014</v>
      </c>
      <c r="M213" s="41">
        <f t="shared" si="61"/>
        <v>2.155E-2</v>
      </c>
      <c r="T213" s="165"/>
    </row>
    <row r="214" spans="2:20" hidden="1" outlineLevel="1">
      <c r="B214" s="78">
        <f t="shared" si="63"/>
        <v>51044</v>
      </c>
      <c r="C214" s="75">
        <v>2740888.20827806</v>
      </c>
      <c r="D214" s="71">
        <f>IF(F214&lt;&gt;0,VLOOKUP($J214,'Table 1'!$B$13:$C$33,2,FALSE)/12*1000*Study_MW,0)</f>
        <v>1178800.8565310494</v>
      </c>
      <c r="E214" s="71">
        <f t="shared" si="57"/>
        <v>3919689.0648091091</v>
      </c>
      <c r="F214" s="75">
        <v>74400</v>
      </c>
      <c r="G214" s="76">
        <f t="shared" si="58"/>
        <v>52.683992806574047</v>
      </c>
      <c r="I214" s="77">
        <f t="shared" si="64"/>
        <v>88</v>
      </c>
      <c r="J214" s="73">
        <f t="shared" si="59"/>
        <v>2039</v>
      </c>
      <c r="K214" s="78">
        <f t="shared" si="60"/>
        <v>51044</v>
      </c>
      <c r="M214" s="41">
        <f t="shared" si="61"/>
        <v>2.155E-2</v>
      </c>
      <c r="T214" s="165"/>
    </row>
    <row r="215" spans="2:20" hidden="1" outlineLevel="1">
      <c r="B215" s="78">
        <f t="shared" si="63"/>
        <v>51075</v>
      </c>
      <c r="C215" s="75">
        <v>3381557.6290454865</v>
      </c>
      <c r="D215" s="71">
        <f>IF(F215&lt;&gt;0,VLOOKUP($J215,'Table 1'!$B$13:$C$33,2,FALSE)/12*1000*Study_MW,0)</f>
        <v>1178800.8565310494</v>
      </c>
      <c r="E215" s="71">
        <f t="shared" si="57"/>
        <v>4560358.4855765356</v>
      </c>
      <c r="F215" s="75">
        <v>72000</v>
      </c>
      <c r="G215" s="76">
        <f t="shared" si="58"/>
        <v>63.338312299674108</v>
      </c>
      <c r="I215" s="77">
        <f t="shared" si="64"/>
        <v>89</v>
      </c>
      <c r="J215" s="73">
        <f t="shared" si="59"/>
        <v>2039</v>
      </c>
      <c r="K215" s="78">
        <f t="shared" si="60"/>
        <v>51075</v>
      </c>
      <c r="M215" s="41">
        <f t="shared" si="61"/>
        <v>2.155E-2</v>
      </c>
      <c r="T215" s="165"/>
    </row>
    <row r="216" spans="2:20" hidden="1" outlineLevel="1">
      <c r="B216" s="82">
        <f t="shared" si="63"/>
        <v>51105</v>
      </c>
      <c r="C216" s="79">
        <v>3456635.7632863522</v>
      </c>
      <c r="D216" s="80">
        <f>IF(F216&lt;&gt;0,VLOOKUP($J216,'Table 1'!$B$13:$C$33,2,FALSE)/12*1000*Study_MW,0)</f>
        <v>1178800.8565310494</v>
      </c>
      <c r="E216" s="80">
        <f t="shared" si="57"/>
        <v>4635436.6198174013</v>
      </c>
      <c r="F216" s="79">
        <v>74400</v>
      </c>
      <c r="G216" s="81">
        <f t="shared" si="58"/>
        <v>62.304255642707005</v>
      </c>
      <c r="I216" s="64">
        <f t="shared" si="64"/>
        <v>90</v>
      </c>
      <c r="J216" s="73">
        <f t="shared" si="59"/>
        <v>2039</v>
      </c>
      <c r="K216" s="82">
        <f t="shared" si="60"/>
        <v>51105</v>
      </c>
      <c r="M216" s="41">
        <f t="shared" si="61"/>
        <v>2.155E-2</v>
      </c>
      <c r="T216" s="165"/>
    </row>
    <row r="217" spans="2:20" hidden="1" outlineLevel="1">
      <c r="B217" s="74">
        <f t="shared" si="63"/>
        <v>51136</v>
      </c>
      <c r="C217" s="69">
        <v>3175654.5886092782</v>
      </c>
      <c r="D217" s="70">
        <f>IF(F217&lt;&gt;0,VLOOKUP($J217,'Table 1'!$B$13:$C$33,2,FALSE)/12*1000*Study_MW,0)</f>
        <v>1204229.1220556747</v>
      </c>
      <c r="E217" s="70">
        <f t="shared" ref="E217:E240" si="65">C217+D217</f>
        <v>4379883.7106649531</v>
      </c>
      <c r="F217" s="69">
        <v>74400</v>
      </c>
      <c r="G217" s="72">
        <f t="shared" ref="G217:G240" si="66">IF(ISNUMBER($F217),E217/$F217,"")</f>
        <v>58.869404713238616</v>
      </c>
      <c r="I217" s="60">
        <f>I97</f>
        <v>92</v>
      </c>
      <c r="J217" s="73">
        <f t="shared" si="59"/>
        <v>2040</v>
      </c>
      <c r="K217" s="74">
        <f t="shared" si="60"/>
        <v>51136</v>
      </c>
      <c r="M217" s="41">
        <f t="shared" si="61"/>
        <v>2.155E-2</v>
      </c>
      <c r="T217" s="165"/>
    </row>
    <row r="218" spans="2:20" hidden="1" outlineLevel="1">
      <c r="B218" s="78">
        <f t="shared" si="63"/>
        <v>51167</v>
      </c>
      <c r="C218" s="75">
        <v>2707916.7381948233</v>
      </c>
      <c r="D218" s="71">
        <f>IF(F218&lt;&gt;0,VLOOKUP($J218,'Table 1'!$B$13:$C$33,2,FALSE)/12*1000*Study_MW,0)</f>
        <v>1204229.1220556747</v>
      </c>
      <c r="E218" s="71">
        <f t="shared" si="65"/>
        <v>3912145.8602504982</v>
      </c>
      <c r="F218" s="75">
        <v>69600</v>
      </c>
      <c r="G218" s="76">
        <f t="shared" si="66"/>
        <v>56.208992244978425</v>
      </c>
      <c r="I218" s="77">
        <f t="shared" ref="I218:I228" si="67">I98</f>
        <v>93</v>
      </c>
      <c r="J218" s="73">
        <f t="shared" si="59"/>
        <v>2040</v>
      </c>
      <c r="K218" s="78">
        <f t="shared" si="60"/>
        <v>51167</v>
      </c>
      <c r="M218" s="41">
        <f t="shared" si="61"/>
        <v>2.155E-2</v>
      </c>
      <c r="T218" s="165"/>
    </row>
    <row r="219" spans="2:20" hidden="1" outlineLevel="1">
      <c r="B219" s="78">
        <f t="shared" si="63"/>
        <v>51196</v>
      </c>
      <c r="C219" s="75">
        <v>2185560.438609153</v>
      </c>
      <c r="D219" s="71">
        <f>IF(F219&lt;&gt;0,VLOOKUP($J219,'Table 1'!$B$13:$C$33,2,FALSE)/12*1000*Study_MW,0)</f>
        <v>1204229.1220556747</v>
      </c>
      <c r="E219" s="71">
        <f t="shared" si="65"/>
        <v>3389789.5606648279</v>
      </c>
      <c r="F219" s="75">
        <v>74400</v>
      </c>
      <c r="G219" s="76">
        <f t="shared" si="66"/>
        <v>45.561687643344463</v>
      </c>
      <c r="I219" s="77">
        <f t="shared" si="67"/>
        <v>94</v>
      </c>
      <c r="J219" s="73">
        <f t="shared" si="59"/>
        <v>2040</v>
      </c>
      <c r="K219" s="78">
        <f t="shared" si="60"/>
        <v>51196</v>
      </c>
      <c r="M219" s="41">
        <f t="shared" si="61"/>
        <v>2.155E-2</v>
      </c>
      <c r="T219" s="165"/>
    </row>
    <row r="220" spans="2:20" hidden="1" outlineLevel="1">
      <c r="B220" s="78">
        <f t="shared" si="63"/>
        <v>51227</v>
      </c>
      <c r="C220" s="75">
        <v>1807458.2088605464</v>
      </c>
      <c r="D220" s="71">
        <f>IF(F220&lt;&gt;0,VLOOKUP($J220,'Table 1'!$B$13:$C$33,2,FALSE)/12*1000*Study_MW,0)</f>
        <v>1204229.1220556747</v>
      </c>
      <c r="E220" s="71">
        <f t="shared" si="65"/>
        <v>3011687.3309162213</v>
      </c>
      <c r="F220" s="75">
        <v>72000</v>
      </c>
      <c r="G220" s="76">
        <f t="shared" si="66"/>
        <v>41.828990707169737</v>
      </c>
      <c r="I220" s="77">
        <f t="shared" si="67"/>
        <v>95</v>
      </c>
      <c r="J220" s="73">
        <f t="shared" si="59"/>
        <v>2040</v>
      </c>
      <c r="K220" s="78">
        <f t="shared" si="60"/>
        <v>51227</v>
      </c>
      <c r="M220" s="41">
        <f t="shared" si="61"/>
        <v>2.155E-2</v>
      </c>
      <c r="T220" s="165"/>
    </row>
    <row r="221" spans="2:20" hidden="1" outlineLevel="1">
      <c r="B221" s="78">
        <f t="shared" si="63"/>
        <v>51257</v>
      </c>
      <c r="C221" s="75">
        <v>1488604.6928372383</v>
      </c>
      <c r="D221" s="71">
        <f>IF(F221&lt;&gt;0,VLOOKUP($J221,'Table 1'!$B$13:$C$33,2,FALSE)/12*1000*Study_MW,0)</f>
        <v>1204229.1220556747</v>
      </c>
      <c r="E221" s="71">
        <f t="shared" si="65"/>
        <v>2692833.8148929132</v>
      </c>
      <c r="F221" s="75">
        <v>74400</v>
      </c>
      <c r="G221" s="76">
        <f t="shared" si="66"/>
        <v>36.194002888345608</v>
      </c>
      <c r="I221" s="77">
        <f t="shared" si="67"/>
        <v>96</v>
      </c>
      <c r="J221" s="73">
        <f t="shared" si="59"/>
        <v>2040</v>
      </c>
      <c r="K221" s="78">
        <f t="shared" si="60"/>
        <v>51257</v>
      </c>
      <c r="M221" s="41">
        <f t="shared" si="61"/>
        <v>2.155E-2</v>
      </c>
      <c r="T221" s="165"/>
    </row>
    <row r="222" spans="2:20" hidden="1" outlineLevel="1">
      <c r="B222" s="78">
        <f t="shared" si="63"/>
        <v>51288</v>
      </c>
      <c r="C222" s="75">
        <v>1933332.9581180513</v>
      </c>
      <c r="D222" s="71">
        <f>IF(F222&lt;&gt;0,VLOOKUP($J222,'Table 1'!$B$13:$C$33,2,FALSE)/12*1000*Study_MW,0)</f>
        <v>1204229.1220556747</v>
      </c>
      <c r="E222" s="71">
        <f t="shared" si="65"/>
        <v>3137562.0801737262</v>
      </c>
      <c r="F222" s="75">
        <v>72000</v>
      </c>
      <c r="G222" s="76">
        <f t="shared" si="66"/>
        <v>43.577251113523978</v>
      </c>
      <c r="I222" s="77">
        <f t="shared" si="67"/>
        <v>97</v>
      </c>
      <c r="J222" s="73">
        <f t="shared" si="59"/>
        <v>2040</v>
      </c>
      <c r="K222" s="78">
        <f t="shared" si="60"/>
        <v>51288</v>
      </c>
      <c r="M222" s="41">
        <f t="shared" si="61"/>
        <v>2.155E-2</v>
      </c>
      <c r="T222" s="165"/>
    </row>
    <row r="223" spans="2:20" hidden="1" outlineLevel="1">
      <c r="B223" s="78">
        <f t="shared" si="63"/>
        <v>51318</v>
      </c>
      <c r="C223" s="75">
        <v>5602737.6099974513</v>
      </c>
      <c r="D223" s="71">
        <f>IF(F223&lt;&gt;0,VLOOKUP($J223,'Table 1'!$B$13:$C$33,2,FALSE)/12*1000*Study_MW,0)</f>
        <v>1204229.1220556747</v>
      </c>
      <c r="E223" s="71">
        <f t="shared" si="65"/>
        <v>6806966.7320531262</v>
      </c>
      <c r="F223" s="75">
        <v>74400</v>
      </c>
      <c r="G223" s="76">
        <f t="shared" si="66"/>
        <v>91.491488334047389</v>
      </c>
      <c r="I223" s="77">
        <f t="shared" si="67"/>
        <v>98</v>
      </c>
      <c r="J223" s="73">
        <f t="shared" si="59"/>
        <v>2040</v>
      </c>
      <c r="K223" s="78">
        <f t="shared" si="60"/>
        <v>51318</v>
      </c>
      <c r="M223" s="41">
        <f t="shared" si="61"/>
        <v>2.155E-2</v>
      </c>
      <c r="T223" s="165"/>
    </row>
    <row r="224" spans="2:20" hidden="1" outlineLevel="1">
      <c r="B224" s="78">
        <f t="shared" si="63"/>
        <v>51349</v>
      </c>
      <c r="C224" s="75">
        <v>5933855.6924299598</v>
      </c>
      <c r="D224" s="71">
        <f>IF(F224&lt;&gt;0,VLOOKUP($J224,'Table 1'!$B$13:$C$33,2,FALSE)/12*1000*Study_MW,0)</f>
        <v>1204229.1220556747</v>
      </c>
      <c r="E224" s="71">
        <f t="shared" si="65"/>
        <v>7138084.8144856347</v>
      </c>
      <c r="F224" s="75">
        <v>74400</v>
      </c>
      <c r="G224" s="76">
        <f t="shared" si="66"/>
        <v>95.942000194699389</v>
      </c>
      <c r="I224" s="77">
        <f t="shared" si="67"/>
        <v>99</v>
      </c>
      <c r="J224" s="73">
        <f t="shared" si="59"/>
        <v>2040</v>
      </c>
      <c r="K224" s="78">
        <f t="shared" si="60"/>
        <v>51349</v>
      </c>
      <c r="M224" s="41">
        <f t="shared" si="61"/>
        <v>2.155E-2</v>
      </c>
      <c r="T224" s="165"/>
    </row>
    <row r="225" spans="2:20" hidden="1" outlineLevel="1">
      <c r="B225" s="78">
        <f t="shared" si="63"/>
        <v>51380</v>
      </c>
      <c r="C225" s="75">
        <v>4709900.6387253404</v>
      </c>
      <c r="D225" s="71">
        <f>IF(F225&lt;&gt;0,VLOOKUP($J225,'Table 1'!$B$13:$C$33,2,FALSE)/12*1000*Study_MW,0)</f>
        <v>1204229.1220556747</v>
      </c>
      <c r="E225" s="71">
        <f t="shared" si="65"/>
        <v>5914129.7607810153</v>
      </c>
      <c r="F225" s="75">
        <v>72000</v>
      </c>
      <c r="G225" s="76">
        <f t="shared" si="66"/>
        <v>82.14069112195854</v>
      </c>
      <c r="I225" s="77">
        <f t="shared" si="67"/>
        <v>100</v>
      </c>
      <c r="J225" s="73">
        <f t="shared" si="59"/>
        <v>2040</v>
      </c>
      <c r="K225" s="78">
        <f t="shared" si="60"/>
        <v>51380</v>
      </c>
      <c r="M225" s="41">
        <f t="shared" ref="M225:M256" si="68">IRP21_Infl_Rate</f>
        <v>2.155E-2</v>
      </c>
      <c r="T225" s="165"/>
    </row>
    <row r="226" spans="2:20" hidden="1" outlineLevel="1">
      <c r="B226" s="78">
        <f t="shared" si="63"/>
        <v>51410</v>
      </c>
      <c r="C226" s="75">
        <v>2837392.9574109018</v>
      </c>
      <c r="D226" s="71">
        <f>IF(F226&lt;&gt;0,VLOOKUP($J226,'Table 1'!$B$13:$C$33,2,FALSE)/12*1000*Study_MW,0)</f>
        <v>1204229.1220556747</v>
      </c>
      <c r="E226" s="71">
        <f t="shared" si="65"/>
        <v>4041622.0794665767</v>
      </c>
      <c r="F226" s="75">
        <v>74400</v>
      </c>
      <c r="G226" s="76">
        <f t="shared" si="66"/>
        <v>54.322877412185171</v>
      </c>
      <c r="I226" s="77">
        <f t="shared" si="67"/>
        <v>101</v>
      </c>
      <c r="J226" s="73">
        <f t="shared" si="59"/>
        <v>2040</v>
      </c>
      <c r="K226" s="78">
        <f t="shared" si="60"/>
        <v>51410</v>
      </c>
      <c r="M226" s="41">
        <f t="shared" si="68"/>
        <v>2.155E-2</v>
      </c>
      <c r="T226" s="165"/>
    </row>
    <row r="227" spans="2:20" hidden="1" outlineLevel="1">
      <c r="B227" s="78">
        <f t="shared" si="63"/>
        <v>51441</v>
      </c>
      <c r="C227" s="75">
        <v>3465033.6237329841</v>
      </c>
      <c r="D227" s="71">
        <f>IF(F227&lt;&gt;0,VLOOKUP($J227,'Table 1'!$B$13:$C$33,2,FALSE)/12*1000*Study_MW,0)</f>
        <v>1204229.1220556747</v>
      </c>
      <c r="E227" s="71">
        <f t="shared" si="65"/>
        <v>4669262.745788659</v>
      </c>
      <c r="F227" s="75">
        <v>72000</v>
      </c>
      <c r="G227" s="76">
        <f t="shared" si="66"/>
        <v>64.850871469286929</v>
      </c>
      <c r="I227" s="77">
        <f t="shared" si="67"/>
        <v>102</v>
      </c>
      <c r="J227" s="73">
        <f t="shared" si="59"/>
        <v>2040</v>
      </c>
      <c r="K227" s="78">
        <f t="shared" si="60"/>
        <v>51441</v>
      </c>
      <c r="M227" s="41">
        <f t="shared" si="68"/>
        <v>2.155E-2</v>
      </c>
      <c r="T227" s="165"/>
    </row>
    <row r="228" spans="2:20" hidden="1" outlineLevel="1">
      <c r="B228" s="82">
        <f t="shared" si="63"/>
        <v>51471</v>
      </c>
      <c r="C228" s="79">
        <v>3678890.9517661333</v>
      </c>
      <c r="D228" s="80">
        <f>IF(F228&lt;&gt;0,VLOOKUP($J228,'Table 1'!$B$13:$C$33,2,FALSE)/12*1000*Study_MW,0)</f>
        <v>1204229.1220556747</v>
      </c>
      <c r="E228" s="80">
        <f t="shared" si="65"/>
        <v>4883120.0738218082</v>
      </c>
      <c r="F228" s="79">
        <v>74400</v>
      </c>
      <c r="G228" s="81">
        <f t="shared" si="66"/>
        <v>65.633334325561933</v>
      </c>
      <c r="I228" s="64">
        <f t="shared" si="67"/>
        <v>103</v>
      </c>
      <c r="J228" s="73">
        <f t="shared" si="59"/>
        <v>2040</v>
      </c>
      <c r="K228" s="82">
        <f t="shared" si="60"/>
        <v>51471</v>
      </c>
      <c r="M228" s="41">
        <f t="shared" si="68"/>
        <v>2.155E-2</v>
      </c>
      <c r="T228" s="165"/>
    </row>
    <row r="229" spans="2:20" hidden="1" outlineLevel="1">
      <c r="B229" s="74">
        <f t="shared" si="63"/>
        <v>51502</v>
      </c>
      <c r="C229" s="69">
        <v>0</v>
      </c>
      <c r="D229" s="70">
        <f>IF(F229&lt;&gt;0,VLOOKUP($J229,'Table 1'!$B$13:$C$33,2,FALSE)/12*1000*Study_MW,0)</f>
        <v>0</v>
      </c>
      <c r="E229" s="70">
        <f t="shared" si="65"/>
        <v>0</v>
      </c>
      <c r="F229" s="69">
        <v>0</v>
      </c>
      <c r="G229" s="72" t="e">
        <f t="shared" si="66"/>
        <v>#DIV/0!</v>
      </c>
      <c r="I229" s="60">
        <f>I109</f>
        <v>105</v>
      </c>
      <c r="J229" s="73">
        <f t="shared" si="59"/>
        <v>2041</v>
      </c>
      <c r="K229" s="74" t="str">
        <f t="shared" si="60"/>
        <v/>
      </c>
      <c r="M229" s="41">
        <f t="shared" si="68"/>
        <v>2.155E-2</v>
      </c>
      <c r="T229" s="165"/>
    </row>
    <row r="230" spans="2:20" hidden="1" outlineLevel="1">
      <c r="B230" s="78">
        <f t="shared" si="63"/>
        <v>51533</v>
      </c>
      <c r="C230" s="75">
        <v>0</v>
      </c>
      <c r="D230" s="71">
        <f>IF(F230&lt;&gt;0,VLOOKUP($J230,'Table 1'!$B$13:$C$33,2,FALSE)/12*1000*Study_MW,0)</f>
        <v>0</v>
      </c>
      <c r="E230" s="71">
        <f t="shared" si="65"/>
        <v>0</v>
      </c>
      <c r="F230" s="75">
        <v>0</v>
      </c>
      <c r="G230" s="76" t="e">
        <f t="shared" si="66"/>
        <v>#DIV/0!</v>
      </c>
      <c r="I230" s="77">
        <f t="shared" ref="I230:I240" si="69">I110</f>
        <v>106</v>
      </c>
      <c r="J230" s="73">
        <f t="shared" si="59"/>
        <v>2041</v>
      </c>
      <c r="K230" s="78" t="str">
        <f t="shared" si="60"/>
        <v/>
      </c>
      <c r="M230" s="41">
        <f t="shared" si="68"/>
        <v>2.155E-2</v>
      </c>
      <c r="T230" s="165"/>
    </row>
    <row r="231" spans="2:20" hidden="1" outlineLevel="1">
      <c r="B231" s="78">
        <f t="shared" si="63"/>
        <v>51561</v>
      </c>
      <c r="C231" s="75">
        <v>0</v>
      </c>
      <c r="D231" s="71">
        <f>IF(F231&lt;&gt;0,VLOOKUP($J231,'Table 1'!$B$13:$C$33,2,FALSE)/12*1000*Study_MW,0)</f>
        <v>0</v>
      </c>
      <c r="E231" s="71">
        <f t="shared" si="65"/>
        <v>0</v>
      </c>
      <c r="F231" s="75">
        <v>0</v>
      </c>
      <c r="G231" s="76" t="e">
        <f t="shared" si="66"/>
        <v>#DIV/0!</v>
      </c>
      <c r="I231" s="77">
        <f t="shared" si="69"/>
        <v>107</v>
      </c>
      <c r="J231" s="73">
        <f t="shared" si="59"/>
        <v>2041</v>
      </c>
      <c r="K231" s="78" t="str">
        <f t="shared" si="60"/>
        <v/>
      </c>
      <c r="M231" s="41">
        <f t="shared" si="68"/>
        <v>2.155E-2</v>
      </c>
      <c r="T231" s="165"/>
    </row>
    <row r="232" spans="2:20" hidden="1" outlineLevel="1">
      <c r="B232" s="78">
        <f t="shared" si="63"/>
        <v>51592</v>
      </c>
      <c r="C232" s="75">
        <v>0</v>
      </c>
      <c r="D232" s="71">
        <f>IF(F232&lt;&gt;0,VLOOKUP($J232,'Table 1'!$B$13:$C$33,2,FALSE)/12*1000*Study_MW,0)</f>
        <v>0</v>
      </c>
      <c r="E232" s="71">
        <f t="shared" si="65"/>
        <v>0</v>
      </c>
      <c r="F232" s="75">
        <v>0</v>
      </c>
      <c r="G232" s="76" t="e">
        <f t="shared" si="66"/>
        <v>#DIV/0!</v>
      </c>
      <c r="I232" s="77">
        <f t="shared" si="69"/>
        <v>108</v>
      </c>
      <c r="J232" s="73">
        <f t="shared" si="59"/>
        <v>2041</v>
      </c>
      <c r="K232" s="78" t="str">
        <f t="shared" si="60"/>
        <v/>
      </c>
      <c r="M232" s="41">
        <f t="shared" si="68"/>
        <v>2.155E-2</v>
      </c>
      <c r="T232" s="165"/>
    </row>
    <row r="233" spans="2:20" hidden="1" outlineLevel="1">
      <c r="B233" s="78">
        <f t="shared" si="63"/>
        <v>51622</v>
      </c>
      <c r="C233" s="75">
        <v>0</v>
      </c>
      <c r="D233" s="71">
        <f>IF(F233&lt;&gt;0,VLOOKUP($J233,'Table 1'!$B$13:$C$33,2,FALSE)/12*1000*Study_MW,0)</f>
        <v>0</v>
      </c>
      <c r="E233" s="71">
        <f t="shared" si="65"/>
        <v>0</v>
      </c>
      <c r="F233" s="75">
        <v>0</v>
      </c>
      <c r="G233" s="76" t="e">
        <f t="shared" si="66"/>
        <v>#DIV/0!</v>
      </c>
      <c r="I233" s="77">
        <f t="shared" si="69"/>
        <v>109</v>
      </c>
      <c r="J233" s="73">
        <f t="shared" si="59"/>
        <v>2041</v>
      </c>
      <c r="K233" s="78" t="str">
        <f t="shared" si="60"/>
        <v/>
      </c>
      <c r="M233" s="41">
        <f t="shared" si="68"/>
        <v>2.155E-2</v>
      </c>
      <c r="T233" s="165"/>
    </row>
    <row r="234" spans="2:20" hidden="1" outlineLevel="1">
      <c r="B234" s="78">
        <f t="shared" si="63"/>
        <v>51653</v>
      </c>
      <c r="C234" s="75">
        <v>0</v>
      </c>
      <c r="D234" s="71">
        <f>IF(F234&lt;&gt;0,VLOOKUP($J234,'Table 1'!$B$13:$C$33,2,FALSE)/12*1000*Study_MW,0)</f>
        <v>0</v>
      </c>
      <c r="E234" s="71">
        <f t="shared" si="65"/>
        <v>0</v>
      </c>
      <c r="F234" s="75">
        <v>0</v>
      </c>
      <c r="G234" s="76" t="e">
        <f t="shared" si="66"/>
        <v>#DIV/0!</v>
      </c>
      <c r="I234" s="77">
        <f t="shared" si="69"/>
        <v>110</v>
      </c>
      <c r="J234" s="73">
        <f t="shared" si="59"/>
        <v>2041</v>
      </c>
      <c r="K234" s="78" t="str">
        <f t="shared" si="60"/>
        <v/>
      </c>
      <c r="M234" s="41">
        <f t="shared" si="68"/>
        <v>2.155E-2</v>
      </c>
      <c r="T234" s="165"/>
    </row>
    <row r="235" spans="2:20" hidden="1" outlineLevel="1">
      <c r="B235" s="78">
        <f t="shared" si="63"/>
        <v>51683</v>
      </c>
      <c r="C235" s="75">
        <v>0</v>
      </c>
      <c r="D235" s="71">
        <f>IF(F235&lt;&gt;0,VLOOKUP($J235,'Table 1'!$B$13:$C$33,2,FALSE)/12*1000*Study_MW,0)</f>
        <v>0</v>
      </c>
      <c r="E235" s="71">
        <f t="shared" si="65"/>
        <v>0</v>
      </c>
      <c r="F235" s="75">
        <v>0</v>
      </c>
      <c r="G235" s="76" t="e">
        <f t="shared" si="66"/>
        <v>#DIV/0!</v>
      </c>
      <c r="I235" s="77">
        <f t="shared" si="69"/>
        <v>111</v>
      </c>
      <c r="J235" s="73">
        <f t="shared" si="59"/>
        <v>2041</v>
      </c>
      <c r="K235" s="78" t="str">
        <f t="shared" si="60"/>
        <v/>
      </c>
      <c r="M235" s="41">
        <f t="shared" si="68"/>
        <v>2.155E-2</v>
      </c>
      <c r="T235" s="165"/>
    </row>
    <row r="236" spans="2:20" hidden="1" outlineLevel="1">
      <c r="B236" s="78">
        <f t="shared" si="63"/>
        <v>51714</v>
      </c>
      <c r="C236" s="75">
        <v>0</v>
      </c>
      <c r="D236" s="71">
        <f>IF(F236&lt;&gt;0,VLOOKUP($J236,'Table 1'!$B$13:$C$33,2,FALSE)/12*1000*Study_MW,0)</f>
        <v>0</v>
      </c>
      <c r="E236" s="71">
        <f t="shared" si="65"/>
        <v>0</v>
      </c>
      <c r="F236" s="75">
        <v>0</v>
      </c>
      <c r="G236" s="76" t="e">
        <f t="shared" si="66"/>
        <v>#DIV/0!</v>
      </c>
      <c r="I236" s="77">
        <f t="shared" si="69"/>
        <v>112</v>
      </c>
      <c r="J236" s="73">
        <f t="shared" si="59"/>
        <v>2041</v>
      </c>
      <c r="K236" s="78" t="str">
        <f t="shared" si="60"/>
        <v/>
      </c>
      <c r="M236" s="41">
        <f t="shared" si="68"/>
        <v>2.155E-2</v>
      </c>
      <c r="T236" s="165"/>
    </row>
    <row r="237" spans="2:20" hidden="1" outlineLevel="1">
      <c r="B237" s="78">
        <f t="shared" si="63"/>
        <v>51745</v>
      </c>
      <c r="C237" s="75">
        <v>0</v>
      </c>
      <c r="D237" s="71">
        <f>IF(F237&lt;&gt;0,VLOOKUP($J237,'Table 1'!$B$13:$C$33,2,FALSE)/12*1000*Study_MW,0)</f>
        <v>0</v>
      </c>
      <c r="E237" s="71">
        <f t="shared" si="65"/>
        <v>0</v>
      </c>
      <c r="F237" s="75">
        <v>0</v>
      </c>
      <c r="G237" s="76" t="e">
        <f t="shared" si="66"/>
        <v>#DIV/0!</v>
      </c>
      <c r="I237" s="77">
        <f t="shared" si="69"/>
        <v>113</v>
      </c>
      <c r="J237" s="73">
        <f t="shared" si="59"/>
        <v>2041</v>
      </c>
      <c r="K237" s="78" t="str">
        <f t="shared" si="60"/>
        <v/>
      </c>
      <c r="M237" s="41">
        <f t="shared" si="68"/>
        <v>2.155E-2</v>
      </c>
      <c r="T237" s="165"/>
    </row>
    <row r="238" spans="2:20" hidden="1" outlineLevel="1">
      <c r="B238" s="78">
        <f t="shared" si="63"/>
        <v>51775</v>
      </c>
      <c r="C238" s="75">
        <v>0</v>
      </c>
      <c r="D238" s="71">
        <f>IF(F238&lt;&gt;0,VLOOKUP($J238,'Table 1'!$B$13:$C$33,2,FALSE)/12*1000*Study_MW,0)</f>
        <v>0</v>
      </c>
      <c r="E238" s="71">
        <f t="shared" si="65"/>
        <v>0</v>
      </c>
      <c r="F238" s="75">
        <v>0</v>
      </c>
      <c r="G238" s="76" t="e">
        <f t="shared" si="66"/>
        <v>#DIV/0!</v>
      </c>
      <c r="I238" s="77">
        <f t="shared" si="69"/>
        <v>114</v>
      </c>
      <c r="J238" s="73">
        <f t="shared" si="59"/>
        <v>2041</v>
      </c>
      <c r="K238" s="78" t="str">
        <f t="shared" si="60"/>
        <v/>
      </c>
      <c r="M238" s="41">
        <f t="shared" si="68"/>
        <v>2.155E-2</v>
      </c>
      <c r="T238" s="165"/>
    </row>
    <row r="239" spans="2:20" hidden="1" outlineLevel="1">
      <c r="B239" s="78">
        <f t="shared" si="63"/>
        <v>51806</v>
      </c>
      <c r="C239" s="75">
        <v>0</v>
      </c>
      <c r="D239" s="71">
        <f>IF(F239&lt;&gt;0,VLOOKUP($J239,'Table 1'!$B$13:$C$33,2,FALSE)/12*1000*Study_MW,0)</f>
        <v>0</v>
      </c>
      <c r="E239" s="71">
        <f t="shared" si="65"/>
        <v>0</v>
      </c>
      <c r="F239" s="75">
        <v>0</v>
      </c>
      <c r="G239" s="76" t="e">
        <f t="shared" si="66"/>
        <v>#DIV/0!</v>
      </c>
      <c r="I239" s="77">
        <f t="shared" si="69"/>
        <v>115</v>
      </c>
      <c r="J239" s="73">
        <f t="shared" si="59"/>
        <v>2041</v>
      </c>
      <c r="K239" s="78" t="str">
        <f t="shared" si="60"/>
        <v/>
      </c>
      <c r="M239" s="41">
        <f t="shared" si="68"/>
        <v>2.155E-2</v>
      </c>
      <c r="T239" s="165"/>
    </row>
    <row r="240" spans="2:20" hidden="1" outlineLevel="1">
      <c r="B240" s="82">
        <f t="shared" si="63"/>
        <v>51836</v>
      </c>
      <c r="C240" s="79">
        <v>0</v>
      </c>
      <c r="D240" s="80">
        <f>IF(F240&lt;&gt;0,VLOOKUP($J240,'Table 1'!$B$13:$C$33,2,FALSE)/12*1000*Study_MW,0)</f>
        <v>0</v>
      </c>
      <c r="E240" s="80">
        <f t="shared" si="65"/>
        <v>0</v>
      </c>
      <c r="F240" s="79">
        <v>0</v>
      </c>
      <c r="G240" s="81" t="e">
        <f t="shared" si="66"/>
        <v>#DIV/0!</v>
      </c>
      <c r="I240" s="64">
        <f t="shared" si="69"/>
        <v>116</v>
      </c>
      <c r="J240" s="73">
        <f t="shared" si="59"/>
        <v>2041</v>
      </c>
      <c r="K240" s="82" t="str">
        <f t="shared" si="60"/>
        <v/>
      </c>
      <c r="M240" s="41">
        <f t="shared" si="68"/>
        <v>2.155E-2</v>
      </c>
      <c r="T240" s="165"/>
    </row>
    <row r="241" spans="2:20" hidden="1" outlineLevel="1">
      <c r="B241" s="181">
        <f t="shared" ref="B241:B276" si="70">EDATE(B240,1)</f>
        <v>51867</v>
      </c>
      <c r="C241" s="343" t="e">
        <f>(C229*(1+M241))*IF(AND(MONTH(K241)=2,OR(J229=2036,J229=2040)),28/29,1)</f>
        <v>#VALUE!</v>
      </c>
      <c r="D241" s="344">
        <f>IF(ISNUMBER($F241)*SUM(F241:F252)&lt;&gt;0,VLOOKUP($J241,'Table 1'!$B$13:$C$33,2,FALSE)/12*1000*Study_MW,0)</f>
        <v>0</v>
      </c>
      <c r="E241" s="344" t="e">
        <f t="shared" ref="E241:E264" si="71">C241+D241</f>
        <v>#VALUE!</v>
      </c>
      <c r="F241" s="343">
        <v>0</v>
      </c>
      <c r="G241" s="345">
        <f t="shared" ref="G241:G264" si="72">IFERROR(E241/$F241,0)</f>
        <v>0</v>
      </c>
      <c r="I241" s="60">
        <f>I121</f>
        <v>118</v>
      </c>
      <c r="J241" s="73">
        <f t="shared" ref="J241:J252" si="73">YEAR(B241)</f>
        <v>2042</v>
      </c>
      <c r="K241" s="74" t="str">
        <f t="shared" ref="K241:K252" si="74">IF(ISNUMBER(F241),IF(F241&lt;&gt;0,B241,""),"")</f>
        <v/>
      </c>
      <c r="M241" s="41">
        <f t="shared" si="68"/>
        <v>2.155E-2</v>
      </c>
      <c r="T241" s="165"/>
    </row>
    <row r="242" spans="2:20" hidden="1" outlineLevel="1">
      <c r="B242" s="182">
        <f t="shared" si="70"/>
        <v>51898</v>
      </c>
      <c r="C242" s="346" t="e">
        <f t="shared" ref="C242:C252" si="75">(C230*(1+M242))*IF(AND(MONTH(K242)=2,OR(J230=2036,J230=2040)),28/29,1)</f>
        <v>#VALUE!</v>
      </c>
      <c r="D242" s="347">
        <f>IF(ISNUMBER($F242)*SUM(F242:F253)&lt;&gt;0,VLOOKUP($J242,'Table 1'!$B$13:$C$33,2,FALSE)/12*1000*Study_MW,0)</f>
        <v>0</v>
      </c>
      <c r="E242" s="347" t="e">
        <f t="shared" si="71"/>
        <v>#VALUE!</v>
      </c>
      <c r="F242" s="346">
        <v>0</v>
      </c>
      <c r="G242" s="348">
        <f t="shared" si="72"/>
        <v>0</v>
      </c>
      <c r="I242" s="77">
        <f t="shared" ref="I242:I276" si="76">I122</f>
        <v>119</v>
      </c>
      <c r="J242" s="73">
        <f t="shared" si="73"/>
        <v>2042</v>
      </c>
      <c r="K242" s="78" t="str">
        <f t="shared" si="74"/>
        <v/>
      </c>
      <c r="M242" s="41">
        <f t="shared" si="68"/>
        <v>2.155E-2</v>
      </c>
      <c r="T242" s="165"/>
    </row>
    <row r="243" spans="2:20" hidden="1" outlineLevel="1">
      <c r="B243" s="182">
        <f t="shared" si="70"/>
        <v>51926</v>
      </c>
      <c r="C243" s="346" t="e">
        <f t="shared" si="75"/>
        <v>#VALUE!</v>
      </c>
      <c r="D243" s="347">
        <f>IF(ISNUMBER($F243)*SUM(F243:F254)&lt;&gt;0,VLOOKUP($J243,'Table 1'!$B$13:$C$33,2,FALSE)/12*1000*Study_MW,0)</f>
        <v>0</v>
      </c>
      <c r="E243" s="347" t="e">
        <f t="shared" si="71"/>
        <v>#VALUE!</v>
      </c>
      <c r="F243" s="346">
        <v>0</v>
      </c>
      <c r="G243" s="348">
        <f t="shared" si="72"/>
        <v>0</v>
      </c>
      <c r="I243" s="77">
        <f t="shared" si="76"/>
        <v>120</v>
      </c>
      <c r="J243" s="73">
        <f t="shared" si="73"/>
        <v>2042</v>
      </c>
      <c r="K243" s="78" t="str">
        <f t="shared" si="74"/>
        <v/>
      </c>
      <c r="M243" s="41">
        <f t="shared" si="68"/>
        <v>2.155E-2</v>
      </c>
      <c r="T243" s="165"/>
    </row>
    <row r="244" spans="2:20" hidden="1" outlineLevel="1">
      <c r="B244" s="182">
        <f t="shared" si="70"/>
        <v>51957</v>
      </c>
      <c r="C244" s="346" t="e">
        <f t="shared" si="75"/>
        <v>#VALUE!</v>
      </c>
      <c r="D244" s="347">
        <f>IF(ISNUMBER($F244)*SUM(F244:F255)&lt;&gt;0,VLOOKUP($J244,'Table 1'!$B$13:$C$33,2,FALSE)/12*1000*Study_MW,0)</f>
        <v>0</v>
      </c>
      <c r="E244" s="347" t="e">
        <f t="shared" si="71"/>
        <v>#VALUE!</v>
      </c>
      <c r="F244" s="346">
        <v>0</v>
      </c>
      <c r="G244" s="348">
        <f t="shared" si="72"/>
        <v>0</v>
      </c>
      <c r="I244" s="77">
        <f t="shared" si="76"/>
        <v>121</v>
      </c>
      <c r="J244" s="73">
        <f t="shared" si="73"/>
        <v>2042</v>
      </c>
      <c r="K244" s="78" t="str">
        <f t="shared" si="74"/>
        <v/>
      </c>
      <c r="M244" s="41">
        <f t="shared" si="68"/>
        <v>2.155E-2</v>
      </c>
      <c r="T244" s="165"/>
    </row>
    <row r="245" spans="2:20" hidden="1" outlineLevel="1">
      <c r="B245" s="182">
        <f t="shared" si="70"/>
        <v>51987</v>
      </c>
      <c r="C245" s="346" t="e">
        <f t="shared" si="75"/>
        <v>#VALUE!</v>
      </c>
      <c r="D245" s="347">
        <f>IF(ISNUMBER($F245)*SUM(F245:F256)&lt;&gt;0,VLOOKUP($J245,'Table 1'!$B$13:$C$33,2,FALSE)/12*1000*Study_MW,0)</f>
        <v>0</v>
      </c>
      <c r="E245" s="347" t="e">
        <f t="shared" si="71"/>
        <v>#VALUE!</v>
      </c>
      <c r="F245" s="346">
        <v>0</v>
      </c>
      <c r="G245" s="348">
        <f t="shared" si="72"/>
        <v>0</v>
      </c>
      <c r="I245" s="77">
        <f t="shared" si="76"/>
        <v>122</v>
      </c>
      <c r="J245" s="73">
        <f t="shared" si="73"/>
        <v>2042</v>
      </c>
      <c r="K245" s="78" t="str">
        <f t="shared" si="74"/>
        <v/>
      </c>
      <c r="M245" s="41">
        <f t="shared" si="68"/>
        <v>2.155E-2</v>
      </c>
      <c r="T245" s="165"/>
    </row>
    <row r="246" spans="2:20" hidden="1" outlineLevel="1">
      <c r="B246" s="182">
        <f t="shared" si="70"/>
        <v>52018</v>
      </c>
      <c r="C246" s="346" t="e">
        <f t="shared" si="75"/>
        <v>#VALUE!</v>
      </c>
      <c r="D246" s="347">
        <f>IF(ISNUMBER($F246)*SUM(F246:F257)&lt;&gt;0,VLOOKUP($J246,'Table 1'!$B$13:$C$33,2,FALSE)/12*1000*Study_MW,0)</f>
        <v>0</v>
      </c>
      <c r="E246" s="347" t="e">
        <f t="shared" si="71"/>
        <v>#VALUE!</v>
      </c>
      <c r="F246" s="346">
        <v>0</v>
      </c>
      <c r="G246" s="348">
        <f t="shared" si="72"/>
        <v>0</v>
      </c>
      <c r="I246" s="77">
        <f t="shared" si="76"/>
        <v>123</v>
      </c>
      <c r="J246" s="73">
        <f t="shared" si="73"/>
        <v>2042</v>
      </c>
      <c r="K246" s="78" t="str">
        <f t="shared" si="74"/>
        <v/>
      </c>
      <c r="M246" s="41">
        <f t="shared" si="68"/>
        <v>2.155E-2</v>
      </c>
      <c r="T246" s="165"/>
    </row>
    <row r="247" spans="2:20" hidden="1" outlineLevel="1">
      <c r="B247" s="182">
        <f t="shared" si="70"/>
        <v>52048</v>
      </c>
      <c r="C247" s="346" t="e">
        <f t="shared" si="75"/>
        <v>#VALUE!</v>
      </c>
      <c r="D247" s="347">
        <f>IF(ISNUMBER($F247)*SUM(F247:F258)&lt;&gt;0,VLOOKUP($J247,'Table 1'!$B$13:$C$33,2,FALSE)/12*1000*Study_MW,0)</f>
        <v>0</v>
      </c>
      <c r="E247" s="347" t="e">
        <f t="shared" si="71"/>
        <v>#VALUE!</v>
      </c>
      <c r="F247" s="346">
        <v>0</v>
      </c>
      <c r="G247" s="348">
        <f t="shared" si="72"/>
        <v>0</v>
      </c>
      <c r="I247" s="77">
        <f t="shared" si="76"/>
        <v>124</v>
      </c>
      <c r="J247" s="73">
        <f t="shared" si="73"/>
        <v>2042</v>
      </c>
      <c r="K247" s="78" t="str">
        <f t="shared" si="74"/>
        <v/>
      </c>
      <c r="M247" s="41">
        <f t="shared" si="68"/>
        <v>2.155E-2</v>
      </c>
      <c r="T247" s="165"/>
    </row>
    <row r="248" spans="2:20" hidden="1" outlineLevel="1">
      <c r="B248" s="182">
        <f t="shared" si="70"/>
        <v>52079</v>
      </c>
      <c r="C248" s="346" t="e">
        <f t="shared" si="75"/>
        <v>#VALUE!</v>
      </c>
      <c r="D248" s="347">
        <f>IF(ISNUMBER($F248)*SUM(F248:F259)&lt;&gt;0,VLOOKUP($J248,'Table 1'!$B$13:$C$33,2,FALSE)/12*1000*Study_MW,0)</f>
        <v>0</v>
      </c>
      <c r="E248" s="347" t="e">
        <f t="shared" si="71"/>
        <v>#VALUE!</v>
      </c>
      <c r="F248" s="346">
        <v>0</v>
      </c>
      <c r="G248" s="348">
        <f t="shared" si="72"/>
        <v>0</v>
      </c>
      <c r="I248" s="77">
        <f t="shared" si="76"/>
        <v>125</v>
      </c>
      <c r="J248" s="73">
        <f t="shared" si="73"/>
        <v>2042</v>
      </c>
      <c r="K248" s="78" t="str">
        <f t="shared" si="74"/>
        <v/>
      </c>
      <c r="M248" s="41">
        <f t="shared" si="68"/>
        <v>2.155E-2</v>
      </c>
      <c r="T248" s="165"/>
    </row>
    <row r="249" spans="2:20" hidden="1" outlineLevel="1">
      <c r="B249" s="182">
        <f t="shared" si="70"/>
        <v>52110</v>
      </c>
      <c r="C249" s="346" t="e">
        <f t="shared" si="75"/>
        <v>#VALUE!</v>
      </c>
      <c r="D249" s="347">
        <f>IF(ISNUMBER($F249)*SUM(F249:F260)&lt;&gt;0,VLOOKUP($J249,'Table 1'!$B$13:$C$33,2,FALSE)/12*1000*Study_MW,0)</f>
        <v>0</v>
      </c>
      <c r="E249" s="347" t="e">
        <f t="shared" si="71"/>
        <v>#VALUE!</v>
      </c>
      <c r="F249" s="346">
        <v>0</v>
      </c>
      <c r="G249" s="348">
        <f t="shared" si="72"/>
        <v>0</v>
      </c>
      <c r="I249" s="77">
        <f t="shared" si="76"/>
        <v>126</v>
      </c>
      <c r="J249" s="73">
        <f t="shared" si="73"/>
        <v>2042</v>
      </c>
      <c r="K249" s="78" t="str">
        <f t="shared" si="74"/>
        <v/>
      </c>
      <c r="M249" s="41">
        <f t="shared" si="68"/>
        <v>2.155E-2</v>
      </c>
      <c r="T249" s="165"/>
    </row>
    <row r="250" spans="2:20" hidden="1" outlineLevel="1">
      <c r="B250" s="182">
        <f t="shared" si="70"/>
        <v>52140</v>
      </c>
      <c r="C250" s="346" t="e">
        <f t="shared" si="75"/>
        <v>#VALUE!</v>
      </c>
      <c r="D250" s="347">
        <f>IF(ISNUMBER($F250)*SUM(F250:F261)&lt;&gt;0,VLOOKUP($J250,'Table 1'!$B$13:$C$33,2,FALSE)/12*1000*Study_MW,0)</f>
        <v>0</v>
      </c>
      <c r="E250" s="347" t="e">
        <f t="shared" si="71"/>
        <v>#VALUE!</v>
      </c>
      <c r="F250" s="346">
        <v>0</v>
      </c>
      <c r="G250" s="348">
        <f t="shared" si="72"/>
        <v>0</v>
      </c>
      <c r="I250" s="77">
        <f t="shared" si="76"/>
        <v>127</v>
      </c>
      <c r="J250" s="73">
        <f t="shared" si="73"/>
        <v>2042</v>
      </c>
      <c r="K250" s="78" t="str">
        <f t="shared" si="74"/>
        <v/>
      </c>
      <c r="M250" s="41">
        <f t="shared" si="68"/>
        <v>2.155E-2</v>
      </c>
      <c r="T250" s="165"/>
    </row>
    <row r="251" spans="2:20" hidden="1" outlineLevel="1">
      <c r="B251" s="182">
        <f t="shared" si="70"/>
        <v>52171</v>
      </c>
      <c r="C251" s="346" t="e">
        <f t="shared" si="75"/>
        <v>#VALUE!</v>
      </c>
      <c r="D251" s="347">
        <f>IF(ISNUMBER($F251)*SUM(F251:F262)&lt;&gt;0,VLOOKUP($J251,'Table 1'!$B$13:$C$33,2,FALSE)/12*1000*Study_MW,0)</f>
        <v>0</v>
      </c>
      <c r="E251" s="347" t="e">
        <f t="shared" si="71"/>
        <v>#VALUE!</v>
      </c>
      <c r="F251" s="346">
        <v>0</v>
      </c>
      <c r="G251" s="348">
        <f t="shared" si="72"/>
        <v>0</v>
      </c>
      <c r="I251" s="77">
        <f t="shared" si="76"/>
        <v>128</v>
      </c>
      <c r="J251" s="73">
        <f t="shared" si="73"/>
        <v>2042</v>
      </c>
      <c r="K251" s="78" t="str">
        <f t="shared" si="74"/>
        <v/>
      </c>
      <c r="M251" s="41">
        <f t="shared" si="68"/>
        <v>2.155E-2</v>
      </c>
      <c r="O251" s="165"/>
      <c r="P251" s="165"/>
      <c r="T251" s="165"/>
    </row>
    <row r="252" spans="2:20" hidden="1" outlineLevel="1" collapsed="1">
      <c r="B252" s="183">
        <f t="shared" si="70"/>
        <v>52201</v>
      </c>
      <c r="C252" s="349" t="e">
        <f t="shared" si="75"/>
        <v>#VALUE!</v>
      </c>
      <c r="D252" s="350">
        <f>IF(ISNUMBER($F252)*SUM(F252:F263)&lt;&gt;0,VLOOKUP($J252,'Table 1'!$B$13:$C$33,2,FALSE)/12*1000*Study_MW,0)</f>
        <v>0</v>
      </c>
      <c r="E252" s="350" t="e">
        <f t="shared" si="71"/>
        <v>#VALUE!</v>
      </c>
      <c r="F252" s="349">
        <v>0</v>
      </c>
      <c r="G252" s="351">
        <f t="shared" si="72"/>
        <v>0</v>
      </c>
      <c r="I252" s="64">
        <f t="shared" si="76"/>
        <v>129</v>
      </c>
      <c r="J252" s="73">
        <f t="shared" si="73"/>
        <v>2042</v>
      </c>
      <c r="K252" s="82" t="str">
        <f t="shared" si="74"/>
        <v/>
      </c>
      <c r="M252" s="41">
        <f t="shared" si="68"/>
        <v>2.155E-2</v>
      </c>
      <c r="O252" s="165"/>
      <c r="P252" s="165"/>
      <c r="T252" s="165"/>
    </row>
    <row r="253" spans="2:20" hidden="1" outlineLevel="1">
      <c r="B253" s="181">
        <f t="shared" si="70"/>
        <v>52232</v>
      </c>
      <c r="C253" s="343" t="e">
        <f>(C241*(1+M253))*IF(AND(MONTH(K253)=2,OR(J241=2036,J241=2040)),28/29,1)</f>
        <v>#VALUE!</v>
      </c>
      <c r="D253" s="344">
        <f>IF(ISNUMBER($F253)*SUM(F253:F264)&lt;&gt;0,VLOOKUP($J253,'Table 1'!$B$13:$C$33,2,FALSE)/12*1000*Study_MW,0)</f>
        <v>0</v>
      </c>
      <c r="E253" s="344" t="e">
        <f t="shared" si="71"/>
        <v>#VALUE!</v>
      </c>
      <c r="F253" s="343">
        <v>0</v>
      </c>
      <c r="G253" s="345">
        <f t="shared" si="72"/>
        <v>0</v>
      </c>
      <c r="I253" s="60">
        <f>I133</f>
        <v>1</v>
      </c>
      <c r="J253" s="73">
        <f t="shared" ref="J253:J276" si="77">YEAR(B253)</f>
        <v>2043</v>
      </c>
      <c r="K253" s="74" t="str">
        <f t="shared" ref="K253:K276" si="78">IF(ISNUMBER(F253),IF(F253&lt;&gt;0,B253,""),"")</f>
        <v/>
      </c>
      <c r="M253" s="41">
        <f t="shared" si="68"/>
        <v>2.155E-2</v>
      </c>
      <c r="O253" s="165"/>
      <c r="P253" s="165"/>
      <c r="T253" s="165"/>
    </row>
    <row r="254" spans="2:20" hidden="1" outlineLevel="1">
      <c r="B254" s="182">
        <f t="shared" si="70"/>
        <v>52263</v>
      </c>
      <c r="C254" s="346" t="e">
        <f t="shared" ref="C254:C264" si="79">(C242*(1+M254))*IF(AND(MONTH(K254)=2,OR(J242=2036,J242=2040)),28/29,1)</f>
        <v>#VALUE!</v>
      </c>
      <c r="D254" s="347">
        <f>IF(ISNUMBER($F254)*SUM(F254:F265)&lt;&gt;0,VLOOKUP($J254,'Table 1'!$B$13:$C$33,2,FALSE)/12*1000*Study_MW,0)</f>
        <v>0</v>
      </c>
      <c r="E254" s="347" t="e">
        <f t="shared" si="71"/>
        <v>#VALUE!</v>
      </c>
      <c r="F254" s="346">
        <v>0</v>
      </c>
      <c r="G254" s="348">
        <f t="shared" si="72"/>
        <v>0</v>
      </c>
      <c r="I254" s="77">
        <f t="shared" si="76"/>
        <v>2</v>
      </c>
      <c r="J254" s="73">
        <f t="shared" si="77"/>
        <v>2043</v>
      </c>
      <c r="K254" s="78" t="str">
        <f t="shared" si="78"/>
        <v/>
      </c>
      <c r="M254" s="41">
        <f t="shared" si="68"/>
        <v>2.155E-2</v>
      </c>
      <c r="O254" s="165"/>
      <c r="P254" s="165"/>
      <c r="T254" s="165"/>
    </row>
    <row r="255" spans="2:20" hidden="1" outlineLevel="1">
      <c r="B255" s="182">
        <f t="shared" si="70"/>
        <v>52291</v>
      </c>
      <c r="C255" s="346" t="e">
        <f t="shared" si="79"/>
        <v>#VALUE!</v>
      </c>
      <c r="D255" s="347">
        <f>IF(ISNUMBER($F255)*SUM(F255:F266)&lt;&gt;0,VLOOKUP($J255,'Table 1'!$B$13:$C$33,2,FALSE)/12*1000*Study_MW,0)</f>
        <v>0</v>
      </c>
      <c r="E255" s="347" t="e">
        <f t="shared" si="71"/>
        <v>#VALUE!</v>
      </c>
      <c r="F255" s="346">
        <v>0</v>
      </c>
      <c r="G255" s="348">
        <f t="shared" si="72"/>
        <v>0</v>
      </c>
      <c r="I255" s="77">
        <f t="shared" si="76"/>
        <v>3</v>
      </c>
      <c r="J255" s="73">
        <f t="shared" si="77"/>
        <v>2043</v>
      </c>
      <c r="K255" s="78" t="str">
        <f t="shared" si="78"/>
        <v/>
      </c>
      <c r="M255" s="41">
        <f t="shared" si="68"/>
        <v>2.155E-2</v>
      </c>
      <c r="O255" s="165"/>
      <c r="P255" s="165"/>
      <c r="T255" s="165"/>
    </row>
    <row r="256" spans="2:20" hidden="1" outlineLevel="1">
      <c r="B256" s="182">
        <f t="shared" si="70"/>
        <v>52322</v>
      </c>
      <c r="C256" s="346" t="e">
        <f t="shared" si="79"/>
        <v>#VALUE!</v>
      </c>
      <c r="D256" s="347">
        <f>IF(ISNUMBER($F256)*SUM(F256:F267)&lt;&gt;0,VLOOKUP($J256,'Table 1'!$B$13:$C$33,2,FALSE)/12*1000*Study_MW,0)</f>
        <v>0</v>
      </c>
      <c r="E256" s="347" t="e">
        <f t="shared" si="71"/>
        <v>#VALUE!</v>
      </c>
      <c r="F256" s="346">
        <v>0</v>
      </c>
      <c r="G256" s="348">
        <f t="shared" si="72"/>
        <v>0</v>
      </c>
      <c r="I256" s="77">
        <f t="shared" si="76"/>
        <v>4</v>
      </c>
      <c r="J256" s="73">
        <f t="shared" si="77"/>
        <v>2043</v>
      </c>
      <c r="K256" s="78" t="str">
        <f t="shared" si="78"/>
        <v/>
      </c>
      <c r="M256" s="41">
        <f t="shared" si="68"/>
        <v>2.155E-2</v>
      </c>
      <c r="O256" s="165"/>
      <c r="P256" s="165"/>
      <c r="T256" s="165"/>
    </row>
    <row r="257" spans="2:20" hidden="1" outlineLevel="1">
      <c r="B257" s="182">
        <f t="shared" si="70"/>
        <v>52352</v>
      </c>
      <c r="C257" s="346" t="e">
        <f t="shared" si="79"/>
        <v>#VALUE!</v>
      </c>
      <c r="D257" s="347">
        <f>IF(ISNUMBER($F257)*SUM(F257:F268)&lt;&gt;0,VLOOKUP($J257,'Table 1'!$B$13:$C$33,2,FALSE)/12*1000*Study_MW,0)</f>
        <v>0</v>
      </c>
      <c r="E257" s="347" t="e">
        <f t="shared" si="71"/>
        <v>#VALUE!</v>
      </c>
      <c r="F257" s="346">
        <v>0</v>
      </c>
      <c r="G257" s="348">
        <f t="shared" si="72"/>
        <v>0</v>
      </c>
      <c r="I257" s="77">
        <f t="shared" si="76"/>
        <v>5</v>
      </c>
      <c r="J257" s="73">
        <f t="shared" si="77"/>
        <v>2043</v>
      </c>
      <c r="K257" s="78" t="str">
        <f t="shared" si="78"/>
        <v/>
      </c>
      <c r="M257" s="41">
        <f t="shared" ref="M257:M276" si="80">IRP21_Infl_Rate</f>
        <v>2.155E-2</v>
      </c>
      <c r="O257" s="165"/>
      <c r="P257" s="165"/>
      <c r="T257" s="165"/>
    </row>
    <row r="258" spans="2:20" hidden="1" outlineLevel="1">
      <c r="B258" s="182">
        <f t="shared" si="70"/>
        <v>52383</v>
      </c>
      <c r="C258" s="346" t="e">
        <f t="shared" si="79"/>
        <v>#VALUE!</v>
      </c>
      <c r="D258" s="347">
        <f>IF(ISNUMBER($F258)*SUM(F258:F269)&lt;&gt;0,VLOOKUP($J258,'Table 1'!$B$13:$C$33,2,FALSE)/12*1000*Study_MW,0)</f>
        <v>0</v>
      </c>
      <c r="E258" s="347" t="e">
        <f t="shared" si="71"/>
        <v>#VALUE!</v>
      </c>
      <c r="F258" s="346">
        <v>0</v>
      </c>
      <c r="G258" s="348">
        <f t="shared" si="72"/>
        <v>0</v>
      </c>
      <c r="I258" s="77">
        <f t="shared" si="76"/>
        <v>6</v>
      </c>
      <c r="J258" s="73">
        <f t="shared" si="77"/>
        <v>2043</v>
      </c>
      <c r="K258" s="78" t="str">
        <f t="shared" si="78"/>
        <v/>
      </c>
      <c r="M258" s="41">
        <f t="shared" si="80"/>
        <v>2.155E-2</v>
      </c>
      <c r="O258" s="165"/>
      <c r="P258" s="165"/>
      <c r="T258" s="165"/>
    </row>
    <row r="259" spans="2:20" hidden="1" outlineLevel="1">
      <c r="B259" s="182">
        <f t="shared" si="70"/>
        <v>52413</v>
      </c>
      <c r="C259" s="346" t="e">
        <f t="shared" si="79"/>
        <v>#VALUE!</v>
      </c>
      <c r="D259" s="347">
        <f>IF(ISNUMBER($F259)*SUM(F259:F270)&lt;&gt;0,VLOOKUP($J259,'Table 1'!$B$13:$C$33,2,FALSE)/12*1000*Study_MW,0)</f>
        <v>0</v>
      </c>
      <c r="E259" s="347" t="e">
        <f t="shared" si="71"/>
        <v>#VALUE!</v>
      </c>
      <c r="F259" s="346">
        <v>0</v>
      </c>
      <c r="G259" s="348">
        <f t="shared" si="72"/>
        <v>0</v>
      </c>
      <c r="I259" s="77">
        <f t="shared" si="76"/>
        <v>7</v>
      </c>
      <c r="J259" s="73">
        <f t="shared" si="77"/>
        <v>2043</v>
      </c>
      <c r="K259" s="78" t="str">
        <f t="shared" si="78"/>
        <v/>
      </c>
      <c r="M259" s="41">
        <f t="shared" si="80"/>
        <v>2.155E-2</v>
      </c>
      <c r="O259" s="165"/>
      <c r="P259" s="165"/>
    </row>
    <row r="260" spans="2:20" hidden="1" outlineLevel="1">
      <c r="B260" s="182">
        <f t="shared" si="70"/>
        <v>52444</v>
      </c>
      <c r="C260" s="346" t="e">
        <f t="shared" si="79"/>
        <v>#VALUE!</v>
      </c>
      <c r="D260" s="347">
        <f>IF(ISNUMBER($F260)*SUM(F260:F271)&lt;&gt;0,VLOOKUP($J260,'Table 1'!$B$13:$C$33,2,FALSE)/12*1000*Study_MW,0)</f>
        <v>0</v>
      </c>
      <c r="E260" s="347" t="e">
        <f t="shared" si="71"/>
        <v>#VALUE!</v>
      </c>
      <c r="F260" s="346">
        <v>0</v>
      </c>
      <c r="G260" s="348">
        <f t="shared" si="72"/>
        <v>0</v>
      </c>
      <c r="I260" s="77">
        <f t="shared" si="76"/>
        <v>8</v>
      </c>
      <c r="J260" s="73">
        <f t="shared" si="77"/>
        <v>2043</v>
      </c>
      <c r="K260" s="78" t="str">
        <f t="shared" si="78"/>
        <v/>
      </c>
      <c r="M260" s="41">
        <f t="shared" si="80"/>
        <v>2.155E-2</v>
      </c>
      <c r="O260" s="165"/>
      <c r="P260" s="165"/>
    </row>
    <row r="261" spans="2:20" hidden="1" outlineLevel="1">
      <c r="B261" s="182">
        <f t="shared" si="70"/>
        <v>52475</v>
      </c>
      <c r="C261" s="346" t="e">
        <f t="shared" si="79"/>
        <v>#VALUE!</v>
      </c>
      <c r="D261" s="347">
        <f>IF(ISNUMBER($F261)*SUM(F261:F272)&lt;&gt;0,VLOOKUP($J261,'Table 1'!$B$13:$C$33,2,FALSE)/12*1000*Study_MW,0)</f>
        <v>0</v>
      </c>
      <c r="E261" s="347" t="e">
        <f t="shared" si="71"/>
        <v>#VALUE!</v>
      </c>
      <c r="F261" s="346">
        <v>0</v>
      </c>
      <c r="G261" s="348">
        <f t="shared" si="72"/>
        <v>0</v>
      </c>
      <c r="I261" s="77">
        <f t="shared" si="76"/>
        <v>9</v>
      </c>
      <c r="J261" s="73">
        <f t="shared" si="77"/>
        <v>2043</v>
      </c>
      <c r="K261" s="78" t="str">
        <f t="shared" si="78"/>
        <v/>
      </c>
      <c r="M261" s="41">
        <f t="shared" si="80"/>
        <v>2.155E-2</v>
      </c>
      <c r="O261" s="165"/>
      <c r="P261" s="165"/>
    </row>
    <row r="262" spans="2:20" hidden="1" outlineLevel="1">
      <c r="B262" s="182">
        <f t="shared" si="70"/>
        <v>52505</v>
      </c>
      <c r="C262" s="346" t="e">
        <f t="shared" si="79"/>
        <v>#VALUE!</v>
      </c>
      <c r="D262" s="347">
        <f>IF(ISNUMBER($F262)*SUM(F262:F273)&lt;&gt;0,VLOOKUP($J262,'Table 1'!$B$13:$C$33,2,FALSE)/12*1000*Study_MW,0)</f>
        <v>0</v>
      </c>
      <c r="E262" s="347" t="e">
        <f t="shared" si="71"/>
        <v>#VALUE!</v>
      </c>
      <c r="F262" s="346">
        <v>0</v>
      </c>
      <c r="G262" s="348">
        <f t="shared" si="72"/>
        <v>0</v>
      </c>
      <c r="I262" s="77">
        <f t="shared" si="76"/>
        <v>10</v>
      </c>
      <c r="J262" s="73">
        <f t="shared" si="77"/>
        <v>2043</v>
      </c>
      <c r="K262" s="78" t="str">
        <f t="shared" si="78"/>
        <v/>
      </c>
      <c r="M262" s="41">
        <f t="shared" si="80"/>
        <v>2.155E-2</v>
      </c>
    </row>
    <row r="263" spans="2:20" hidden="1" outlineLevel="1">
      <c r="B263" s="182">
        <f t="shared" si="70"/>
        <v>52536</v>
      </c>
      <c r="C263" s="346" t="e">
        <f t="shared" si="79"/>
        <v>#VALUE!</v>
      </c>
      <c r="D263" s="347">
        <f>IF(ISNUMBER($F263)*SUM(F263:F274)&lt;&gt;0,VLOOKUP($J263,'Table 1'!$B$13:$C$33,2,FALSE)/12*1000*Study_MW,0)</f>
        <v>0</v>
      </c>
      <c r="E263" s="347" t="e">
        <f t="shared" si="71"/>
        <v>#VALUE!</v>
      </c>
      <c r="F263" s="346">
        <v>0</v>
      </c>
      <c r="G263" s="348">
        <f t="shared" si="72"/>
        <v>0</v>
      </c>
      <c r="I263" s="77">
        <f t="shared" si="76"/>
        <v>11</v>
      </c>
      <c r="J263" s="73">
        <f t="shared" si="77"/>
        <v>2043</v>
      </c>
      <c r="K263" s="78" t="str">
        <f t="shared" si="78"/>
        <v/>
      </c>
      <c r="M263" s="41">
        <f t="shared" si="80"/>
        <v>2.155E-2</v>
      </c>
    </row>
    <row r="264" spans="2:20" hidden="1" outlineLevel="1">
      <c r="B264" s="183">
        <f t="shared" si="70"/>
        <v>52566</v>
      </c>
      <c r="C264" s="349" t="e">
        <f t="shared" si="79"/>
        <v>#VALUE!</v>
      </c>
      <c r="D264" s="350">
        <f>IF(ISNUMBER($F264)*SUM(F264:F275)&lt;&gt;0,VLOOKUP($J264,'Table 1'!$B$13:$C$33,2,FALSE)/12*1000*Study_MW,0)</f>
        <v>0</v>
      </c>
      <c r="E264" s="350" t="e">
        <f t="shared" si="71"/>
        <v>#VALUE!</v>
      </c>
      <c r="F264" s="349">
        <v>0</v>
      </c>
      <c r="G264" s="351">
        <f t="shared" si="72"/>
        <v>0</v>
      </c>
      <c r="I264" s="64">
        <f t="shared" si="76"/>
        <v>12</v>
      </c>
      <c r="J264" s="73">
        <f t="shared" si="77"/>
        <v>2043</v>
      </c>
      <c r="K264" s="82" t="str">
        <f t="shared" si="78"/>
        <v/>
      </c>
      <c r="M264" s="41">
        <f t="shared" si="80"/>
        <v>2.155E-2</v>
      </c>
    </row>
    <row r="265" spans="2:20" hidden="1" outlineLevel="1">
      <c r="B265" s="181">
        <f t="shared" si="70"/>
        <v>52597</v>
      </c>
      <c r="C265" s="173" t="e">
        <f>(C253*(1+M265))*IF(AND(MONTH(K265)=2,OR(J253=2036,J253=2040)),28/29,1)</f>
        <v>#VALUE!</v>
      </c>
      <c r="D265" s="174">
        <f>IF(ISNUMBER($F265)*SUM(F265:F276)&lt;&gt;0,VLOOKUP($J265,'Table 1'!$B$13:$C$38,2,FALSE)/12*1000*Study_MW,0)</f>
        <v>0</v>
      </c>
      <c r="E265" s="174" t="e">
        <f t="shared" ref="E265:E276" si="81">C265+D265</f>
        <v>#VALUE!</v>
      </c>
      <c r="F265" s="173">
        <v>0</v>
      </c>
      <c r="G265" s="175">
        <f t="shared" ref="G265:G276" si="82">IFERROR(E265/$F265,0)</f>
        <v>0</v>
      </c>
      <c r="I265" s="60">
        <f>I145</f>
        <v>14</v>
      </c>
      <c r="J265" s="73">
        <f t="shared" si="77"/>
        <v>2044</v>
      </c>
      <c r="K265" s="74" t="str">
        <f t="shared" si="78"/>
        <v/>
      </c>
      <c r="M265" s="41">
        <f t="shared" si="80"/>
        <v>2.155E-2</v>
      </c>
      <c r="O265" s="165"/>
      <c r="P265" s="165"/>
      <c r="T265" s="165"/>
    </row>
    <row r="266" spans="2:20" hidden="1" outlineLevel="1">
      <c r="B266" s="182">
        <f t="shared" si="70"/>
        <v>52628</v>
      </c>
      <c r="C266" s="167" t="e">
        <f t="shared" ref="C266:C276" si="83">(C254*(1+M266))*IF(AND(MONTH(K266)=2,OR(J254=2036,J254=2040)),28/29,1)</f>
        <v>#VALUE!</v>
      </c>
      <c r="D266" s="168">
        <f>IF(ISNUMBER($F266)*SUM(F266:F276)&lt;&gt;0,VLOOKUP($J266,'Table 1'!$B$13:$C$38,2,FALSE)/12*1000*Study_MW,0)</f>
        <v>0</v>
      </c>
      <c r="E266" s="168" t="e">
        <f t="shared" si="81"/>
        <v>#VALUE!</v>
      </c>
      <c r="F266" s="167">
        <v>0</v>
      </c>
      <c r="G266" s="169">
        <f t="shared" si="82"/>
        <v>0</v>
      </c>
      <c r="I266" s="77">
        <f t="shared" si="76"/>
        <v>15</v>
      </c>
      <c r="J266" s="73">
        <f t="shared" si="77"/>
        <v>2044</v>
      </c>
      <c r="K266" s="78" t="str">
        <f t="shared" si="78"/>
        <v/>
      </c>
      <c r="M266" s="41">
        <f t="shared" si="80"/>
        <v>2.155E-2</v>
      </c>
      <c r="O266" s="165"/>
      <c r="P266" s="165"/>
      <c r="T266" s="165"/>
    </row>
    <row r="267" spans="2:20" hidden="1" outlineLevel="1">
      <c r="B267" s="182">
        <f t="shared" si="70"/>
        <v>52657</v>
      </c>
      <c r="C267" s="167" t="e">
        <f t="shared" si="83"/>
        <v>#VALUE!</v>
      </c>
      <c r="D267" s="168">
        <f>IF(ISNUMBER($F267)*SUM(F267:F276)&lt;&gt;0,VLOOKUP($J267,'Table 1'!$B$13:$C$38,2,FALSE)/12*1000*Study_MW,0)</f>
        <v>0</v>
      </c>
      <c r="E267" s="168" t="e">
        <f t="shared" si="81"/>
        <v>#VALUE!</v>
      </c>
      <c r="F267" s="167">
        <v>0</v>
      </c>
      <c r="G267" s="169">
        <f t="shared" si="82"/>
        <v>0</v>
      </c>
      <c r="I267" s="77">
        <f t="shared" si="76"/>
        <v>16</v>
      </c>
      <c r="J267" s="73">
        <f t="shared" si="77"/>
        <v>2044</v>
      </c>
      <c r="K267" s="78" t="str">
        <f t="shared" si="78"/>
        <v/>
      </c>
      <c r="M267" s="41">
        <f t="shared" si="80"/>
        <v>2.155E-2</v>
      </c>
      <c r="O267" s="165"/>
      <c r="P267" s="165"/>
      <c r="T267" s="165"/>
    </row>
    <row r="268" spans="2:20" hidden="1" outlineLevel="1">
      <c r="B268" s="182">
        <f t="shared" si="70"/>
        <v>52688</v>
      </c>
      <c r="C268" s="167" t="e">
        <f t="shared" si="83"/>
        <v>#VALUE!</v>
      </c>
      <c r="D268" s="168">
        <f>IF(ISNUMBER($F268)*SUM(F268:F276)&lt;&gt;0,VLOOKUP($J268,'Table 1'!$B$13:$C$38,2,FALSE)/12*1000*Study_MW,0)</f>
        <v>0</v>
      </c>
      <c r="E268" s="168" t="e">
        <f t="shared" si="81"/>
        <v>#VALUE!</v>
      </c>
      <c r="F268" s="167">
        <v>0</v>
      </c>
      <c r="G268" s="169">
        <f t="shared" si="82"/>
        <v>0</v>
      </c>
      <c r="I268" s="77">
        <f t="shared" si="76"/>
        <v>17</v>
      </c>
      <c r="J268" s="73">
        <f t="shared" si="77"/>
        <v>2044</v>
      </c>
      <c r="K268" s="78" t="str">
        <f t="shared" si="78"/>
        <v/>
      </c>
      <c r="M268" s="41">
        <f t="shared" si="80"/>
        <v>2.155E-2</v>
      </c>
      <c r="O268" s="165"/>
      <c r="P268" s="165"/>
      <c r="T268" s="165"/>
    </row>
    <row r="269" spans="2:20" hidden="1" outlineLevel="1">
      <c r="B269" s="182">
        <f t="shared" si="70"/>
        <v>52718</v>
      </c>
      <c r="C269" s="167" t="e">
        <f t="shared" si="83"/>
        <v>#VALUE!</v>
      </c>
      <c r="D269" s="168">
        <f>IF(ISNUMBER($F269)*SUM(F269:F276)&lt;&gt;0,VLOOKUP($J269,'Table 1'!$B$13:$C$38,2,FALSE)/12*1000*Study_MW,0)</f>
        <v>0</v>
      </c>
      <c r="E269" s="168" t="e">
        <f t="shared" si="81"/>
        <v>#VALUE!</v>
      </c>
      <c r="F269" s="167">
        <v>0</v>
      </c>
      <c r="G269" s="169">
        <f t="shared" si="82"/>
        <v>0</v>
      </c>
      <c r="I269" s="77">
        <f t="shared" si="76"/>
        <v>18</v>
      </c>
      <c r="J269" s="73">
        <f t="shared" si="77"/>
        <v>2044</v>
      </c>
      <c r="K269" s="78" t="str">
        <f t="shared" si="78"/>
        <v/>
      </c>
      <c r="M269" s="41">
        <f t="shared" si="80"/>
        <v>2.155E-2</v>
      </c>
      <c r="O269" s="165"/>
      <c r="P269" s="165"/>
      <c r="T269" s="165"/>
    </row>
    <row r="270" spans="2:20" hidden="1" outlineLevel="1">
      <c r="B270" s="182">
        <f t="shared" si="70"/>
        <v>52749</v>
      </c>
      <c r="C270" s="167" t="e">
        <f t="shared" si="83"/>
        <v>#VALUE!</v>
      </c>
      <c r="D270" s="168">
        <f>IF(ISNUMBER($F270)*SUM(F270:F276)&lt;&gt;0,VLOOKUP($J270,'Table 1'!$B$13:$C$38,2,FALSE)/12*1000*Study_MW,0)</f>
        <v>0</v>
      </c>
      <c r="E270" s="168" t="e">
        <f t="shared" si="81"/>
        <v>#VALUE!</v>
      </c>
      <c r="F270" s="167">
        <v>0</v>
      </c>
      <c r="G270" s="169">
        <f t="shared" si="82"/>
        <v>0</v>
      </c>
      <c r="I270" s="77">
        <f t="shared" si="76"/>
        <v>19</v>
      </c>
      <c r="J270" s="73">
        <f t="shared" si="77"/>
        <v>2044</v>
      </c>
      <c r="K270" s="78" t="str">
        <f t="shared" si="78"/>
        <v/>
      </c>
      <c r="M270" s="41">
        <f t="shared" si="80"/>
        <v>2.155E-2</v>
      </c>
      <c r="O270" s="165"/>
      <c r="P270" s="165"/>
      <c r="T270" s="165"/>
    </row>
    <row r="271" spans="2:20" hidden="1" outlineLevel="1">
      <c r="B271" s="182">
        <f t="shared" si="70"/>
        <v>52779</v>
      </c>
      <c r="C271" s="167" t="e">
        <f t="shared" si="83"/>
        <v>#VALUE!</v>
      </c>
      <c r="D271" s="168">
        <f>IF(ISNUMBER($F271)*SUM(F271:F276)&lt;&gt;0,VLOOKUP($J271,'Table 1'!$B$13:$C$38,2,FALSE)/12*1000*Study_MW,0)</f>
        <v>0</v>
      </c>
      <c r="E271" s="168" t="e">
        <f t="shared" si="81"/>
        <v>#VALUE!</v>
      </c>
      <c r="F271" s="167">
        <v>0</v>
      </c>
      <c r="G271" s="169">
        <f t="shared" si="82"/>
        <v>0</v>
      </c>
      <c r="I271" s="77">
        <f t="shared" si="76"/>
        <v>20</v>
      </c>
      <c r="J271" s="73">
        <f t="shared" si="77"/>
        <v>2044</v>
      </c>
      <c r="K271" s="78" t="str">
        <f t="shared" si="78"/>
        <v/>
      </c>
      <c r="M271" s="41">
        <f t="shared" si="80"/>
        <v>2.155E-2</v>
      </c>
      <c r="O271" s="165"/>
      <c r="P271" s="165"/>
    </row>
    <row r="272" spans="2:20" hidden="1" outlineLevel="1">
      <c r="B272" s="182">
        <f t="shared" si="70"/>
        <v>52810</v>
      </c>
      <c r="C272" s="167" t="e">
        <f t="shared" si="83"/>
        <v>#VALUE!</v>
      </c>
      <c r="D272" s="168">
        <f>IF(ISNUMBER($F272)*SUM(F272:F276)&lt;&gt;0,VLOOKUP($J272,'Table 1'!$B$13:$C$38,2,FALSE)/12*1000*Study_MW,0)</f>
        <v>0</v>
      </c>
      <c r="E272" s="168" t="e">
        <f t="shared" si="81"/>
        <v>#VALUE!</v>
      </c>
      <c r="F272" s="167">
        <v>0</v>
      </c>
      <c r="G272" s="169">
        <f t="shared" si="82"/>
        <v>0</v>
      </c>
      <c r="I272" s="77">
        <f t="shared" si="76"/>
        <v>21</v>
      </c>
      <c r="J272" s="73">
        <f t="shared" si="77"/>
        <v>2044</v>
      </c>
      <c r="K272" s="78" t="str">
        <f t="shared" si="78"/>
        <v/>
      </c>
      <c r="M272" s="41">
        <f t="shared" si="80"/>
        <v>2.155E-2</v>
      </c>
      <c r="O272" s="165"/>
      <c r="P272" s="165"/>
    </row>
    <row r="273" spans="2:16" hidden="1" outlineLevel="1">
      <c r="B273" s="182">
        <f t="shared" si="70"/>
        <v>52841</v>
      </c>
      <c r="C273" s="167" t="e">
        <f t="shared" si="83"/>
        <v>#VALUE!</v>
      </c>
      <c r="D273" s="168">
        <f>IF(ISNUMBER($F273)*SUM(F273:F276)&lt;&gt;0,VLOOKUP($J273,'Table 1'!$B$13:$C$38,2,FALSE)/12*1000*Study_MW,0)</f>
        <v>0</v>
      </c>
      <c r="E273" s="168" t="e">
        <f t="shared" si="81"/>
        <v>#VALUE!</v>
      </c>
      <c r="F273" s="167">
        <v>0</v>
      </c>
      <c r="G273" s="169">
        <f t="shared" si="82"/>
        <v>0</v>
      </c>
      <c r="I273" s="77">
        <f t="shared" si="76"/>
        <v>22</v>
      </c>
      <c r="J273" s="73">
        <f t="shared" si="77"/>
        <v>2044</v>
      </c>
      <c r="K273" s="78" t="str">
        <f t="shared" si="78"/>
        <v/>
      </c>
      <c r="M273" s="41">
        <f t="shared" si="80"/>
        <v>2.155E-2</v>
      </c>
      <c r="O273" s="165"/>
      <c r="P273" s="165"/>
    </row>
    <row r="274" spans="2:16" hidden="1" outlineLevel="1">
      <c r="B274" s="182">
        <f t="shared" si="70"/>
        <v>52871</v>
      </c>
      <c r="C274" s="167" t="e">
        <f t="shared" si="83"/>
        <v>#VALUE!</v>
      </c>
      <c r="D274" s="168">
        <f>IF(ISNUMBER($F274)*SUM(F274:F276)&lt;&gt;0,VLOOKUP($J274,'Table 1'!$B$13:$C$38,2,FALSE)/12*1000*Study_MW,0)</f>
        <v>0</v>
      </c>
      <c r="E274" s="168" t="e">
        <f t="shared" si="81"/>
        <v>#VALUE!</v>
      </c>
      <c r="F274" s="167">
        <v>0</v>
      </c>
      <c r="G274" s="169">
        <f t="shared" si="82"/>
        <v>0</v>
      </c>
      <c r="I274" s="77">
        <f t="shared" si="76"/>
        <v>23</v>
      </c>
      <c r="J274" s="73">
        <f t="shared" si="77"/>
        <v>2044</v>
      </c>
      <c r="K274" s="78" t="str">
        <f t="shared" si="78"/>
        <v/>
      </c>
      <c r="M274" s="41">
        <f t="shared" si="80"/>
        <v>2.155E-2</v>
      </c>
    </row>
    <row r="275" spans="2:16" hidden="1" outlineLevel="1">
      <c r="B275" s="182">
        <f t="shared" si="70"/>
        <v>52902</v>
      </c>
      <c r="C275" s="167" t="e">
        <f t="shared" si="83"/>
        <v>#VALUE!</v>
      </c>
      <c r="D275" s="168">
        <f>IF(ISNUMBER($F275)*SUM(F275:F276)&lt;&gt;0,VLOOKUP($J275,'Table 1'!$B$13:$C$38,2,FALSE)/12*1000*Study_MW,0)</f>
        <v>0</v>
      </c>
      <c r="E275" s="168" t="e">
        <f t="shared" si="81"/>
        <v>#VALUE!</v>
      </c>
      <c r="F275" s="167">
        <v>0</v>
      </c>
      <c r="G275" s="169">
        <f t="shared" si="82"/>
        <v>0</v>
      </c>
      <c r="I275" s="77">
        <f t="shared" si="76"/>
        <v>24</v>
      </c>
      <c r="J275" s="73">
        <f t="shared" si="77"/>
        <v>2044</v>
      </c>
      <c r="K275" s="78" t="str">
        <f t="shared" si="78"/>
        <v/>
      </c>
      <c r="M275" s="41">
        <f t="shared" si="80"/>
        <v>2.155E-2</v>
      </c>
    </row>
    <row r="276" spans="2:16" hidden="1" outlineLevel="1">
      <c r="B276" s="183">
        <f t="shared" si="70"/>
        <v>52932</v>
      </c>
      <c r="C276" s="170" t="e">
        <f t="shared" si="83"/>
        <v>#VALUE!</v>
      </c>
      <c r="D276" s="171">
        <f>IF(ISNUMBER($F276)*SUM(F276:F276)&lt;&gt;0,VLOOKUP($J276,'Table 1'!$B$13:$C$38,2,FALSE)/12*1000*Study_MW,0)</f>
        <v>0</v>
      </c>
      <c r="E276" s="171" t="e">
        <f t="shared" si="81"/>
        <v>#VALUE!</v>
      </c>
      <c r="F276" s="170">
        <v>0</v>
      </c>
      <c r="G276" s="172">
        <f t="shared" si="82"/>
        <v>0</v>
      </c>
      <c r="I276" s="64">
        <f t="shared" si="76"/>
        <v>25</v>
      </c>
      <c r="J276" s="73">
        <f t="shared" si="77"/>
        <v>2044</v>
      </c>
      <c r="K276" s="82" t="str">
        <f t="shared" si="78"/>
        <v/>
      </c>
      <c r="M276" s="41">
        <f t="shared" si="80"/>
        <v>2.155E-2</v>
      </c>
    </row>
    <row r="277" spans="2:16" collapsed="1"/>
  </sheetData>
  <printOptions horizontalCentered="1"/>
  <pageMargins left="0.25" right="0.25" top="0.75" bottom="0.75" header="0.3" footer="0.3"/>
  <pageSetup scale="39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M73"/>
  <sheetViews>
    <sheetView zoomScale="80" zoomScaleNormal="80" workbookViewId="0">
      <selection activeCell="B2" sqref="B2"/>
    </sheetView>
  </sheetViews>
  <sheetFormatPr defaultColWidth="9.33203125" defaultRowHeight="12.75"/>
  <cols>
    <col min="1" max="1" width="1.5" style="116" customWidth="1"/>
    <col min="2" max="2" width="10.83203125" style="116" customWidth="1"/>
    <col min="3" max="3" width="14.1640625" style="116" customWidth="1"/>
    <col min="4" max="4" width="12.33203125" style="116" customWidth="1"/>
    <col min="5" max="5" width="16.83203125" style="116" customWidth="1"/>
    <col min="6" max="6" width="7.83203125" style="116" customWidth="1"/>
    <col min="7" max="7" width="9.83203125" style="116" customWidth="1"/>
    <col min="8" max="8" width="13.83203125" style="116" customWidth="1"/>
    <col min="9" max="10" width="12.5" style="116" customWidth="1"/>
    <col min="11" max="11" width="4.83203125" style="116" customWidth="1"/>
    <col min="12" max="12" width="9.83203125" style="116" customWidth="1"/>
    <col min="13" max="13" width="13.83203125" style="116" customWidth="1"/>
    <col min="14" max="14" width="12.5" style="116" customWidth="1"/>
    <col min="15" max="15" width="18" style="116" customWidth="1"/>
    <col min="16" max="16" width="7" style="116" customWidth="1"/>
    <col min="17" max="17" width="9.83203125" style="116" customWidth="1"/>
    <col min="18" max="18" width="13.83203125" style="116" customWidth="1"/>
    <col min="19" max="20" width="12.5" style="116" customWidth="1"/>
    <col min="21" max="21" width="5.1640625" style="116" customWidth="1"/>
    <col min="22" max="22" width="9.83203125" style="116" customWidth="1"/>
    <col min="23" max="23" width="13.83203125" style="116" customWidth="1"/>
    <col min="24" max="25" width="12.5" style="116" customWidth="1"/>
    <col min="26" max="26" width="5.6640625" style="116" customWidth="1"/>
    <col min="27" max="27" width="9.83203125" style="116" customWidth="1"/>
    <col min="28" max="28" width="13.83203125" style="116" customWidth="1"/>
    <col min="29" max="30" width="12.5" style="116" customWidth="1"/>
    <col min="31" max="31" width="6.33203125" style="116" customWidth="1"/>
    <col min="32" max="32" width="9.83203125" style="116" customWidth="1"/>
    <col min="33" max="33" width="13.83203125" style="116" customWidth="1"/>
    <col min="34" max="35" width="12.5" style="116" customWidth="1"/>
    <col min="36" max="36" width="5.6640625" style="116" customWidth="1"/>
    <col min="37" max="37" width="9.83203125" style="116" customWidth="1"/>
    <col min="38" max="38" width="13.83203125" style="116" customWidth="1"/>
    <col min="39" max="40" width="12.5" style="116" customWidth="1"/>
    <col min="41" max="41" width="5.6640625" style="116" customWidth="1"/>
    <col min="42" max="42" width="9.83203125" style="116" customWidth="1"/>
    <col min="43" max="43" width="13.83203125" style="116" customWidth="1"/>
    <col min="44" max="45" width="12.5" style="116" customWidth="1"/>
    <col min="46" max="46" width="5.6640625" style="116" customWidth="1"/>
    <col min="47" max="47" width="9.83203125" style="116" customWidth="1"/>
    <col min="48" max="48" width="13.83203125" style="116" customWidth="1"/>
    <col min="49" max="50" width="12.5" style="116" customWidth="1"/>
    <col min="51" max="51" width="6.33203125" style="116" customWidth="1"/>
    <col min="52" max="52" width="9.83203125" style="116" customWidth="1"/>
    <col min="53" max="53" width="13.83203125" style="116" customWidth="1"/>
    <col min="54" max="54" width="12.5" style="116" customWidth="1"/>
    <col min="55" max="55" width="15.1640625" style="116" customWidth="1"/>
    <col min="56" max="56" width="11.6640625" style="116" customWidth="1"/>
    <col min="57" max="57" width="9.83203125" style="116" customWidth="1"/>
    <col min="58" max="58" width="13.83203125" style="116" customWidth="1"/>
    <col min="59" max="59" width="12.5" style="154" customWidth="1"/>
    <col min="60" max="60" width="12.5" style="116" customWidth="1"/>
    <col min="61" max="61" width="9.33203125" style="116"/>
    <col min="62" max="62" width="9.83203125" style="116" customWidth="1"/>
    <col min="63" max="63" width="13.83203125" style="116" customWidth="1"/>
    <col min="64" max="64" width="12.5" style="154" customWidth="1"/>
    <col min="65" max="65" width="12.5" style="116" customWidth="1"/>
    <col min="66" max="16384" width="9.33203125" style="116"/>
  </cols>
  <sheetData>
    <row r="1" spans="2:65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75">
      <c r="B2" s="363" t="s">
        <v>214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75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19" customFormat="1" ht="18.95" customHeight="1">
      <c r="B4" s="421" t="s">
        <v>145</v>
      </c>
      <c r="C4" s="422"/>
      <c r="D4" s="422"/>
      <c r="E4" s="423"/>
      <c r="F4" s="117"/>
      <c r="G4" s="421" t="s">
        <v>158</v>
      </c>
      <c r="H4" s="422"/>
      <c r="I4" s="422"/>
      <c r="J4" s="423"/>
      <c r="K4" s="117"/>
      <c r="L4" s="424" t="s">
        <v>159</v>
      </c>
      <c r="M4" s="425"/>
      <c r="N4" s="425"/>
      <c r="O4" s="426"/>
      <c r="Q4" s="424" t="s">
        <v>161</v>
      </c>
      <c r="R4" s="425"/>
      <c r="S4" s="425"/>
      <c r="T4" s="426"/>
      <c r="U4" s="117"/>
      <c r="V4" s="421" t="s">
        <v>162</v>
      </c>
      <c r="W4" s="422"/>
      <c r="X4" s="422"/>
      <c r="Y4" s="423"/>
      <c r="Z4" s="117"/>
      <c r="AA4" s="421" t="s">
        <v>163</v>
      </c>
      <c r="AB4" s="422"/>
      <c r="AC4" s="422"/>
      <c r="AD4" s="423"/>
      <c r="AE4" s="117"/>
      <c r="AF4" s="421" t="s">
        <v>165</v>
      </c>
      <c r="AG4" s="422"/>
      <c r="AH4" s="422"/>
      <c r="AI4" s="423"/>
      <c r="AJ4" s="117"/>
      <c r="AK4" s="424" t="s">
        <v>166</v>
      </c>
      <c r="AL4" s="425"/>
      <c r="AM4" s="425"/>
      <c r="AN4" s="426"/>
      <c r="AO4" s="117"/>
      <c r="AP4" s="424" t="s">
        <v>168</v>
      </c>
      <c r="AQ4" s="425"/>
      <c r="AR4" s="425"/>
      <c r="AS4" s="426"/>
      <c r="AT4" s="117"/>
      <c r="AU4" s="424" t="s">
        <v>146</v>
      </c>
      <c r="AV4" s="425"/>
      <c r="AW4" s="425"/>
      <c r="AX4" s="426"/>
      <c r="AY4" s="117"/>
      <c r="AZ4" s="424" t="s">
        <v>171</v>
      </c>
      <c r="BA4" s="425"/>
      <c r="BB4" s="425"/>
      <c r="BC4" s="426"/>
      <c r="BD4" s="331"/>
      <c r="BE4" s="424" t="s">
        <v>172</v>
      </c>
      <c r="BF4" s="425"/>
      <c r="BG4" s="425"/>
      <c r="BH4" s="426"/>
      <c r="BJ4" s="424" t="s">
        <v>147</v>
      </c>
      <c r="BK4" s="425"/>
      <c r="BL4" s="425"/>
      <c r="BM4" s="426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30" t="str">
        <f>B4</f>
        <v>Aeolus_Wyoming - to - Utah S, Expansion</v>
      </c>
      <c r="D9" s="118"/>
      <c r="E9" s="118"/>
      <c r="G9" s="330" t="str">
        <f>G4</f>
        <v>Utah S - to - Utah N, Expansion</v>
      </c>
      <c r="I9" s="118"/>
      <c r="J9" s="118"/>
      <c r="L9" s="330" t="str">
        <f>L4</f>
        <v>Portland NC - Willamette V, Expansion</v>
      </c>
      <c r="N9" s="118"/>
      <c r="O9" s="118"/>
      <c r="Q9" s="330" t="str">
        <f>Q4</f>
        <v>Portland NC - to - Southern Oregon, Expansion</v>
      </c>
      <c r="S9" s="118"/>
      <c r="T9" s="118"/>
      <c r="V9" s="330" t="str">
        <f>V4</f>
        <v>Central OR - to - Willamette V, Expansion</v>
      </c>
      <c r="X9" s="118"/>
      <c r="Y9" s="118"/>
      <c r="AA9" s="330" t="str">
        <f>AA4</f>
        <v>B2H Borah - to - Hemingway, Expansion</v>
      </c>
      <c r="AC9" s="118"/>
      <c r="AD9" s="118"/>
      <c r="AF9" s="330" t="str">
        <f>AF4</f>
        <v>Central OR, Transmission Integration 2037</v>
      </c>
      <c r="AH9" s="118"/>
      <c r="AI9" s="118"/>
      <c r="AK9" s="330" t="str">
        <f>AK4</f>
        <v>Portland NC, Transmission Integration</v>
      </c>
      <c r="AM9" s="118"/>
      <c r="AN9" s="118"/>
      <c r="AP9" s="330" t="str">
        <f>AP4</f>
        <v>Southern OR, Transmission Integration 2028</v>
      </c>
      <c r="AR9" s="118"/>
      <c r="AS9" s="118"/>
      <c r="AU9" s="330" t="str">
        <f>AU4</f>
        <v>Utah N, Transmission Integration</v>
      </c>
      <c r="AW9" s="118"/>
      <c r="AX9" s="118"/>
      <c r="AZ9" s="330" t="str">
        <f>AZ4</f>
        <v>Utah S, Transmission Integration</v>
      </c>
      <c r="BB9" s="118"/>
      <c r="BC9" s="118"/>
      <c r="BE9" s="330" t="str">
        <f>BE4</f>
        <v>Willamette V, Transmission Integration</v>
      </c>
      <c r="BG9" s="118"/>
      <c r="BH9" s="118"/>
      <c r="BJ9" s="330" t="str">
        <f>BJ4</f>
        <v>Yakima, Transmission Integration</v>
      </c>
      <c r="BL9" s="118"/>
      <c r="BM9" s="118"/>
    </row>
    <row r="10" spans="2:65">
      <c r="B10" s="133">
        <v>2023</v>
      </c>
      <c r="C10" s="127">
        <f t="shared" ref="C10:C32" si="0">IF($B10&lt;D$35,0,IF($B10=D$35,D$39,ROUND(C9*(1+IRP21_Infl_Rate),2)))</f>
        <v>0</v>
      </c>
      <c r="D10" s="133">
        <v>12</v>
      </c>
      <c r="E10" s="129">
        <f t="shared" ref="E10:E32" si="1">SUM(C10:C10)*D10/12</f>
        <v>0</v>
      </c>
      <c r="F10" s="118"/>
      <c r="G10" s="133">
        <v>2023</v>
      </c>
      <c r="H10" s="127">
        <f t="shared" ref="H10:H32" si="2">IF($B10&lt;I$35,0,IF($B10=I$35,I$39,ROUND(H9*(1+IRP21_Infl_Rate),2)))</f>
        <v>0</v>
      </c>
      <c r="I10" s="133">
        <v>12</v>
      </c>
      <c r="J10" s="129">
        <f t="shared" ref="J10:J32" si="3">SUM(H10:H10)*I10/12</f>
        <v>0</v>
      </c>
      <c r="K10" s="118"/>
      <c r="L10" s="133">
        <v>2023</v>
      </c>
      <c r="M10" s="127">
        <f t="shared" ref="M10:M32" si="4">IF($B10&lt;N$35,0,IF($B10=N$35,N$39,ROUND(M9*(1+IRP21_Infl_Rate),2)))</f>
        <v>0</v>
      </c>
      <c r="N10" s="133">
        <v>12</v>
      </c>
      <c r="O10" s="129">
        <f t="shared" ref="O10:O32" si="5">SUM(M10:M10)*N10/12</f>
        <v>0</v>
      </c>
      <c r="P10" s="132"/>
      <c r="Q10" s="133">
        <f>$B10</f>
        <v>2023</v>
      </c>
      <c r="R10" s="127">
        <f t="shared" ref="R10:R32" si="6">IF($B10&lt;S$35,0,IF($B10=S$35,S$39,ROUND(R9*(1+IRP21_Infl_Rate),2)))</f>
        <v>0</v>
      </c>
      <c r="S10" s="133">
        <v>12</v>
      </c>
      <c r="T10" s="129">
        <f t="shared" ref="T10:T32" si="7">SUM(R10:R10)*S10/12</f>
        <v>0</v>
      </c>
      <c r="U10" s="118"/>
      <c r="V10" s="133">
        <f>$B10</f>
        <v>2023</v>
      </c>
      <c r="W10" s="127">
        <f t="shared" ref="W10:W32" si="8">IF($B10&lt;X$35,0,IF($B10=X$35,X$39,ROUND(W9*(1+IRP21_Infl_Rate),2)))</f>
        <v>0</v>
      </c>
      <c r="X10" s="133">
        <v>12</v>
      </c>
      <c r="Y10" s="129">
        <f t="shared" ref="Y10:Y32" si="9">SUM(W10:W10)*X10/12</f>
        <v>0</v>
      </c>
      <c r="Z10" s="118"/>
      <c r="AA10" s="133">
        <f>$B10</f>
        <v>2023</v>
      </c>
      <c r="AB10" s="127">
        <f t="shared" ref="AB10:AB32" si="10">IF($B10&lt;AC$35,0,IF($B10=AC$35,AC$39,ROUND(AB9*(1+IRP21_Infl_Rate),2)))</f>
        <v>0</v>
      </c>
      <c r="AC10" s="133">
        <v>12</v>
      </c>
      <c r="AD10" s="129">
        <f t="shared" ref="AD10:AD32" si="11">SUM(AB10:AB10)*AC10/12</f>
        <v>0</v>
      </c>
      <c r="AE10" s="118"/>
      <c r="AF10" s="133">
        <f>$B10</f>
        <v>2023</v>
      </c>
      <c r="AG10" s="127">
        <f t="shared" ref="AG10:AG32" si="12">IF($B10&lt;AH$35,0,IF($B10=AH$35,AH$39,ROUND(AG9*(1+IRP21_Infl_Rate),2)))</f>
        <v>0</v>
      </c>
      <c r="AH10" s="133">
        <v>12</v>
      </c>
      <c r="AI10" s="129">
        <f t="shared" ref="AI10:AI32" si="13">SUM(AG10:AG10)*AH10/12</f>
        <v>0</v>
      </c>
      <c r="AJ10" s="118"/>
      <c r="AK10" s="133">
        <f>$B10</f>
        <v>2023</v>
      </c>
      <c r="AL10" s="127">
        <f t="shared" ref="AL10:AL32" si="14">IF($B10&lt;AM$35,0,IF($B10=AM$35,AM$39,ROUND(AL9*(1+IRP21_Infl_Rate),2)))</f>
        <v>0</v>
      </c>
      <c r="AM10" s="133">
        <v>12</v>
      </c>
      <c r="AN10" s="129">
        <f t="shared" ref="AN10:AN32" si="15">SUM(AL10:AL10)*AM10/12</f>
        <v>0</v>
      </c>
      <c r="AO10" s="118"/>
      <c r="AP10" s="133">
        <f>$B10</f>
        <v>2023</v>
      </c>
      <c r="AQ10" s="127">
        <f t="shared" ref="AQ10:AQ32" si="16">IF($B10&lt;AR$35,0,IF($B10=AR$35,AR$39,ROUND(AQ9*(1+IRP21_Infl_Rate),2)))</f>
        <v>0</v>
      </c>
      <c r="AR10" s="133">
        <v>12</v>
      </c>
      <c r="AS10" s="129">
        <f t="shared" ref="AS10:AS32" si="17">SUM(AQ10:AQ10)*AR10/12</f>
        <v>0</v>
      </c>
      <c r="AT10" s="118"/>
      <c r="AU10" s="133">
        <f>$B10</f>
        <v>2023</v>
      </c>
      <c r="AV10" s="127">
        <f t="shared" ref="AV10:AV32" si="18">IF($B10&lt;AW$35,0,IF($B10=AW$35,AW$39,ROUND(AV9*(1+IRP21_Infl_Rate),2)))</f>
        <v>0</v>
      </c>
      <c r="AW10" s="133">
        <v>12</v>
      </c>
      <c r="AX10" s="129">
        <f t="shared" ref="AX10:AX32" si="19">SUM(AV10:AV10)*AW10/12</f>
        <v>0</v>
      </c>
      <c r="AY10" s="118"/>
      <c r="AZ10" s="133">
        <f>V10</f>
        <v>2023</v>
      </c>
      <c r="BA10" s="127">
        <f t="shared" ref="BA10:BA32" si="20">IF($B10&lt;BB$35,0,IF($B10=BB$35,BB$39,ROUND(BA9*(1+IRP21_Infl_Rate),2)))</f>
        <v>0</v>
      </c>
      <c r="BB10" s="133">
        <v>12</v>
      </c>
      <c r="BC10" s="129">
        <f t="shared" ref="BC10:BC32" si="21">SUM(BA10:BA10)*BB10/12</f>
        <v>0</v>
      </c>
      <c r="BE10" s="133">
        <f>AA10</f>
        <v>2023</v>
      </c>
      <c r="BF10" s="127">
        <f t="shared" ref="BF10:BF32" si="22">IF($B10&lt;BG$35,0,IF($B10=BG$35,BG$39,ROUND(BF9*(1+IRP21_Infl_Rate),2)))</f>
        <v>0</v>
      </c>
      <c r="BG10" s="133">
        <v>12</v>
      </c>
      <c r="BH10" s="129">
        <f t="shared" ref="BH10:BH32" si="23">SUM(BF10:BF10)*BG10/12</f>
        <v>0</v>
      </c>
      <c r="BJ10" s="133">
        <f>AF10</f>
        <v>2023</v>
      </c>
      <c r="BK10" s="127">
        <f t="shared" ref="BK10:BK32" si="24">IF($B10&lt;BL$35,0,IF($B10=BL$35,BL$39,ROUND(BK9*(1+IRP21_Infl_Rate),2)))</f>
        <v>0</v>
      </c>
      <c r="BL10" s="133">
        <v>12</v>
      </c>
      <c r="BM10" s="129">
        <f t="shared" ref="BM10:BM32" si="25">SUM(BK10:BK10)*BL10/12</f>
        <v>0</v>
      </c>
    </row>
    <row r="11" spans="2:65">
      <c r="B11" s="133">
        <f t="shared" ref="B11:B32" si="26">B10+1</f>
        <v>2024</v>
      </c>
      <c r="C11" s="127">
        <f t="shared" si="0"/>
        <v>0</v>
      </c>
      <c r="D11" s="133">
        <v>12</v>
      </c>
      <c r="E11" s="129">
        <f t="shared" si="1"/>
        <v>0</v>
      </c>
      <c r="F11" s="118"/>
      <c r="G11" s="133">
        <f t="shared" ref="G11:G32" si="27">G10+1</f>
        <v>2024</v>
      </c>
      <c r="H11" s="127">
        <f t="shared" si="2"/>
        <v>0</v>
      </c>
      <c r="I11" s="133">
        <v>12</v>
      </c>
      <c r="J11" s="129">
        <f t="shared" si="3"/>
        <v>0</v>
      </c>
      <c r="K11" s="118"/>
      <c r="L11" s="133">
        <f t="shared" ref="L11:L32" si="28">L10+1</f>
        <v>2024</v>
      </c>
      <c r="M11" s="127">
        <f t="shared" si="4"/>
        <v>0</v>
      </c>
      <c r="N11" s="133">
        <v>12</v>
      </c>
      <c r="O11" s="129">
        <f t="shared" si="5"/>
        <v>0</v>
      </c>
      <c r="P11" s="132"/>
      <c r="Q11" s="133">
        <f t="shared" ref="Q11:Q32" si="29">Q10+1</f>
        <v>2024</v>
      </c>
      <c r="R11" s="127">
        <f t="shared" si="6"/>
        <v>0</v>
      </c>
      <c r="S11" s="133">
        <v>12</v>
      </c>
      <c r="T11" s="129">
        <f t="shared" si="7"/>
        <v>0</v>
      </c>
      <c r="U11" s="118"/>
      <c r="V11" s="133">
        <f t="shared" ref="V11:V32" si="30">V10+1</f>
        <v>2024</v>
      </c>
      <c r="W11" s="127">
        <f t="shared" si="8"/>
        <v>0</v>
      </c>
      <c r="X11" s="133">
        <v>12</v>
      </c>
      <c r="Y11" s="129">
        <f t="shared" si="9"/>
        <v>0</v>
      </c>
      <c r="Z11" s="118"/>
      <c r="AA11" s="133">
        <f t="shared" ref="AA11:AA32" si="31">AA10+1</f>
        <v>2024</v>
      </c>
      <c r="AB11" s="127">
        <f t="shared" si="10"/>
        <v>0</v>
      </c>
      <c r="AC11" s="133">
        <v>12</v>
      </c>
      <c r="AD11" s="129">
        <f t="shared" si="11"/>
        <v>0</v>
      </c>
      <c r="AE11" s="118"/>
      <c r="AF11" s="133">
        <f t="shared" ref="AF11:AF32" si="32">AF10+1</f>
        <v>2024</v>
      </c>
      <c r="AG11" s="127">
        <f t="shared" si="12"/>
        <v>0</v>
      </c>
      <c r="AH11" s="133">
        <v>12</v>
      </c>
      <c r="AI11" s="129">
        <f t="shared" si="13"/>
        <v>0</v>
      </c>
      <c r="AJ11" s="118"/>
      <c r="AK11" s="133">
        <f t="shared" ref="AK11:AK32" si="33">AK10+1</f>
        <v>2024</v>
      </c>
      <c r="AL11" s="127">
        <f t="shared" si="14"/>
        <v>0</v>
      </c>
      <c r="AM11" s="133">
        <v>12</v>
      </c>
      <c r="AN11" s="129">
        <f t="shared" si="15"/>
        <v>0</v>
      </c>
      <c r="AO11" s="118"/>
      <c r="AP11" s="133">
        <f t="shared" ref="AP11:AP32" si="34">AP10+1</f>
        <v>2024</v>
      </c>
      <c r="AQ11" s="127">
        <f t="shared" si="16"/>
        <v>0</v>
      </c>
      <c r="AR11" s="133">
        <v>12</v>
      </c>
      <c r="AS11" s="129">
        <f t="shared" si="17"/>
        <v>0</v>
      </c>
      <c r="AT11" s="118"/>
      <c r="AU11" s="133">
        <f t="shared" ref="AU11:AU32" si="35">AU10+1</f>
        <v>2024</v>
      </c>
      <c r="AV11" s="127">
        <f t="shared" si="18"/>
        <v>0</v>
      </c>
      <c r="AW11" s="133">
        <v>12</v>
      </c>
      <c r="AX11" s="129">
        <f t="shared" si="19"/>
        <v>0</v>
      </c>
      <c r="AY11" s="118"/>
      <c r="AZ11" s="321">
        <f t="shared" ref="AZ11:AZ32" si="36">AZ10+1</f>
        <v>2024</v>
      </c>
      <c r="BA11" s="127">
        <f t="shared" si="20"/>
        <v>578.93401308399336</v>
      </c>
      <c r="BB11" s="133">
        <v>12</v>
      </c>
      <c r="BC11" s="129">
        <f t="shared" si="21"/>
        <v>578.93401308399336</v>
      </c>
      <c r="BE11" s="133">
        <f t="shared" ref="BE11:BE32" si="37">BE10+1</f>
        <v>2024</v>
      </c>
      <c r="BF11" s="127">
        <f t="shared" si="22"/>
        <v>0</v>
      </c>
      <c r="BG11" s="133">
        <v>12</v>
      </c>
      <c r="BH11" s="129">
        <f t="shared" si="23"/>
        <v>0</v>
      </c>
      <c r="BJ11" s="133">
        <f t="shared" ref="BJ11:BJ32" si="38">BJ10+1</f>
        <v>2024</v>
      </c>
      <c r="BK11" s="127">
        <f t="shared" si="24"/>
        <v>0</v>
      </c>
      <c r="BL11" s="133">
        <v>12</v>
      </c>
      <c r="BM11" s="129">
        <f t="shared" si="25"/>
        <v>0</v>
      </c>
    </row>
    <row r="12" spans="2:65">
      <c r="B12" s="321">
        <f t="shared" si="26"/>
        <v>2025</v>
      </c>
      <c r="C12" s="127">
        <f t="shared" si="0"/>
        <v>58.544856686682266</v>
      </c>
      <c r="D12" s="133">
        <v>12</v>
      </c>
      <c r="E12" s="129">
        <f t="shared" si="1"/>
        <v>58.544856686682266</v>
      </c>
      <c r="F12" s="118"/>
      <c r="G12" s="133">
        <f t="shared" si="27"/>
        <v>2025</v>
      </c>
      <c r="H12" s="127">
        <f t="shared" si="2"/>
        <v>0</v>
      </c>
      <c r="I12" s="133">
        <v>12</v>
      </c>
      <c r="J12" s="129">
        <f t="shared" si="3"/>
        <v>0</v>
      </c>
      <c r="K12" s="118"/>
      <c r="L12" s="133">
        <f t="shared" si="28"/>
        <v>2025</v>
      </c>
      <c r="M12" s="127">
        <f t="shared" si="4"/>
        <v>0</v>
      </c>
      <c r="N12" s="133">
        <v>12</v>
      </c>
      <c r="O12" s="129">
        <f t="shared" si="5"/>
        <v>0</v>
      </c>
      <c r="Q12" s="133">
        <f t="shared" si="29"/>
        <v>2025</v>
      </c>
      <c r="R12" s="127">
        <f t="shared" si="6"/>
        <v>0</v>
      </c>
      <c r="S12" s="133">
        <v>12</v>
      </c>
      <c r="T12" s="129">
        <f t="shared" si="7"/>
        <v>0</v>
      </c>
      <c r="U12" s="118"/>
      <c r="V12" s="133">
        <f t="shared" si="30"/>
        <v>2025</v>
      </c>
      <c r="W12" s="127">
        <f t="shared" si="8"/>
        <v>0</v>
      </c>
      <c r="X12" s="133">
        <v>12</v>
      </c>
      <c r="Y12" s="129">
        <f t="shared" si="9"/>
        <v>0</v>
      </c>
      <c r="Z12" s="118"/>
      <c r="AA12" s="133">
        <f t="shared" si="31"/>
        <v>2025</v>
      </c>
      <c r="AB12" s="127">
        <f t="shared" si="10"/>
        <v>0</v>
      </c>
      <c r="AC12" s="133">
        <v>12</v>
      </c>
      <c r="AD12" s="129">
        <f t="shared" si="11"/>
        <v>0</v>
      </c>
      <c r="AE12" s="118"/>
      <c r="AF12" s="133">
        <f t="shared" si="32"/>
        <v>2025</v>
      </c>
      <c r="AG12" s="127">
        <f t="shared" si="12"/>
        <v>0</v>
      </c>
      <c r="AH12" s="133">
        <v>12</v>
      </c>
      <c r="AI12" s="129">
        <f t="shared" si="13"/>
        <v>0</v>
      </c>
      <c r="AJ12" s="118"/>
      <c r="AK12" s="133">
        <f t="shared" si="33"/>
        <v>2025</v>
      </c>
      <c r="AL12" s="127">
        <f t="shared" si="14"/>
        <v>0</v>
      </c>
      <c r="AM12" s="133">
        <v>12</v>
      </c>
      <c r="AN12" s="129">
        <f t="shared" si="15"/>
        <v>0</v>
      </c>
      <c r="AO12" s="118"/>
      <c r="AP12" s="133">
        <f t="shared" si="34"/>
        <v>2025</v>
      </c>
      <c r="AQ12" s="127">
        <f t="shared" si="16"/>
        <v>0</v>
      </c>
      <c r="AR12" s="133">
        <v>12</v>
      </c>
      <c r="AS12" s="129">
        <f t="shared" si="17"/>
        <v>0</v>
      </c>
      <c r="AT12" s="118"/>
      <c r="AU12" s="133">
        <f t="shared" si="35"/>
        <v>2025</v>
      </c>
      <c r="AV12" s="127">
        <f t="shared" si="18"/>
        <v>0</v>
      </c>
      <c r="AW12" s="133">
        <v>12</v>
      </c>
      <c r="AX12" s="129">
        <f t="shared" si="19"/>
        <v>0</v>
      </c>
      <c r="AY12" s="118"/>
      <c r="AZ12" s="133">
        <f t="shared" si="36"/>
        <v>2025</v>
      </c>
      <c r="BA12" s="127">
        <f t="shared" si="20"/>
        <v>591.41</v>
      </c>
      <c r="BB12" s="133">
        <v>12</v>
      </c>
      <c r="BC12" s="129">
        <f t="shared" si="21"/>
        <v>591.41</v>
      </c>
      <c r="BE12" s="133">
        <f t="shared" si="37"/>
        <v>2025</v>
      </c>
      <c r="BF12" s="127">
        <f t="shared" si="22"/>
        <v>0</v>
      </c>
      <c r="BG12" s="133">
        <v>12</v>
      </c>
      <c r="BH12" s="129">
        <f t="shared" si="23"/>
        <v>0</v>
      </c>
      <c r="BJ12" s="133">
        <f t="shared" si="38"/>
        <v>2025</v>
      </c>
      <c r="BK12" s="127">
        <f t="shared" si="24"/>
        <v>0</v>
      </c>
      <c r="BL12" s="133">
        <v>12</v>
      </c>
      <c r="BM12" s="129">
        <f t="shared" si="25"/>
        <v>0</v>
      </c>
    </row>
    <row r="13" spans="2:65">
      <c r="B13" s="133">
        <f t="shared" si="26"/>
        <v>2026</v>
      </c>
      <c r="C13" s="127">
        <f t="shared" si="0"/>
        <v>59.81</v>
      </c>
      <c r="D13" s="133">
        <v>12</v>
      </c>
      <c r="E13" s="129">
        <f t="shared" si="1"/>
        <v>59.81</v>
      </c>
      <c r="F13" s="118"/>
      <c r="G13" s="133">
        <f t="shared" si="27"/>
        <v>2026</v>
      </c>
      <c r="H13" s="127">
        <f t="shared" si="2"/>
        <v>0</v>
      </c>
      <c r="I13" s="133">
        <v>12</v>
      </c>
      <c r="J13" s="129">
        <f t="shared" si="3"/>
        <v>0</v>
      </c>
      <c r="K13" s="118"/>
      <c r="L13" s="133">
        <f t="shared" si="28"/>
        <v>2026</v>
      </c>
      <c r="M13" s="127">
        <f t="shared" si="4"/>
        <v>0</v>
      </c>
      <c r="N13" s="133">
        <v>12</v>
      </c>
      <c r="O13" s="129">
        <f t="shared" si="5"/>
        <v>0</v>
      </c>
      <c r="Q13" s="133">
        <f t="shared" si="29"/>
        <v>2026</v>
      </c>
      <c r="R13" s="127">
        <f t="shared" si="6"/>
        <v>0</v>
      </c>
      <c r="S13" s="133">
        <v>12</v>
      </c>
      <c r="T13" s="129">
        <f t="shared" si="7"/>
        <v>0</v>
      </c>
      <c r="U13" s="118"/>
      <c r="V13" s="133">
        <f t="shared" si="30"/>
        <v>2026</v>
      </c>
      <c r="W13" s="127">
        <f t="shared" si="8"/>
        <v>0</v>
      </c>
      <c r="X13" s="133">
        <v>12</v>
      </c>
      <c r="Y13" s="129">
        <f t="shared" si="9"/>
        <v>0</v>
      </c>
      <c r="Z13" s="118"/>
      <c r="AA13" s="321">
        <f t="shared" si="31"/>
        <v>2026</v>
      </c>
      <c r="AB13" s="127">
        <f t="shared" si="10"/>
        <v>54.441007169221002</v>
      </c>
      <c r="AC13" s="133">
        <v>12</v>
      </c>
      <c r="AD13" s="129">
        <f t="shared" si="11"/>
        <v>54.441007169221002</v>
      </c>
      <c r="AE13" s="118"/>
      <c r="AF13" s="133">
        <f t="shared" si="32"/>
        <v>2026</v>
      </c>
      <c r="AG13" s="127">
        <f t="shared" si="12"/>
        <v>0</v>
      </c>
      <c r="AH13" s="133">
        <v>12</v>
      </c>
      <c r="AI13" s="129">
        <f t="shared" si="13"/>
        <v>0</v>
      </c>
      <c r="AJ13" s="118"/>
      <c r="AK13" s="321">
        <f t="shared" si="33"/>
        <v>2026</v>
      </c>
      <c r="AL13" s="127">
        <f t="shared" si="14"/>
        <v>24.740174248339812</v>
      </c>
      <c r="AM13" s="133">
        <v>12</v>
      </c>
      <c r="AN13" s="129">
        <f t="shared" si="15"/>
        <v>24.740174248339812</v>
      </c>
      <c r="AO13" s="118"/>
      <c r="AP13" s="133">
        <f t="shared" si="34"/>
        <v>2026</v>
      </c>
      <c r="AQ13" s="127">
        <f t="shared" si="16"/>
        <v>0</v>
      </c>
      <c r="AR13" s="133">
        <v>12</v>
      </c>
      <c r="AS13" s="129">
        <f t="shared" si="17"/>
        <v>0</v>
      </c>
      <c r="AT13" s="118"/>
      <c r="AU13" s="133">
        <f t="shared" si="35"/>
        <v>2026</v>
      </c>
      <c r="AV13" s="127">
        <f t="shared" si="18"/>
        <v>0</v>
      </c>
      <c r="AW13" s="133">
        <v>12</v>
      </c>
      <c r="AX13" s="129">
        <f t="shared" si="19"/>
        <v>0</v>
      </c>
      <c r="AY13" s="118"/>
      <c r="AZ13" s="133">
        <f t="shared" si="36"/>
        <v>2026</v>
      </c>
      <c r="BA13" s="127">
        <f t="shared" si="20"/>
        <v>604.15</v>
      </c>
      <c r="BB13" s="133">
        <v>12</v>
      </c>
      <c r="BC13" s="129">
        <f t="shared" si="21"/>
        <v>604.15</v>
      </c>
      <c r="BE13" s="321">
        <f t="shared" si="37"/>
        <v>2026</v>
      </c>
      <c r="BF13" s="127">
        <f t="shared" si="22"/>
        <v>2.5355612781817829</v>
      </c>
      <c r="BG13" s="133">
        <v>12</v>
      </c>
      <c r="BH13" s="129">
        <f t="shared" si="23"/>
        <v>2.5355612781817829</v>
      </c>
      <c r="BJ13" s="133">
        <f t="shared" si="38"/>
        <v>2026</v>
      </c>
      <c r="BK13" s="127">
        <f t="shared" si="24"/>
        <v>0</v>
      </c>
      <c r="BL13" s="133">
        <v>12</v>
      </c>
      <c r="BM13" s="129">
        <f t="shared" si="25"/>
        <v>0</v>
      </c>
    </row>
    <row r="14" spans="2:65">
      <c r="B14" s="133">
        <f t="shared" si="26"/>
        <v>2027</v>
      </c>
      <c r="C14" s="127">
        <f t="shared" si="0"/>
        <v>61.1</v>
      </c>
      <c r="D14" s="133">
        <v>12</v>
      </c>
      <c r="E14" s="129">
        <f t="shared" si="1"/>
        <v>61.1</v>
      </c>
      <c r="F14" s="118"/>
      <c r="G14" s="133">
        <f t="shared" si="27"/>
        <v>2027</v>
      </c>
      <c r="H14" s="127">
        <f t="shared" si="2"/>
        <v>0</v>
      </c>
      <c r="I14" s="133">
        <v>12</v>
      </c>
      <c r="J14" s="129">
        <f t="shared" si="3"/>
        <v>0</v>
      </c>
      <c r="K14" s="118"/>
      <c r="L14" s="133">
        <f t="shared" si="28"/>
        <v>2027</v>
      </c>
      <c r="M14" s="127">
        <f t="shared" si="4"/>
        <v>0</v>
      </c>
      <c r="N14" s="133">
        <v>12</v>
      </c>
      <c r="O14" s="129">
        <f t="shared" si="5"/>
        <v>0</v>
      </c>
      <c r="Q14" s="133">
        <f t="shared" si="29"/>
        <v>2027</v>
      </c>
      <c r="R14" s="127">
        <f t="shared" si="6"/>
        <v>0</v>
      </c>
      <c r="S14" s="133">
        <v>12</v>
      </c>
      <c r="T14" s="129">
        <f t="shared" si="7"/>
        <v>0</v>
      </c>
      <c r="U14" s="118"/>
      <c r="V14" s="133">
        <f t="shared" si="30"/>
        <v>2027</v>
      </c>
      <c r="W14" s="127">
        <f t="shared" si="8"/>
        <v>0</v>
      </c>
      <c r="X14" s="133">
        <v>12</v>
      </c>
      <c r="Y14" s="129">
        <f t="shared" si="9"/>
        <v>0</v>
      </c>
      <c r="Z14" s="118"/>
      <c r="AA14" s="133">
        <f t="shared" si="31"/>
        <v>2027</v>
      </c>
      <c r="AB14" s="127">
        <f t="shared" si="10"/>
        <v>55.61</v>
      </c>
      <c r="AC14" s="133">
        <v>12</v>
      </c>
      <c r="AD14" s="129">
        <f t="shared" si="11"/>
        <v>55.609999999999992</v>
      </c>
      <c r="AE14" s="118"/>
      <c r="AF14" s="133">
        <f t="shared" si="32"/>
        <v>2027</v>
      </c>
      <c r="AG14" s="127">
        <f t="shared" si="12"/>
        <v>0</v>
      </c>
      <c r="AH14" s="133">
        <v>12</v>
      </c>
      <c r="AI14" s="129">
        <f t="shared" si="13"/>
        <v>0</v>
      </c>
      <c r="AJ14" s="118"/>
      <c r="AK14" s="133">
        <f t="shared" si="33"/>
        <v>2027</v>
      </c>
      <c r="AL14" s="127">
        <f t="shared" si="14"/>
        <v>25.27</v>
      </c>
      <c r="AM14" s="133">
        <v>12</v>
      </c>
      <c r="AN14" s="129">
        <f t="shared" si="15"/>
        <v>25.27</v>
      </c>
      <c r="AO14" s="118"/>
      <c r="AP14" s="133">
        <f t="shared" si="34"/>
        <v>2027</v>
      </c>
      <c r="AQ14" s="127">
        <f t="shared" si="16"/>
        <v>0</v>
      </c>
      <c r="AR14" s="133">
        <v>12</v>
      </c>
      <c r="AS14" s="129">
        <f t="shared" si="17"/>
        <v>0</v>
      </c>
      <c r="AT14" s="118"/>
      <c r="AU14" s="133">
        <f t="shared" si="35"/>
        <v>2027</v>
      </c>
      <c r="AV14" s="127">
        <f t="shared" si="18"/>
        <v>0</v>
      </c>
      <c r="AW14" s="133">
        <v>12</v>
      </c>
      <c r="AX14" s="129">
        <f t="shared" si="19"/>
        <v>0</v>
      </c>
      <c r="AY14" s="118"/>
      <c r="AZ14" s="133">
        <f t="shared" si="36"/>
        <v>2027</v>
      </c>
      <c r="BA14" s="127">
        <f t="shared" si="20"/>
        <v>617.16999999999996</v>
      </c>
      <c r="BB14" s="133">
        <v>12</v>
      </c>
      <c r="BC14" s="129">
        <f t="shared" si="21"/>
        <v>617.16999999999996</v>
      </c>
      <c r="BD14" s="176"/>
      <c r="BE14" s="133">
        <f t="shared" si="37"/>
        <v>2027</v>
      </c>
      <c r="BF14" s="127">
        <f t="shared" si="22"/>
        <v>2.59</v>
      </c>
      <c r="BG14" s="133">
        <v>12</v>
      </c>
      <c r="BH14" s="129">
        <f t="shared" si="23"/>
        <v>2.59</v>
      </c>
      <c r="BJ14" s="133">
        <f t="shared" si="38"/>
        <v>2027</v>
      </c>
      <c r="BK14" s="127">
        <f t="shared" si="24"/>
        <v>0</v>
      </c>
      <c r="BL14" s="133">
        <v>12</v>
      </c>
      <c r="BM14" s="129">
        <f t="shared" si="25"/>
        <v>0</v>
      </c>
    </row>
    <row r="15" spans="2:65">
      <c r="B15" s="133">
        <f t="shared" si="26"/>
        <v>2028</v>
      </c>
      <c r="C15" s="127">
        <f t="shared" si="0"/>
        <v>62.42</v>
      </c>
      <c r="D15" s="133">
        <v>12</v>
      </c>
      <c r="E15" s="129">
        <f t="shared" si="1"/>
        <v>62.419999999999995</v>
      </c>
      <c r="F15" s="118"/>
      <c r="G15" s="133">
        <f t="shared" si="27"/>
        <v>2028</v>
      </c>
      <c r="H15" s="127">
        <f t="shared" si="2"/>
        <v>0</v>
      </c>
      <c r="I15" s="133">
        <v>12</v>
      </c>
      <c r="J15" s="129">
        <f t="shared" si="3"/>
        <v>0</v>
      </c>
      <c r="K15" s="118"/>
      <c r="L15" s="133">
        <f t="shared" si="28"/>
        <v>2028</v>
      </c>
      <c r="M15" s="127">
        <f t="shared" si="4"/>
        <v>0</v>
      </c>
      <c r="N15" s="133">
        <v>12</v>
      </c>
      <c r="O15" s="129">
        <f t="shared" si="5"/>
        <v>0</v>
      </c>
      <c r="Q15" s="133">
        <f t="shared" si="29"/>
        <v>2028</v>
      </c>
      <c r="R15" s="127">
        <f t="shared" si="6"/>
        <v>0</v>
      </c>
      <c r="S15" s="133">
        <v>12</v>
      </c>
      <c r="T15" s="129">
        <f t="shared" si="7"/>
        <v>0</v>
      </c>
      <c r="U15" s="118"/>
      <c r="V15" s="133">
        <f t="shared" si="30"/>
        <v>2028</v>
      </c>
      <c r="W15" s="127">
        <f t="shared" si="8"/>
        <v>0</v>
      </c>
      <c r="X15" s="133">
        <v>12</v>
      </c>
      <c r="Y15" s="129">
        <f t="shared" si="9"/>
        <v>0</v>
      </c>
      <c r="Z15" s="118"/>
      <c r="AA15" s="133">
        <f t="shared" si="31"/>
        <v>2028</v>
      </c>
      <c r="AB15" s="127">
        <f t="shared" si="10"/>
        <v>56.81</v>
      </c>
      <c r="AC15" s="133">
        <v>12</v>
      </c>
      <c r="AD15" s="129">
        <f t="shared" si="11"/>
        <v>56.81</v>
      </c>
      <c r="AE15" s="118"/>
      <c r="AF15" s="133">
        <f t="shared" si="32"/>
        <v>2028</v>
      </c>
      <c r="AG15" s="127">
        <f t="shared" si="12"/>
        <v>0</v>
      </c>
      <c r="AH15" s="133">
        <v>12</v>
      </c>
      <c r="AI15" s="129">
        <f t="shared" si="13"/>
        <v>0</v>
      </c>
      <c r="AJ15" s="118"/>
      <c r="AK15" s="133">
        <f t="shared" si="33"/>
        <v>2028</v>
      </c>
      <c r="AL15" s="127">
        <f t="shared" si="14"/>
        <v>25.81</v>
      </c>
      <c r="AM15" s="133">
        <v>12</v>
      </c>
      <c r="AN15" s="129">
        <f t="shared" si="15"/>
        <v>25.81</v>
      </c>
      <c r="AO15" s="118"/>
      <c r="AP15" s="321">
        <f t="shared" si="34"/>
        <v>2028</v>
      </c>
      <c r="AQ15" s="127">
        <f t="shared" si="16"/>
        <v>9.0939944302083777</v>
      </c>
      <c r="AR15" s="133">
        <v>12</v>
      </c>
      <c r="AS15" s="129">
        <f t="shared" si="17"/>
        <v>9.0939944302083777</v>
      </c>
      <c r="AT15" s="118"/>
      <c r="AU15" s="133">
        <f t="shared" si="35"/>
        <v>2028</v>
      </c>
      <c r="AV15" s="127">
        <f t="shared" si="18"/>
        <v>0</v>
      </c>
      <c r="AW15" s="133">
        <v>12</v>
      </c>
      <c r="AX15" s="129">
        <f t="shared" si="19"/>
        <v>0</v>
      </c>
      <c r="AY15" s="118"/>
      <c r="AZ15" s="133">
        <f t="shared" si="36"/>
        <v>2028</v>
      </c>
      <c r="BA15" s="127">
        <f t="shared" si="20"/>
        <v>630.47</v>
      </c>
      <c r="BB15" s="133">
        <v>12</v>
      </c>
      <c r="BC15" s="129">
        <f t="shared" si="21"/>
        <v>630.47</v>
      </c>
      <c r="BE15" s="133">
        <f t="shared" si="37"/>
        <v>2028</v>
      </c>
      <c r="BF15" s="127">
        <f t="shared" si="22"/>
        <v>2.65</v>
      </c>
      <c r="BG15" s="133">
        <v>12</v>
      </c>
      <c r="BH15" s="129">
        <f t="shared" si="23"/>
        <v>2.65</v>
      </c>
      <c r="BJ15" s="133">
        <f t="shared" si="38"/>
        <v>2028</v>
      </c>
      <c r="BK15" s="127">
        <f t="shared" si="24"/>
        <v>0</v>
      </c>
      <c r="BL15" s="133">
        <v>12</v>
      </c>
      <c r="BM15" s="129">
        <f t="shared" si="25"/>
        <v>0</v>
      </c>
    </row>
    <row r="16" spans="2:65">
      <c r="B16" s="133">
        <f t="shared" si="26"/>
        <v>2029</v>
      </c>
      <c r="C16" s="127">
        <f t="shared" si="0"/>
        <v>63.77</v>
      </c>
      <c r="D16" s="133">
        <v>12</v>
      </c>
      <c r="E16" s="129">
        <f t="shared" si="1"/>
        <v>63.77</v>
      </c>
      <c r="F16" s="118"/>
      <c r="G16" s="133">
        <f t="shared" si="27"/>
        <v>2029</v>
      </c>
      <c r="H16" s="127">
        <f t="shared" si="2"/>
        <v>0</v>
      </c>
      <c r="I16" s="133">
        <v>12</v>
      </c>
      <c r="J16" s="129">
        <f t="shared" si="3"/>
        <v>0</v>
      </c>
      <c r="K16" s="118"/>
      <c r="L16" s="133">
        <f t="shared" si="28"/>
        <v>2029</v>
      </c>
      <c r="M16" s="127">
        <f t="shared" si="4"/>
        <v>0</v>
      </c>
      <c r="N16" s="133">
        <v>12</v>
      </c>
      <c r="O16" s="129">
        <f t="shared" si="5"/>
        <v>0</v>
      </c>
      <c r="Q16" s="133">
        <f t="shared" si="29"/>
        <v>2029</v>
      </c>
      <c r="R16" s="127">
        <f t="shared" si="6"/>
        <v>0</v>
      </c>
      <c r="S16" s="133">
        <v>12</v>
      </c>
      <c r="T16" s="129">
        <f t="shared" si="7"/>
        <v>0</v>
      </c>
      <c r="U16" s="118"/>
      <c r="V16" s="133">
        <f t="shared" si="30"/>
        <v>2029</v>
      </c>
      <c r="W16" s="127">
        <f t="shared" si="8"/>
        <v>0</v>
      </c>
      <c r="X16" s="133">
        <v>12</v>
      </c>
      <c r="Y16" s="129">
        <f t="shared" si="9"/>
        <v>0</v>
      </c>
      <c r="Z16" s="118"/>
      <c r="AA16" s="133">
        <f t="shared" si="31"/>
        <v>2029</v>
      </c>
      <c r="AB16" s="127">
        <f t="shared" si="10"/>
        <v>58.03</v>
      </c>
      <c r="AC16" s="133">
        <v>12</v>
      </c>
      <c r="AD16" s="129">
        <f t="shared" si="11"/>
        <v>58.03</v>
      </c>
      <c r="AE16" s="118"/>
      <c r="AF16" s="133">
        <f t="shared" si="32"/>
        <v>2029</v>
      </c>
      <c r="AG16" s="127">
        <f t="shared" si="12"/>
        <v>0</v>
      </c>
      <c r="AH16" s="133">
        <v>12</v>
      </c>
      <c r="AI16" s="129">
        <f t="shared" si="13"/>
        <v>0</v>
      </c>
      <c r="AJ16" s="118"/>
      <c r="AK16" s="133">
        <f t="shared" si="33"/>
        <v>2029</v>
      </c>
      <c r="AL16" s="127">
        <f t="shared" si="14"/>
        <v>26.37</v>
      </c>
      <c r="AM16" s="133">
        <v>12</v>
      </c>
      <c r="AN16" s="129">
        <f t="shared" si="15"/>
        <v>26.37</v>
      </c>
      <c r="AO16" s="118"/>
      <c r="AP16" s="133">
        <f t="shared" si="34"/>
        <v>2029</v>
      </c>
      <c r="AQ16" s="127">
        <f t="shared" si="16"/>
        <v>9.2899999999999991</v>
      </c>
      <c r="AR16" s="133">
        <v>12</v>
      </c>
      <c r="AS16" s="129">
        <f t="shared" si="17"/>
        <v>9.2899999999999991</v>
      </c>
      <c r="AT16" s="118"/>
      <c r="AU16" s="133">
        <f t="shared" si="35"/>
        <v>2029</v>
      </c>
      <c r="AV16" s="127">
        <f t="shared" si="18"/>
        <v>0</v>
      </c>
      <c r="AW16" s="133">
        <v>12</v>
      </c>
      <c r="AX16" s="129">
        <f t="shared" si="19"/>
        <v>0</v>
      </c>
      <c r="AY16" s="118"/>
      <c r="AZ16" s="133">
        <f t="shared" si="36"/>
        <v>2029</v>
      </c>
      <c r="BA16" s="127">
        <f t="shared" si="20"/>
        <v>644.05999999999995</v>
      </c>
      <c r="BB16" s="133">
        <v>12</v>
      </c>
      <c r="BC16" s="129">
        <f t="shared" si="21"/>
        <v>644.05999999999995</v>
      </c>
      <c r="BE16" s="133">
        <f t="shared" si="37"/>
        <v>2029</v>
      </c>
      <c r="BF16" s="127">
        <f t="shared" si="22"/>
        <v>2.71</v>
      </c>
      <c r="BG16" s="133">
        <v>12</v>
      </c>
      <c r="BH16" s="129">
        <f t="shared" si="23"/>
        <v>2.7099999999999995</v>
      </c>
      <c r="BJ16" s="321">
        <f t="shared" si="38"/>
        <v>2029</v>
      </c>
      <c r="BK16" s="127">
        <f t="shared" si="24"/>
        <v>5.6747035126682794</v>
      </c>
      <c r="BL16" s="133">
        <v>12</v>
      </c>
      <c r="BM16" s="129">
        <f t="shared" si="25"/>
        <v>5.6747035126682794</v>
      </c>
    </row>
    <row r="17" spans="2:65">
      <c r="B17" s="133">
        <f t="shared" si="26"/>
        <v>2030</v>
      </c>
      <c r="C17" s="127">
        <f t="shared" si="0"/>
        <v>65.14</v>
      </c>
      <c r="D17" s="133">
        <v>12</v>
      </c>
      <c r="E17" s="129">
        <f t="shared" si="1"/>
        <v>65.14</v>
      </c>
      <c r="F17" s="118"/>
      <c r="G17" s="133">
        <f t="shared" si="27"/>
        <v>2030</v>
      </c>
      <c r="H17" s="127">
        <f t="shared" si="2"/>
        <v>0</v>
      </c>
      <c r="I17" s="133">
        <v>12</v>
      </c>
      <c r="J17" s="129">
        <f t="shared" si="3"/>
        <v>0</v>
      </c>
      <c r="K17" s="118"/>
      <c r="L17" s="133">
        <f t="shared" si="28"/>
        <v>2030</v>
      </c>
      <c r="M17" s="127">
        <f t="shared" si="4"/>
        <v>0</v>
      </c>
      <c r="N17" s="133">
        <v>12</v>
      </c>
      <c r="O17" s="129">
        <f t="shared" si="5"/>
        <v>0</v>
      </c>
      <c r="Q17" s="133">
        <f t="shared" si="29"/>
        <v>2030</v>
      </c>
      <c r="R17" s="127">
        <f t="shared" si="6"/>
        <v>0</v>
      </c>
      <c r="S17" s="133">
        <v>12</v>
      </c>
      <c r="T17" s="129">
        <f t="shared" si="7"/>
        <v>0</v>
      </c>
      <c r="U17" s="118"/>
      <c r="V17" s="133">
        <f t="shared" si="30"/>
        <v>2030</v>
      </c>
      <c r="W17" s="127">
        <f t="shared" si="8"/>
        <v>0</v>
      </c>
      <c r="X17" s="133">
        <v>12</v>
      </c>
      <c r="Y17" s="129">
        <f t="shared" si="9"/>
        <v>0</v>
      </c>
      <c r="Z17" s="118"/>
      <c r="AA17" s="133">
        <f t="shared" si="31"/>
        <v>2030</v>
      </c>
      <c r="AB17" s="127">
        <f t="shared" si="10"/>
        <v>59.28</v>
      </c>
      <c r="AC17" s="133">
        <v>12</v>
      </c>
      <c r="AD17" s="129">
        <f t="shared" si="11"/>
        <v>59.28</v>
      </c>
      <c r="AE17" s="118"/>
      <c r="AF17" s="133">
        <f t="shared" si="32"/>
        <v>2030</v>
      </c>
      <c r="AG17" s="127">
        <f t="shared" si="12"/>
        <v>0</v>
      </c>
      <c r="AH17" s="133">
        <v>12</v>
      </c>
      <c r="AI17" s="129">
        <f t="shared" si="13"/>
        <v>0</v>
      </c>
      <c r="AJ17" s="118"/>
      <c r="AK17" s="133">
        <f t="shared" si="33"/>
        <v>2030</v>
      </c>
      <c r="AL17" s="127">
        <f t="shared" si="14"/>
        <v>26.94</v>
      </c>
      <c r="AM17" s="133">
        <v>12</v>
      </c>
      <c r="AN17" s="129">
        <f t="shared" si="15"/>
        <v>26.94</v>
      </c>
      <c r="AO17" s="118"/>
      <c r="AP17" s="133">
        <f t="shared" si="34"/>
        <v>2030</v>
      </c>
      <c r="AQ17" s="127">
        <f t="shared" si="16"/>
        <v>9.49</v>
      </c>
      <c r="AR17" s="133">
        <v>12</v>
      </c>
      <c r="AS17" s="129">
        <f t="shared" si="17"/>
        <v>9.49</v>
      </c>
      <c r="AT17" s="118"/>
      <c r="AU17" s="133">
        <f t="shared" si="35"/>
        <v>2030</v>
      </c>
      <c r="AV17" s="127">
        <f t="shared" si="18"/>
        <v>0</v>
      </c>
      <c r="AW17" s="133">
        <v>12</v>
      </c>
      <c r="AX17" s="129">
        <f t="shared" si="19"/>
        <v>0</v>
      </c>
      <c r="AY17" s="118"/>
      <c r="AZ17" s="133">
        <f t="shared" si="36"/>
        <v>2030</v>
      </c>
      <c r="BA17" s="127">
        <f t="shared" si="20"/>
        <v>657.94</v>
      </c>
      <c r="BB17" s="133">
        <v>12</v>
      </c>
      <c r="BC17" s="129">
        <f t="shared" si="21"/>
        <v>657.94</v>
      </c>
      <c r="BE17" s="133">
        <f t="shared" si="37"/>
        <v>2030</v>
      </c>
      <c r="BF17" s="127">
        <f t="shared" si="22"/>
        <v>2.77</v>
      </c>
      <c r="BG17" s="133">
        <v>12</v>
      </c>
      <c r="BH17" s="129">
        <f t="shared" si="23"/>
        <v>2.77</v>
      </c>
      <c r="BJ17" s="133">
        <f t="shared" si="38"/>
        <v>2030</v>
      </c>
      <c r="BK17" s="127">
        <f t="shared" si="24"/>
        <v>5.8</v>
      </c>
      <c r="BL17" s="133">
        <v>12</v>
      </c>
      <c r="BM17" s="129">
        <f t="shared" si="25"/>
        <v>5.8</v>
      </c>
    </row>
    <row r="18" spans="2:65">
      <c r="B18" s="133">
        <f t="shared" si="26"/>
        <v>2031</v>
      </c>
      <c r="C18" s="127">
        <f t="shared" si="0"/>
        <v>66.540000000000006</v>
      </c>
      <c r="D18" s="133">
        <v>12</v>
      </c>
      <c r="E18" s="129">
        <f t="shared" si="1"/>
        <v>66.540000000000006</v>
      </c>
      <c r="F18" s="118"/>
      <c r="G18" s="133">
        <f t="shared" si="27"/>
        <v>2031</v>
      </c>
      <c r="H18" s="127">
        <f t="shared" si="2"/>
        <v>0</v>
      </c>
      <c r="I18" s="133">
        <v>12</v>
      </c>
      <c r="J18" s="129">
        <f t="shared" si="3"/>
        <v>0</v>
      </c>
      <c r="K18" s="118"/>
      <c r="L18" s="133">
        <f t="shared" si="28"/>
        <v>2031</v>
      </c>
      <c r="M18" s="127">
        <f t="shared" si="4"/>
        <v>0</v>
      </c>
      <c r="N18" s="133">
        <v>12</v>
      </c>
      <c r="O18" s="129">
        <f t="shared" si="5"/>
        <v>0</v>
      </c>
      <c r="Q18" s="133">
        <f t="shared" si="29"/>
        <v>2031</v>
      </c>
      <c r="R18" s="127">
        <f t="shared" si="6"/>
        <v>0</v>
      </c>
      <c r="S18" s="133">
        <v>12</v>
      </c>
      <c r="T18" s="129">
        <f t="shared" si="7"/>
        <v>0</v>
      </c>
      <c r="U18" s="118"/>
      <c r="V18" s="133">
        <f t="shared" si="30"/>
        <v>2031</v>
      </c>
      <c r="W18" s="127">
        <f t="shared" si="8"/>
        <v>0</v>
      </c>
      <c r="X18" s="133">
        <v>12</v>
      </c>
      <c r="Y18" s="129">
        <f t="shared" si="9"/>
        <v>0</v>
      </c>
      <c r="Z18" s="118"/>
      <c r="AA18" s="133">
        <f t="shared" si="31"/>
        <v>2031</v>
      </c>
      <c r="AB18" s="127">
        <f t="shared" si="10"/>
        <v>60.56</v>
      </c>
      <c r="AC18" s="133">
        <v>12</v>
      </c>
      <c r="AD18" s="129">
        <f t="shared" si="11"/>
        <v>60.56</v>
      </c>
      <c r="AE18" s="118"/>
      <c r="AF18" s="133">
        <f t="shared" si="32"/>
        <v>2031</v>
      </c>
      <c r="AG18" s="127">
        <f t="shared" si="12"/>
        <v>0</v>
      </c>
      <c r="AH18" s="133">
        <v>12</v>
      </c>
      <c r="AI18" s="129">
        <f t="shared" si="13"/>
        <v>0</v>
      </c>
      <c r="AJ18" s="118"/>
      <c r="AK18" s="133">
        <f t="shared" si="33"/>
        <v>2031</v>
      </c>
      <c r="AL18" s="127">
        <f t="shared" si="14"/>
        <v>27.52</v>
      </c>
      <c r="AM18" s="133">
        <v>12</v>
      </c>
      <c r="AN18" s="129">
        <f t="shared" si="15"/>
        <v>27.52</v>
      </c>
      <c r="AO18" s="118"/>
      <c r="AP18" s="133">
        <f t="shared" si="34"/>
        <v>2031</v>
      </c>
      <c r="AQ18" s="127">
        <f t="shared" si="16"/>
        <v>9.69</v>
      </c>
      <c r="AR18" s="133">
        <v>12</v>
      </c>
      <c r="AS18" s="129">
        <f t="shared" si="17"/>
        <v>9.69</v>
      </c>
      <c r="AT18" s="118"/>
      <c r="AU18" s="321">
        <f t="shared" si="35"/>
        <v>2031</v>
      </c>
      <c r="AV18" s="127">
        <f t="shared" si="18"/>
        <v>12.45513744317196</v>
      </c>
      <c r="AW18" s="133">
        <v>12</v>
      </c>
      <c r="AX18" s="129">
        <f t="shared" si="19"/>
        <v>12.455137443171958</v>
      </c>
      <c r="AY18" s="118"/>
      <c r="AZ18" s="133">
        <f t="shared" si="36"/>
        <v>2031</v>
      </c>
      <c r="BA18" s="127">
        <f t="shared" si="20"/>
        <v>672.12</v>
      </c>
      <c r="BB18" s="133">
        <v>12</v>
      </c>
      <c r="BC18" s="129">
        <f t="shared" si="21"/>
        <v>672.12</v>
      </c>
      <c r="BE18" s="133">
        <f t="shared" si="37"/>
        <v>2031</v>
      </c>
      <c r="BF18" s="127">
        <f t="shared" si="22"/>
        <v>2.83</v>
      </c>
      <c r="BG18" s="133">
        <v>12</v>
      </c>
      <c r="BH18" s="129">
        <f t="shared" si="23"/>
        <v>2.83</v>
      </c>
      <c r="BJ18" s="133">
        <f t="shared" si="38"/>
        <v>2031</v>
      </c>
      <c r="BK18" s="127">
        <f t="shared" si="24"/>
        <v>5.92</v>
      </c>
      <c r="BL18" s="133">
        <v>12</v>
      </c>
      <c r="BM18" s="129">
        <f t="shared" si="25"/>
        <v>5.919999999999999</v>
      </c>
    </row>
    <row r="19" spans="2:65">
      <c r="B19" s="133">
        <f t="shared" si="26"/>
        <v>2032</v>
      </c>
      <c r="C19" s="127">
        <f t="shared" si="0"/>
        <v>67.97</v>
      </c>
      <c r="D19" s="133">
        <v>12</v>
      </c>
      <c r="E19" s="129">
        <f t="shared" si="1"/>
        <v>67.97</v>
      </c>
      <c r="F19" s="118"/>
      <c r="G19" s="133">
        <f t="shared" si="27"/>
        <v>2032</v>
      </c>
      <c r="H19" s="127">
        <f t="shared" si="2"/>
        <v>0</v>
      </c>
      <c r="I19" s="133">
        <v>12</v>
      </c>
      <c r="J19" s="129">
        <f t="shared" si="3"/>
        <v>0</v>
      </c>
      <c r="K19" s="118"/>
      <c r="L19" s="321">
        <f t="shared" si="28"/>
        <v>2032</v>
      </c>
      <c r="M19" s="127">
        <f t="shared" si="4"/>
        <v>39.181880716207971</v>
      </c>
      <c r="N19" s="133">
        <v>12</v>
      </c>
      <c r="O19" s="129">
        <f t="shared" si="5"/>
        <v>39.181880716207971</v>
      </c>
      <c r="Q19" s="133">
        <f t="shared" si="29"/>
        <v>2032</v>
      </c>
      <c r="R19" s="127">
        <f t="shared" si="6"/>
        <v>0</v>
      </c>
      <c r="S19" s="133">
        <v>12</v>
      </c>
      <c r="T19" s="129">
        <f t="shared" si="7"/>
        <v>0</v>
      </c>
      <c r="U19" s="118"/>
      <c r="V19" s="133">
        <f t="shared" si="30"/>
        <v>2032</v>
      </c>
      <c r="W19" s="127">
        <f t="shared" si="8"/>
        <v>0</v>
      </c>
      <c r="X19" s="133">
        <v>12</v>
      </c>
      <c r="Y19" s="129">
        <f t="shared" si="9"/>
        <v>0</v>
      </c>
      <c r="Z19" s="118"/>
      <c r="AA19" s="133">
        <f t="shared" si="31"/>
        <v>2032</v>
      </c>
      <c r="AB19" s="127">
        <f t="shared" si="10"/>
        <v>61.87</v>
      </c>
      <c r="AC19" s="133">
        <v>12</v>
      </c>
      <c r="AD19" s="129">
        <f t="shared" si="11"/>
        <v>61.87</v>
      </c>
      <c r="AE19" s="118"/>
      <c r="AF19" s="133">
        <f t="shared" si="32"/>
        <v>2032</v>
      </c>
      <c r="AG19" s="127">
        <f t="shared" si="12"/>
        <v>0</v>
      </c>
      <c r="AH19" s="133">
        <v>12</v>
      </c>
      <c r="AI19" s="129">
        <f t="shared" si="13"/>
        <v>0</v>
      </c>
      <c r="AJ19" s="118"/>
      <c r="AK19" s="133">
        <f t="shared" si="33"/>
        <v>2032</v>
      </c>
      <c r="AL19" s="127">
        <f t="shared" si="14"/>
        <v>28.11</v>
      </c>
      <c r="AM19" s="133">
        <v>12</v>
      </c>
      <c r="AN19" s="129">
        <f t="shared" si="15"/>
        <v>28.11</v>
      </c>
      <c r="AO19" s="118"/>
      <c r="AP19" s="133">
        <f t="shared" si="34"/>
        <v>2032</v>
      </c>
      <c r="AQ19" s="127">
        <f t="shared" si="16"/>
        <v>9.9</v>
      </c>
      <c r="AR19" s="133">
        <v>12</v>
      </c>
      <c r="AS19" s="129">
        <f t="shared" si="17"/>
        <v>9.9</v>
      </c>
      <c r="AT19" s="118"/>
      <c r="AU19" s="133">
        <f t="shared" si="35"/>
        <v>2032</v>
      </c>
      <c r="AV19" s="127">
        <f t="shared" si="18"/>
        <v>12.72</v>
      </c>
      <c r="AW19" s="133">
        <v>12</v>
      </c>
      <c r="AX19" s="129">
        <f t="shared" si="19"/>
        <v>12.72</v>
      </c>
      <c r="AY19" s="118"/>
      <c r="AZ19" s="133">
        <f t="shared" si="36"/>
        <v>2032</v>
      </c>
      <c r="BA19" s="127">
        <f t="shared" si="20"/>
        <v>686.6</v>
      </c>
      <c r="BB19" s="133">
        <v>12</v>
      </c>
      <c r="BC19" s="129">
        <f t="shared" si="21"/>
        <v>686.6</v>
      </c>
      <c r="BE19" s="133">
        <f t="shared" si="37"/>
        <v>2032</v>
      </c>
      <c r="BF19" s="127">
        <f t="shared" si="22"/>
        <v>2.89</v>
      </c>
      <c r="BG19" s="133">
        <v>12</v>
      </c>
      <c r="BH19" s="129">
        <f t="shared" si="23"/>
        <v>2.89</v>
      </c>
      <c r="BJ19" s="133">
        <f t="shared" si="38"/>
        <v>2032</v>
      </c>
      <c r="BK19" s="127">
        <f t="shared" si="24"/>
        <v>6.05</v>
      </c>
      <c r="BL19" s="133">
        <v>12</v>
      </c>
      <c r="BM19" s="129">
        <f t="shared" si="25"/>
        <v>6.05</v>
      </c>
    </row>
    <row r="20" spans="2:65">
      <c r="B20" s="133">
        <f t="shared" si="26"/>
        <v>2033</v>
      </c>
      <c r="C20" s="127">
        <f t="shared" si="0"/>
        <v>69.430000000000007</v>
      </c>
      <c r="D20" s="133">
        <v>12</v>
      </c>
      <c r="E20" s="129">
        <f t="shared" si="1"/>
        <v>69.430000000000007</v>
      </c>
      <c r="F20" s="118"/>
      <c r="G20" s="321">
        <f t="shared" si="27"/>
        <v>2033</v>
      </c>
      <c r="H20" s="127">
        <f t="shared" si="2"/>
        <v>13.177008391297024</v>
      </c>
      <c r="I20" s="133">
        <v>12</v>
      </c>
      <c r="J20" s="129">
        <f t="shared" si="3"/>
        <v>13.177008391297024</v>
      </c>
      <c r="K20" s="118"/>
      <c r="L20" s="133">
        <f t="shared" si="28"/>
        <v>2033</v>
      </c>
      <c r="M20" s="127">
        <f t="shared" si="4"/>
        <v>40.03</v>
      </c>
      <c r="N20" s="133">
        <v>12</v>
      </c>
      <c r="O20" s="129">
        <f t="shared" si="5"/>
        <v>40.03</v>
      </c>
      <c r="Q20" s="133">
        <f t="shared" si="29"/>
        <v>2033</v>
      </c>
      <c r="R20" s="127">
        <f t="shared" si="6"/>
        <v>0</v>
      </c>
      <c r="S20" s="133">
        <v>12</v>
      </c>
      <c r="T20" s="129">
        <f t="shared" si="7"/>
        <v>0</v>
      </c>
      <c r="U20" s="118"/>
      <c r="V20" s="133">
        <f t="shared" si="30"/>
        <v>2033</v>
      </c>
      <c r="W20" s="127">
        <f t="shared" si="8"/>
        <v>0</v>
      </c>
      <c r="X20" s="133">
        <v>12</v>
      </c>
      <c r="Y20" s="129">
        <f t="shared" si="9"/>
        <v>0</v>
      </c>
      <c r="Z20" s="118"/>
      <c r="AA20" s="133">
        <f t="shared" si="31"/>
        <v>2033</v>
      </c>
      <c r="AB20" s="127">
        <f t="shared" si="10"/>
        <v>63.2</v>
      </c>
      <c r="AC20" s="133">
        <v>12</v>
      </c>
      <c r="AD20" s="129">
        <f t="shared" si="11"/>
        <v>63.20000000000001</v>
      </c>
      <c r="AE20" s="118"/>
      <c r="AF20" s="133">
        <f t="shared" si="32"/>
        <v>2033</v>
      </c>
      <c r="AG20" s="127">
        <f t="shared" si="12"/>
        <v>0</v>
      </c>
      <c r="AH20" s="133">
        <v>12</v>
      </c>
      <c r="AI20" s="129">
        <f t="shared" si="13"/>
        <v>0</v>
      </c>
      <c r="AJ20" s="118"/>
      <c r="AK20" s="133">
        <f t="shared" si="33"/>
        <v>2033</v>
      </c>
      <c r="AL20" s="127">
        <f t="shared" si="14"/>
        <v>28.72</v>
      </c>
      <c r="AM20" s="133">
        <v>12</v>
      </c>
      <c r="AN20" s="129">
        <f t="shared" si="15"/>
        <v>28.72</v>
      </c>
      <c r="AO20" s="118"/>
      <c r="AP20" s="133">
        <f t="shared" si="34"/>
        <v>2033</v>
      </c>
      <c r="AQ20" s="127">
        <f t="shared" si="16"/>
        <v>10.11</v>
      </c>
      <c r="AR20" s="133">
        <v>12</v>
      </c>
      <c r="AS20" s="129">
        <f t="shared" si="17"/>
        <v>10.11</v>
      </c>
      <c r="AT20" s="118"/>
      <c r="AU20" s="133">
        <f t="shared" si="35"/>
        <v>2033</v>
      </c>
      <c r="AV20" s="127">
        <f t="shared" si="18"/>
        <v>12.99</v>
      </c>
      <c r="AW20" s="133">
        <v>12</v>
      </c>
      <c r="AX20" s="129">
        <f t="shared" si="19"/>
        <v>12.99</v>
      </c>
      <c r="AY20" s="118"/>
      <c r="AZ20" s="133">
        <f t="shared" si="36"/>
        <v>2033</v>
      </c>
      <c r="BA20" s="127">
        <f t="shared" si="20"/>
        <v>701.4</v>
      </c>
      <c r="BB20" s="133">
        <v>12</v>
      </c>
      <c r="BC20" s="129">
        <f t="shared" si="21"/>
        <v>701.4</v>
      </c>
      <c r="BE20" s="133">
        <f t="shared" si="37"/>
        <v>2033</v>
      </c>
      <c r="BF20" s="127">
        <f t="shared" si="22"/>
        <v>2.95</v>
      </c>
      <c r="BG20" s="133">
        <v>12</v>
      </c>
      <c r="BH20" s="129">
        <f t="shared" si="23"/>
        <v>2.9500000000000006</v>
      </c>
      <c r="BJ20" s="133">
        <f t="shared" si="38"/>
        <v>2033</v>
      </c>
      <c r="BK20" s="127">
        <f t="shared" si="24"/>
        <v>6.18</v>
      </c>
      <c r="BL20" s="133">
        <v>12</v>
      </c>
      <c r="BM20" s="129">
        <f t="shared" si="25"/>
        <v>6.18</v>
      </c>
    </row>
    <row r="21" spans="2:65">
      <c r="B21" s="133">
        <f t="shared" si="26"/>
        <v>2034</v>
      </c>
      <c r="C21" s="127">
        <f t="shared" si="0"/>
        <v>70.930000000000007</v>
      </c>
      <c r="D21" s="133">
        <v>12</v>
      </c>
      <c r="E21" s="129">
        <f t="shared" si="1"/>
        <v>70.930000000000007</v>
      </c>
      <c r="F21" s="118"/>
      <c r="G21" s="133">
        <f t="shared" si="27"/>
        <v>2034</v>
      </c>
      <c r="H21" s="127">
        <f t="shared" si="2"/>
        <v>13.46</v>
      </c>
      <c r="I21" s="133">
        <v>12</v>
      </c>
      <c r="J21" s="129">
        <f t="shared" si="3"/>
        <v>13.46</v>
      </c>
      <c r="K21" s="118"/>
      <c r="L21" s="133">
        <f t="shared" si="28"/>
        <v>2034</v>
      </c>
      <c r="M21" s="127">
        <f t="shared" si="4"/>
        <v>40.89</v>
      </c>
      <c r="N21" s="133">
        <v>12</v>
      </c>
      <c r="O21" s="129">
        <f t="shared" si="5"/>
        <v>40.89</v>
      </c>
      <c r="Q21" s="133">
        <f t="shared" si="29"/>
        <v>2034</v>
      </c>
      <c r="R21" s="127">
        <f t="shared" si="6"/>
        <v>0</v>
      </c>
      <c r="S21" s="133">
        <v>12</v>
      </c>
      <c r="T21" s="129">
        <f t="shared" si="7"/>
        <v>0</v>
      </c>
      <c r="U21" s="118"/>
      <c r="V21" s="133">
        <f t="shared" si="30"/>
        <v>2034</v>
      </c>
      <c r="W21" s="127">
        <f t="shared" si="8"/>
        <v>0</v>
      </c>
      <c r="X21" s="133">
        <v>12</v>
      </c>
      <c r="Y21" s="129">
        <f t="shared" si="9"/>
        <v>0</v>
      </c>
      <c r="Z21" s="118"/>
      <c r="AA21" s="133">
        <f t="shared" si="31"/>
        <v>2034</v>
      </c>
      <c r="AB21" s="127">
        <f t="shared" si="10"/>
        <v>64.56</v>
      </c>
      <c r="AC21" s="133">
        <v>12</v>
      </c>
      <c r="AD21" s="129">
        <f t="shared" si="11"/>
        <v>64.56</v>
      </c>
      <c r="AE21" s="118"/>
      <c r="AF21" s="133">
        <f t="shared" si="32"/>
        <v>2034</v>
      </c>
      <c r="AG21" s="127">
        <f t="shared" si="12"/>
        <v>0</v>
      </c>
      <c r="AH21" s="133">
        <v>12</v>
      </c>
      <c r="AI21" s="129">
        <f t="shared" si="13"/>
        <v>0</v>
      </c>
      <c r="AJ21" s="118"/>
      <c r="AK21" s="133">
        <f t="shared" si="33"/>
        <v>2034</v>
      </c>
      <c r="AL21" s="127">
        <f t="shared" si="14"/>
        <v>29.34</v>
      </c>
      <c r="AM21" s="133">
        <v>12</v>
      </c>
      <c r="AN21" s="129">
        <f t="shared" si="15"/>
        <v>29.34</v>
      </c>
      <c r="AO21" s="118"/>
      <c r="AP21" s="133">
        <f t="shared" si="34"/>
        <v>2034</v>
      </c>
      <c r="AQ21" s="127">
        <f t="shared" si="16"/>
        <v>10.33</v>
      </c>
      <c r="AR21" s="133">
        <v>12</v>
      </c>
      <c r="AS21" s="129">
        <f t="shared" si="17"/>
        <v>10.33</v>
      </c>
      <c r="AT21" s="118"/>
      <c r="AU21" s="133">
        <f t="shared" si="35"/>
        <v>2034</v>
      </c>
      <c r="AV21" s="127">
        <f t="shared" si="18"/>
        <v>13.27</v>
      </c>
      <c r="AW21" s="133">
        <v>12</v>
      </c>
      <c r="AX21" s="129">
        <f t="shared" si="19"/>
        <v>13.270000000000001</v>
      </c>
      <c r="AY21" s="118"/>
      <c r="AZ21" s="133">
        <f t="shared" si="36"/>
        <v>2034</v>
      </c>
      <c r="BA21" s="127">
        <f t="shared" si="20"/>
        <v>716.52</v>
      </c>
      <c r="BB21" s="133">
        <v>12</v>
      </c>
      <c r="BC21" s="129">
        <f t="shared" si="21"/>
        <v>716.52</v>
      </c>
      <c r="BE21" s="133">
        <f t="shared" si="37"/>
        <v>2034</v>
      </c>
      <c r="BF21" s="127">
        <f t="shared" si="22"/>
        <v>3.01</v>
      </c>
      <c r="BG21" s="133">
        <v>12</v>
      </c>
      <c r="BH21" s="129">
        <f t="shared" si="23"/>
        <v>3.01</v>
      </c>
      <c r="BJ21" s="133">
        <f t="shared" si="38"/>
        <v>2034</v>
      </c>
      <c r="BK21" s="127">
        <f t="shared" si="24"/>
        <v>6.31</v>
      </c>
      <c r="BL21" s="133">
        <v>12</v>
      </c>
      <c r="BM21" s="129">
        <f t="shared" si="25"/>
        <v>6.31</v>
      </c>
    </row>
    <row r="22" spans="2:65">
      <c r="B22" s="133">
        <f t="shared" si="26"/>
        <v>2035</v>
      </c>
      <c r="C22" s="127">
        <f t="shared" si="0"/>
        <v>72.459999999999994</v>
      </c>
      <c r="D22" s="133">
        <v>12</v>
      </c>
      <c r="E22" s="129">
        <f t="shared" si="1"/>
        <v>72.459999999999994</v>
      </c>
      <c r="F22" s="118"/>
      <c r="G22" s="133">
        <f t="shared" si="27"/>
        <v>2035</v>
      </c>
      <c r="H22" s="127">
        <f t="shared" si="2"/>
        <v>13.75</v>
      </c>
      <c r="I22" s="133">
        <v>12</v>
      </c>
      <c r="J22" s="129">
        <f t="shared" si="3"/>
        <v>13.75</v>
      </c>
      <c r="K22" s="118"/>
      <c r="L22" s="133">
        <f t="shared" si="28"/>
        <v>2035</v>
      </c>
      <c r="M22" s="127">
        <f t="shared" si="4"/>
        <v>41.77</v>
      </c>
      <c r="N22" s="133">
        <v>12</v>
      </c>
      <c r="O22" s="129">
        <f t="shared" si="5"/>
        <v>41.77</v>
      </c>
      <c r="Q22" s="133">
        <f t="shared" si="29"/>
        <v>2035</v>
      </c>
      <c r="R22" s="127">
        <f t="shared" si="6"/>
        <v>0</v>
      </c>
      <c r="S22" s="133">
        <v>12</v>
      </c>
      <c r="T22" s="129">
        <f t="shared" si="7"/>
        <v>0</v>
      </c>
      <c r="U22" s="118"/>
      <c r="V22" s="133">
        <f t="shared" si="30"/>
        <v>2035</v>
      </c>
      <c r="W22" s="127">
        <f t="shared" si="8"/>
        <v>0</v>
      </c>
      <c r="X22" s="133">
        <v>12</v>
      </c>
      <c r="Y22" s="129">
        <f t="shared" si="9"/>
        <v>0</v>
      </c>
      <c r="Z22" s="118"/>
      <c r="AA22" s="133">
        <f t="shared" si="31"/>
        <v>2035</v>
      </c>
      <c r="AB22" s="127">
        <f t="shared" si="10"/>
        <v>65.95</v>
      </c>
      <c r="AC22" s="133">
        <v>12</v>
      </c>
      <c r="AD22" s="129">
        <f t="shared" si="11"/>
        <v>65.95</v>
      </c>
      <c r="AE22" s="118"/>
      <c r="AF22" s="133">
        <f t="shared" si="32"/>
        <v>2035</v>
      </c>
      <c r="AG22" s="127">
        <f t="shared" si="12"/>
        <v>0</v>
      </c>
      <c r="AH22" s="133">
        <v>12</v>
      </c>
      <c r="AI22" s="129">
        <f t="shared" si="13"/>
        <v>0</v>
      </c>
      <c r="AJ22" s="118"/>
      <c r="AK22" s="133">
        <f t="shared" si="33"/>
        <v>2035</v>
      </c>
      <c r="AL22" s="127">
        <f t="shared" si="14"/>
        <v>29.97</v>
      </c>
      <c r="AM22" s="133">
        <v>12</v>
      </c>
      <c r="AN22" s="129">
        <f t="shared" si="15"/>
        <v>29.97</v>
      </c>
      <c r="AO22" s="118"/>
      <c r="AP22" s="133">
        <f t="shared" si="34"/>
        <v>2035</v>
      </c>
      <c r="AQ22" s="127">
        <f t="shared" si="16"/>
        <v>10.55</v>
      </c>
      <c r="AR22" s="133">
        <v>12</v>
      </c>
      <c r="AS22" s="129">
        <f t="shared" si="17"/>
        <v>10.55</v>
      </c>
      <c r="AT22" s="118"/>
      <c r="AU22" s="133">
        <f t="shared" si="35"/>
        <v>2035</v>
      </c>
      <c r="AV22" s="127">
        <f t="shared" si="18"/>
        <v>13.56</v>
      </c>
      <c r="AW22" s="133">
        <v>12</v>
      </c>
      <c r="AX22" s="129">
        <f t="shared" si="19"/>
        <v>13.56</v>
      </c>
      <c r="AY22" s="118"/>
      <c r="AZ22" s="133">
        <f t="shared" si="36"/>
        <v>2035</v>
      </c>
      <c r="BA22" s="127">
        <f t="shared" si="20"/>
        <v>731.96</v>
      </c>
      <c r="BB22" s="133">
        <v>12</v>
      </c>
      <c r="BC22" s="129">
        <f t="shared" si="21"/>
        <v>731.96</v>
      </c>
      <c r="BE22" s="133">
        <f t="shared" si="37"/>
        <v>2035</v>
      </c>
      <c r="BF22" s="127">
        <f t="shared" si="22"/>
        <v>3.07</v>
      </c>
      <c r="BG22" s="133">
        <v>12</v>
      </c>
      <c r="BH22" s="129">
        <f t="shared" si="23"/>
        <v>3.07</v>
      </c>
      <c r="BJ22" s="133">
        <f t="shared" si="38"/>
        <v>2035</v>
      </c>
      <c r="BK22" s="127">
        <f t="shared" si="24"/>
        <v>6.45</v>
      </c>
      <c r="BL22" s="133">
        <v>12</v>
      </c>
      <c r="BM22" s="129">
        <f t="shared" si="25"/>
        <v>6.45</v>
      </c>
    </row>
    <row r="23" spans="2:65">
      <c r="B23" s="133">
        <f t="shared" si="26"/>
        <v>2036</v>
      </c>
      <c r="C23" s="127">
        <f t="shared" si="0"/>
        <v>74.02</v>
      </c>
      <c r="D23" s="133">
        <v>12</v>
      </c>
      <c r="E23" s="129">
        <f t="shared" si="1"/>
        <v>74.02</v>
      </c>
      <c r="F23" s="118"/>
      <c r="G23" s="133">
        <f t="shared" si="27"/>
        <v>2036</v>
      </c>
      <c r="H23" s="127">
        <f t="shared" si="2"/>
        <v>14.05</v>
      </c>
      <c r="I23" s="133">
        <v>12</v>
      </c>
      <c r="J23" s="129">
        <f t="shared" si="3"/>
        <v>14.050000000000002</v>
      </c>
      <c r="K23" s="118"/>
      <c r="L23" s="133">
        <f t="shared" si="28"/>
        <v>2036</v>
      </c>
      <c r="M23" s="127">
        <f t="shared" si="4"/>
        <v>42.67</v>
      </c>
      <c r="N23" s="133">
        <v>12</v>
      </c>
      <c r="O23" s="129">
        <f t="shared" si="5"/>
        <v>42.669999999999995</v>
      </c>
      <c r="Q23" s="133">
        <f t="shared" si="29"/>
        <v>2036</v>
      </c>
      <c r="R23" s="127">
        <f t="shared" si="6"/>
        <v>0</v>
      </c>
      <c r="S23" s="133">
        <v>12</v>
      </c>
      <c r="T23" s="129">
        <f t="shared" si="7"/>
        <v>0</v>
      </c>
      <c r="U23" s="118"/>
      <c r="V23" s="133">
        <f t="shared" si="30"/>
        <v>2036</v>
      </c>
      <c r="W23" s="127">
        <f t="shared" si="8"/>
        <v>0</v>
      </c>
      <c r="X23" s="133">
        <v>12</v>
      </c>
      <c r="Y23" s="129">
        <f t="shared" si="9"/>
        <v>0</v>
      </c>
      <c r="Z23" s="118"/>
      <c r="AA23" s="133">
        <f t="shared" si="31"/>
        <v>2036</v>
      </c>
      <c r="AB23" s="127">
        <f t="shared" si="10"/>
        <v>67.37</v>
      </c>
      <c r="AC23" s="133">
        <v>12</v>
      </c>
      <c r="AD23" s="129">
        <f t="shared" si="11"/>
        <v>67.37</v>
      </c>
      <c r="AE23" s="118"/>
      <c r="AF23" s="133">
        <f t="shared" si="32"/>
        <v>2036</v>
      </c>
      <c r="AG23" s="127">
        <f t="shared" si="12"/>
        <v>0</v>
      </c>
      <c r="AH23" s="133">
        <v>12</v>
      </c>
      <c r="AI23" s="129">
        <f t="shared" si="13"/>
        <v>0</v>
      </c>
      <c r="AJ23" s="118"/>
      <c r="AK23" s="133">
        <f t="shared" si="33"/>
        <v>2036</v>
      </c>
      <c r="AL23" s="127">
        <f t="shared" si="14"/>
        <v>30.62</v>
      </c>
      <c r="AM23" s="133">
        <v>12</v>
      </c>
      <c r="AN23" s="129">
        <f t="shared" si="15"/>
        <v>30.62</v>
      </c>
      <c r="AO23" s="118"/>
      <c r="AP23" s="133">
        <f t="shared" si="34"/>
        <v>2036</v>
      </c>
      <c r="AQ23" s="127">
        <f t="shared" si="16"/>
        <v>10.78</v>
      </c>
      <c r="AR23" s="133">
        <v>12</v>
      </c>
      <c r="AS23" s="129">
        <f t="shared" si="17"/>
        <v>10.78</v>
      </c>
      <c r="AT23" s="118"/>
      <c r="AU23" s="133">
        <f t="shared" si="35"/>
        <v>2036</v>
      </c>
      <c r="AV23" s="127">
        <f t="shared" si="18"/>
        <v>13.85</v>
      </c>
      <c r="AW23" s="133">
        <v>12</v>
      </c>
      <c r="AX23" s="129">
        <f t="shared" si="19"/>
        <v>13.85</v>
      </c>
      <c r="AY23" s="118"/>
      <c r="AZ23" s="133">
        <f t="shared" si="36"/>
        <v>2036</v>
      </c>
      <c r="BA23" s="127">
        <f t="shared" si="20"/>
        <v>747.73</v>
      </c>
      <c r="BB23" s="133">
        <v>12</v>
      </c>
      <c r="BC23" s="129">
        <f t="shared" si="21"/>
        <v>747.73</v>
      </c>
      <c r="BE23" s="133">
        <f t="shared" si="37"/>
        <v>2036</v>
      </c>
      <c r="BF23" s="127">
        <f t="shared" si="22"/>
        <v>3.14</v>
      </c>
      <c r="BG23" s="133">
        <v>12</v>
      </c>
      <c r="BH23" s="129">
        <f t="shared" si="23"/>
        <v>3.14</v>
      </c>
      <c r="BJ23" s="133">
        <f t="shared" si="38"/>
        <v>2036</v>
      </c>
      <c r="BK23" s="127">
        <f t="shared" si="24"/>
        <v>6.59</v>
      </c>
      <c r="BL23" s="133">
        <v>12</v>
      </c>
      <c r="BM23" s="129">
        <f t="shared" si="25"/>
        <v>6.59</v>
      </c>
    </row>
    <row r="24" spans="2:65">
      <c r="B24" s="133">
        <f t="shared" si="26"/>
        <v>2037</v>
      </c>
      <c r="C24" s="127">
        <f t="shared" si="0"/>
        <v>75.62</v>
      </c>
      <c r="D24" s="133">
        <v>12</v>
      </c>
      <c r="E24" s="129">
        <f t="shared" si="1"/>
        <v>75.62</v>
      </c>
      <c r="F24" s="118"/>
      <c r="G24" s="133">
        <f t="shared" si="27"/>
        <v>2037</v>
      </c>
      <c r="H24" s="127">
        <f t="shared" si="2"/>
        <v>14.35</v>
      </c>
      <c r="I24" s="133">
        <v>12</v>
      </c>
      <c r="J24" s="129">
        <f t="shared" si="3"/>
        <v>14.35</v>
      </c>
      <c r="K24" s="118"/>
      <c r="L24" s="133">
        <f t="shared" si="28"/>
        <v>2037</v>
      </c>
      <c r="M24" s="127">
        <f t="shared" si="4"/>
        <v>43.59</v>
      </c>
      <c r="N24" s="133">
        <v>12</v>
      </c>
      <c r="O24" s="129">
        <f t="shared" si="5"/>
        <v>43.59</v>
      </c>
      <c r="Q24" s="321">
        <f t="shared" si="29"/>
        <v>2037</v>
      </c>
      <c r="R24" s="127">
        <f t="shared" si="6"/>
        <v>0</v>
      </c>
      <c r="S24" s="133">
        <v>12</v>
      </c>
      <c r="T24" s="129">
        <f t="shared" si="7"/>
        <v>0</v>
      </c>
      <c r="U24" s="118"/>
      <c r="V24" s="133">
        <f t="shared" si="30"/>
        <v>2037</v>
      </c>
      <c r="W24" s="127">
        <f t="shared" si="8"/>
        <v>0</v>
      </c>
      <c r="X24" s="133">
        <v>12</v>
      </c>
      <c r="Y24" s="129">
        <f t="shared" si="9"/>
        <v>0</v>
      </c>
      <c r="Z24" s="118"/>
      <c r="AA24" s="133">
        <f t="shared" si="31"/>
        <v>2037</v>
      </c>
      <c r="AB24" s="127">
        <f t="shared" si="10"/>
        <v>68.819999999999993</v>
      </c>
      <c r="AC24" s="133">
        <v>12</v>
      </c>
      <c r="AD24" s="129">
        <f t="shared" si="11"/>
        <v>68.819999999999993</v>
      </c>
      <c r="AE24" s="118"/>
      <c r="AF24" s="321">
        <f t="shared" si="32"/>
        <v>2037</v>
      </c>
      <c r="AG24" s="127">
        <f t="shared" si="12"/>
        <v>31.427114949217941</v>
      </c>
      <c r="AH24" s="133">
        <v>12</v>
      </c>
      <c r="AI24" s="129">
        <f t="shared" si="13"/>
        <v>31.427114949217941</v>
      </c>
      <c r="AJ24" s="118"/>
      <c r="AK24" s="133">
        <f t="shared" si="33"/>
        <v>2037</v>
      </c>
      <c r="AL24" s="127">
        <f t="shared" si="14"/>
        <v>31.28</v>
      </c>
      <c r="AM24" s="133">
        <v>12</v>
      </c>
      <c r="AN24" s="129">
        <f t="shared" si="15"/>
        <v>31.28</v>
      </c>
      <c r="AO24" s="118"/>
      <c r="AP24" s="133">
        <f t="shared" si="34"/>
        <v>2037</v>
      </c>
      <c r="AQ24" s="127">
        <f t="shared" si="16"/>
        <v>11.01</v>
      </c>
      <c r="AR24" s="133">
        <v>12</v>
      </c>
      <c r="AS24" s="129">
        <f t="shared" si="17"/>
        <v>11.01</v>
      </c>
      <c r="AT24" s="118"/>
      <c r="AU24" s="133">
        <f t="shared" si="35"/>
        <v>2037</v>
      </c>
      <c r="AV24" s="127">
        <f t="shared" si="18"/>
        <v>14.15</v>
      </c>
      <c r="AW24" s="133">
        <v>12</v>
      </c>
      <c r="AX24" s="129">
        <f t="shared" si="19"/>
        <v>14.15</v>
      </c>
      <c r="AY24" s="118"/>
      <c r="AZ24" s="133">
        <f t="shared" si="36"/>
        <v>2037</v>
      </c>
      <c r="BA24" s="127">
        <f t="shared" si="20"/>
        <v>763.84</v>
      </c>
      <c r="BB24" s="133">
        <v>12</v>
      </c>
      <c r="BC24" s="129">
        <f t="shared" si="21"/>
        <v>763.84</v>
      </c>
      <c r="BE24" s="133">
        <f t="shared" si="37"/>
        <v>2037</v>
      </c>
      <c r="BF24" s="127">
        <f t="shared" si="22"/>
        <v>3.21</v>
      </c>
      <c r="BG24" s="133">
        <v>12</v>
      </c>
      <c r="BH24" s="129">
        <f t="shared" si="23"/>
        <v>3.2099999999999995</v>
      </c>
      <c r="BJ24" s="133">
        <f t="shared" si="38"/>
        <v>2037</v>
      </c>
      <c r="BK24" s="127">
        <f t="shared" si="24"/>
        <v>6.73</v>
      </c>
      <c r="BL24" s="133">
        <v>12</v>
      </c>
      <c r="BM24" s="129">
        <f t="shared" si="25"/>
        <v>6.73</v>
      </c>
    </row>
    <row r="25" spans="2:65">
      <c r="B25" s="133">
        <f t="shared" si="26"/>
        <v>2038</v>
      </c>
      <c r="C25" s="127">
        <f t="shared" si="0"/>
        <v>77.25</v>
      </c>
      <c r="D25" s="133">
        <v>12</v>
      </c>
      <c r="E25" s="129">
        <f t="shared" si="1"/>
        <v>77.25</v>
      </c>
      <c r="F25" s="118"/>
      <c r="G25" s="133">
        <f t="shared" si="27"/>
        <v>2038</v>
      </c>
      <c r="H25" s="127">
        <f t="shared" si="2"/>
        <v>14.66</v>
      </c>
      <c r="I25" s="133">
        <v>12</v>
      </c>
      <c r="J25" s="129">
        <f t="shared" si="3"/>
        <v>14.660000000000002</v>
      </c>
      <c r="K25" s="118"/>
      <c r="L25" s="133">
        <f t="shared" si="28"/>
        <v>2038</v>
      </c>
      <c r="M25" s="127">
        <f t="shared" si="4"/>
        <v>44.53</v>
      </c>
      <c r="N25" s="133">
        <v>12</v>
      </c>
      <c r="O25" s="129">
        <f t="shared" si="5"/>
        <v>44.53</v>
      </c>
      <c r="Q25" s="133">
        <f t="shared" si="29"/>
        <v>2038</v>
      </c>
      <c r="R25" s="127">
        <f t="shared" si="6"/>
        <v>0</v>
      </c>
      <c r="S25" s="133">
        <v>12</v>
      </c>
      <c r="T25" s="129">
        <f t="shared" si="7"/>
        <v>0</v>
      </c>
      <c r="U25" s="118"/>
      <c r="V25" s="133">
        <f t="shared" si="30"/>
        <v>2038</v>
      </c>
      <c r="W25" s="127">
        <f t="shared" si="8"/>
        <v>0</v>
      </c>
      <c r="X25" s="133">
        <v>12</v>
      </c>
      <c r="Y25" s="129">
        <f t="shared" si="9"/>
        <v>0</v>
      </c>
      <c r="Z25" s="118"/>
      <c r="AA25" s="133">
        <f t="shared" si="31"/>
        <v>2038</v>
      </c>
      <c r="AB25" s="127">
        <f t="shared" si="10"/>
        <v>70.3</v>
      </c>
      <c r="AC25" s="133">
        <v>12</v>
      </c>
      <c r="AD25" s="129">
        <f t="shared" si="11"/>
        <v>70.3</v>
      </c>
      <c r="AE25" s="118"/>
      <c r="AF25" s="133">
        <f t="shared" si="32"/>
        <v>2038</v>
      </c>
      <c r="AG25" s="127">
        <f t="shared" si="12"/>
        <v>32.1</v>
      </c>
      <c r="AH25" s="133">
        <v>12</v>
      </c>
      <c r="AI25" s="129">
        <f t="shared" si="13"/>
        <v>32.1</v>
      </c>
      <c r="AJ25" s="118"/>
      <c r="AK25" s="133">
        <f t="shared" si="33"/>
        <v>2038</v>
      </c>
      <c r="AL25" s="127">
        <f t="shared" si="14"/>
        <v>31.95</v>
      </c>
      <c r="AM25" s="133">
        <v>12</v>
      </c>
      <c r="AN25" s="129">
        <f t="shared" si="15"/>
        <v>31.95</v>
      </c>
      <c r="AO25" s="118"/>
      <c r="AP25" s="133">
        <f t="shared" si="34"/>
        <v>2038</v>
      </c>
      <c r="AQ25" s="127">
        <f t="shared" si="16"/>
        <v>11.25</v>
      </c>
      <c r="AR25" s="133">
        <v>12</v>
      </c>
      <c r="AS25" s="129">
        <f t="shared" si="17"/>
        <v>11.25</v>
      </c>
      <c r="AT25" s="118"/>
      <c r="AU25" s="133">
        <f t="shared" si="35"/>
        <v>2038</v>
      </c>
      <c r="AV25" s="127">
        <f t="shared" si="18"/>
        <v>14.45</v>
      </c>
      <c r="AW25" s="133">
        <v>12</v>
      </c>
      <c r="AX25" s="129">
        <f t="shared" si="19"/>
        <v>14.449999999999998</v>
      </c>
      <c r="AY25" s="118"/>
      <c r="AZ25" s="133">
        <f t="shared" si="36"/>
        <v>2038</v>
      </c>
      <c r="BA25" s="127">
        <f t="shared" si="20"/>
        <v>780.3</v>
      </c>
      <c r="BB25" s="133">
        <v>12</v>
      </c>
      <c r="BC25" s="129">
        <f t="shared" si="21"/>
        <v>780.29999999999984</v>
      </c>
      <c r="BE25" s="133">
        <f t="shared" si="37"/>
        <v>2038</v>
      </c>
      <c r="BF25" s="127">
        <f t="shared" si="22"/>
        <v>3.28</v>
      </c>
      <c r="BG25" s="133">
        <v>12</v>
      </c>
      <c r="BH25" s="129">
        <f t="shared" si="23"/>
        <v>3.28</v>
      </c>
      <c r="BJ25" s="133">
        <f t="shared" si="38"/>
        <v>2038</v>
      </c>
      <c r="BK25" s="127">
        <f t="shared" si="24"/>
        <v>6.88</v>
      </c>
      <c r="BL25" s="133">
        <v>12</v>
      </c>
      <c r="BM25" s="129">
        <f t="shared" si="25"/>
        <v>6.88</v>
      </c>
    </row>
    <row r="26" spans="2:65">
      <c r="B26" s="133">
        <f t="shared" si="26"/>
        <v>2039</v>
      </c>
      <c r="C26" s="127">
        <f t="shared" si="0"/>
        <v>78.91</v>
      </c>
      <c r="D26" s="133">
        <v>12</v>
      </c>
      <c r="E26" s="129">
        <f t="shared" si="1"/>
        <v>78.91</v>
      </c>
      <c r="F26" s="118"/>
      <c r="G26" s="133">
        <f t="shared" si="27"/>
        <v>2039</v>
      </c>
      <c r="H26" s="127">
        <f t="shared" si="2"/>
        <v>14.98</v>
      </c>
      <c r="I26" s="133">
        <v>12</v>
      </c>
      <c r="J26" s="129">
        <f t="shared" si="3"/>
        <v>14.979999999999999</v>
      </c>
      <c r="K26" s="118"/>
      <c r="L26" s="133">
        <f t="shared" si="28"/>
        <v>2039</v>
      </c>
      <c r="M26" s="127">
        <f t="shared" si="4"/>
        <v>45.49</v>
      </c>
      <c r="N26" s="133">
        <v>12</v>
      </c>
      <c r="O26" s="129">
        <f t="shared" si="5"/>
        <v>45.49</v>
      </c>
      <c r="Q26" s="133">
        <f t="shared" si="29"/>
        <v>2039</v>
      </c>
      <c r="R26" s="127">
        <f t="shared" si="6"/>
        <v>0</v>
      </c>
      <c r="S26" s="133">
        <v>12</v>
      </c>
      <c r="T26" s="129">
        <f t="shared" si="7"/>
        <v>0</v>
      </c>
      <c r="U26" s="118"/>
      <c r="V26" s="133">
        <f t="shared" si="30"/>
        <v>2039</v>
      </c>
      <c r="W26" s="127">
        <f t="shared" si="8"/>
        <v>0</v>
      </c>
      <c r="X26" s="133">
        <v>12</v>
      </c>
      <c r="Y26" s="129">
        <f t="shared" si="9"/>
        <v>0</v>
      </c>
      <c r="Z26" s="118"/>
      <c r="AA26" s="133">
        <f t="shared" si="31"/>
        <v>2039</v>
      </c>
      <c r="AB26" s="127">
        <f t="shared" si="10"/>
        <v>71.81</v>
      </c>
      <c r="AC26" s="133">
        <v>12</v>
      </c>
      <c r="AD26" s="129">
        <f t="shared" si="11"/>
        <v>71.81</v>
      </c>
      <c r="AE26" s="118"/>
      <c r="AF26" s="133">
        <f t="shared" si="32"/>
        <v>2039</v>
      </c>
      <c r="AG26" s="127">
        <f t="shared" si="12"/>
        <v>32.79</v>
      </c>
      <c r="AH26" s="133">
        <v>12</v>
      </c>
      <c r="AI26" s="129">
        <f t="shared" si="13"/>
        <v>32.79</v>
      </c>
      <c r="AJ26" s="118"/>
      <c r="AK26" s="133">
        <f t="shared" si="33"/>
        <v>2039</v>
      </c>
      <c r="AL26" s="127">
        <f t="shared" si="14"/>
        <v>32.64</v>
      </c>
      <c r="AM26" s="133">
        <v>12</v>
      </c>
      <c r="AN26" s="129">
        <f t="shared" si="15"/>
        <v>32.64</v>
      </c>
      <c r="AO26" s="118"/>
      <c r="AP26" s="133">
        <f t="shared" si="34"/>
        <v>2039</v>
      </c>
      <c r="AQ26" s="127">
        <f t="shared" si="16"/>
        <v>11.49</v>
      </c>
      <c r="AR26" s="133">
        <v>12</v>
      </c>
      <c r="AS26" s="129">
        <f t="shared" si="17"/>
        <v>11.49</v>
      </c>
      <c r="AT26" s="118"/>
      <c r="AU26" s="133">
        <f t="shared" si="35"/>
        <v>2039</v>
      </c>
      <c r="AV26" s="127">
        <f t="shared" si="18"/>
        <v>14.76</v>
      </c>
      <c r="AW26" s="133">
        <v>12</v>
      </c>
      <c r="AX26" s="129">
        <f t="shared" si="19"/>
        <v>14.76</v>
      </c>
      <c r="AY26" s="118"/>
      <c r="AZ26" s="133">
        <f t="shared" si="36"/>
        <v>2039</v>
      </c>
      <c r="BA26" s="127">
        <f t="shared" si="20"/>
        <v>797.12</v>
      </c>
      <c r="BB26" s="133">
        <v>12</v>
      </c>
      <c r="BC26" s="129">
        <f t="shared" si="21"/>
        <v>797.12</v>
      </c>
      <c r="BE26" s="133">
        <f t="shared" si="37"/>
        <v>2039</v>
      </c>
      <c r="BF26" s="127">
        <f t="shared" si="22"/>
        <v>3.35</v>
      </c>
      <c r="BG26" s="133">
        <v>12</v>
      </c>
      <c r="BH26" s="129">
        <f t="shared" si="23"/>
        <v>3.35</v>
      </c>
      <c r="BJ26" s="133">
        <f t="shared" si="38"/>
        <v>2039</v>
      </c>
      <c r="BK26" s="127">
        <f t="shared" si="24"/>
        <v>7.03</v>
      </c>
      <c r="BL26" s="133">
        <v>12</v>
      </c>
      <c r="BM26" s="129">
        <f t="shared" si="25"/>
        <v>7.03</v>
      </c>
    </row>
    <row r="27" spans="2:65">
      <c r="B27" s="133">
        <f t="shared" si="26"/>
        <v>2040</v>
      </c>
      <c r="C27" s="127">
        <f t="shared" si="0"/>
        <v>80.61</v>
      </c>
      <c r="D27" s="133">
        <v>12</v>
      </c>
      <c r="E27" s="129">
        <f t="shared" si="1"/>
        <v>80.61</v>
      </c>
      <c r="F27" s="118"/>
      <c r="G27" s="133">
        <f t="shared" si="27"/>
        <v>2040</v>
      </c>
      <c r="H27" s="127">
        <f t="shared" si="2"/>
        <v>15.3</v>
      </c>
      <c r="I27" s="133">
        <v>12</v>
      </c>
      <c r="J27" s="129">
        <f t="shared" si="3"/>
        <v>15.300000000000002</v>
      </c>
      <c r="K27" s="118"/>
      <c r="L27" s="133">
        <f t="shared" si="28"/>
        <v>2040</v>
      </c>
      <c r="M27" s="127">
        <f t="shared" si="4"/>
        <v>46.47</v>
      </c>
      <c r="N27" s="133">
        <v>12</v>
      </c>
      <c r="O27" s="129">
        <f t="shared" si="5"/>
        <v>46.47</v>
      </c>
      <c r="Q27" s="133">
        <f t="shared" si="29"/>
        <v>2040</v>
      </c>
      <c r="R27" s="127">
        <f t="shared" si="6"/>
        <v>0</v>
      </c>
      <c r="S27" s="133">
        <v>12</v>
      </c>
      <c r="T27" s="129">
        <f t="shared" si="7"/>
        <v>0</v>
      </c>
      <c r="U27" s="118"/>
      <c r="V27" s="321">
        <f t="shared" si="30"/>
        <v>2040</v>
      </c>
      <c r="W27" s="127">
        <f t="shared" si="8"/>
        <v>17.574036807534558</v>
      </c>
      <c r="X27" s="133">
        <v>12</v>
      </c>
      <c r="Y27" s="129">
        <f t="shared" si="9"/>
        <v>17.574036807534558</v>
      </c>
      <c r="Z27" s="118"/>
      <c r="AA27" s="133">
        <f t="shared" si="31"/>
        <v>2040</v>
      </c>
      <c r="AB27" s="127">
        <f t="shared" si="10"/>
        <v>73.36</v>
      </c>
      <c r="AC27" s="133">
        <v>12</v>
      </c>
      <c r="AD27" s="129">
        <f t="shared" si="11"/>
        <v>73.36</v>
      </c>
      <c r="AE27" s="118"/>
      <c r="AF27" s="133">
        <f t="shared" si="32"/>
        <v>2040</v>
      </c>
      <c r="AG27" s="127">
        <f t="shared" si="12"/>
        <v>33.5</v>
      </c>
      <c r="AH27" s="133">
        <v>12</v>
      </c>
      <c r="AI27" s="129">
        <f t="shared" si="13"/>
        <v>33.5</v>
      </c>
      <c r="AJ27" s="118"/>
      <c r="AK27" s="133">
        <f t="shared" si="33"/>
        <v>2040</v>
      </c>
      <c r="AL27" s="127">
        <f t="shared" si="14"/>
        <v>33.340000000000003</v>
      </c>
      <c r="AM27" s="133">
        <v>12</v>
      </c>
      <c r="AN27" s="129">
        <f t="shared" si="15"/>
        <v>33.340000000000003</v>
      </c>
      <c r="AO27" s="118"/>
      <c r="AP27" s="133">
        <f t="shared" si="34"/>
        <v>2040</v>
      </c>
      <c r="AQ27" s="127">
        <f t="shared" si="16"/>
        <v>11.74</v>
      </c>
      <c r="AR27" s="133">
        <v>12</v>
      </c>
      <c r="AS27" s="129">
        <f t="shared" si="17"/>
        <v>11.74</v>
      </c>
      <c r="AT27" s="118"/>
      <c r="AU27" s="133">
        <f t="shared" si="35"/>
        <v>2040</v>
      </c>
      <c r="AV27" s="127">
        <f t="shared" si="18"/>
        <v>15.08</v>
      </c>
      <c r="AW27" s="133">
        <v>12</v>
      </c>
      <c r="AX27" s="129">
        <f t="shared" si="19"/>
        <v>15.08</v>
      </c>
      <c r="AY27" s="118"/>
      <c r="AZ27" s="133">
        <f t="shared" si="36"/>
        <v>2040</v>
      </c>
      <c r="BA27" s="127">
        <f t="shared" si="20"/>
        <v>814.3</v>
      </c>
      <c r="BB27" s="133">
        <v>12</v>
      </c>
      <c r="BC27" s="129">
        <f t="shared" si="21"/>
        <v>814.29999999999984</v>
      </c>
      <c r="BE27" s="133">
        <f t="shared" si="37"/>
        <v>2040</v>
      </c>
      <c r="BF27" s="127">
        <f t="shared" si="22"/>
        <v>3.42</v>
      </c>
      <c r="BG27" s="133">
        <v>12</v>
      </c>
      <c r="BH27" s="129">
        <f t="shared" si="23"/>
        <v>3.42</v>
      </c>
      <c r="BJ27" s="133">
        <f t="shared" si="38"/>
        <v>2040</v>
      </c>
      <c r="BK27" s="127">
        <f t="shared" si="24"/>
        <v>7.18</v>
      </c>
      <c r="BL27" s="133">
        <v>12</v>
      </c>
      <c r="BM27" s="129">
        <f t="shared" si="25"/>
        <v>7.18</v>
      </c>
    </row>
    <row r="28" spans="2:65">
      <c r="B28" s="133">
        <f t="shared" si="26"/>
        <v>2041</v>
      </c>
      <c r="C28" s="127">
        <f t="shared" si="0"/>
        <v>82.35</v>
      </c>
      <c r="D28" s="133">
        <v>12</v>
      </c>
      <c r="E28" s="129">
        <f t="shared" si="1"/>
        <v>82.35</v>
      </c>
      <c r="F28" s="118"/>
      <c r="G28" s="133">
        <f t="shared" si="27"/>
        <v>2041</v>
      </c>
      <c r="H28" s="127">
        <f t="shared" si="2"/>
        <v>15.63</v>
      </c>
      <c r="I28" s="133">
        <v>12</v>
      </c>
      <c r="J28" s="129">
        <f t="shared" si="3"/>
        <v>15.63</v>
      </c>
      <c r="K28" s="118"/>
      <c r="L28" s="133">
        <f t="shared" si="28"/>
        <v>2041</v>
      </c>
      <c r="M28" s="127">
        <f t="shared" si="4"/>
        <v>47.47</v>
      </c>
      <c r="N28" s="133">
        <v>12</v>
      </c>
      <c r="O28" s="129">
        <f t="shared" si="5"/>
        <v>47.47</v>
      </c>
      <c r="Q28" s="133">
        <f t="shared" si="29"/>
        <v>2041</v>
      </c>
      <c r="R28" s="127">
        <f t="shared" si="6"/>
        <v>0</v>
      </c>
      <c r="S28" s="133">
        <v>12</v>
      </c>
      <c r="T28" s="129">
        <f t="shared" si="7"/>
        <v>0</v>
      </c>
      <c r="U28" s="118"/>
      <c r="V28" s="133">
        <f t="shared" si="30"/>
        <v>2041</v>
      </c>
      <c r="W28" s="127">
        <f t="shared" si="8"/>
        <v>17.95</v>
      </c>
      <c r="X28" s="133">
        <v>12</v>
      </c>
      <c r="Y28" s="129">
        <f t="shared" si="9"/>
        <v>17.95</v>
      </c>
      <c r="Z28" s="118"/>
      <c r="AA28" s="133">
        <f t="shared" si="31"/>
        <v>2041</v>
      </c>
      <c r="AB28" s="127">
        <f t="shared" si="10"/>
        <v>74.94</v>
      </c>
      <c r="AC28" s="133">
        <v>12</v>
      </c>
      <c r="AD28" s="129">
        <f t="shared" si="11"/>
        <v>74.94</v>
      </c>
      <c r="AE28" s="118"/>
      <c r="AF28" s="133">
        <f t="shared" si="32"/>
        <v>2041</v>
      </c>
      <c r="AG28" s="127">
        <f t="shared" si="12"/>
        <v>34.22</v>
      </c>
      <c r="AH28" s="133">
        <v>12</v>
      </c>
      <c r="AI28" s="129">
        <f t="shared" si="13"/>
        <v>34.22</v>
      </c>
      <c r="AJ28" s="118"/>
      <c r="AK28" s="133">
        <f t="shared" si="33"/>
        <v>2041</v>
      </c>
      <c r="AL28" s="127">
        <f t="shared" si="14"/>
        <v>34.06</v>
      </c>
      <c r="AM28" s="133">
        <v>12</v>
      </c>
      <c r="AN28" s="129">
        <f t="shared" si="15"/>
        <v>34.06</v>
      </c>
      <c r="AO28" s="118"/>
      <c r="AP28" s="133">
        <f t="shared" si="34"/>
        <v>2041</v>
      </c>
      <c r="AQ28" s="127">
        <f t="shared" si="16"/>
        <v>11.99</v>
      </c>
      <c r="AR28" s="133">
        <v>12</v>
      </c>
      <c r="AS28" s="129">
        <f t="shared" si="17"/>
        <v>11.99</v>
      </c>
      <c r="AT28" s="118"/>
      <c r="AU28" s="133">
        <f t="shared" si="35"/>
        <v>2041</v>
      </c>
      <c r="AV28" s="127">
        <f t="shared" si="18"/>
        <v>15.4</v>
      </c>
      <c r="AW28" s="133">
        <v>12</v>
      </c>
      <c r="AX28" s="129">
        <f t="shared" si="19"/>
        <v>15.4</v>
      </c>
      <c r="AY28" s="118"/>
      <c r="AZ28" s="133">
        <f t="shared" si="36"/>
        <v>2041</v>
      </c>
      <c r="BA28" s="127">
        <f t="shared" si="20"/>
        <v>831.85</v>
      </c>
      <c r="BB28" s="133">
        <v>12</v>
      </c>
      <c r="BC28" s="129">
        <f t="shared" si="21"/>
        <v>831.85</v>
      </c>
      <c r="BE28" s="133">
        <f t="shared" si="37"/>
        <v>2041</v>
      </c>
      <c r="BF28" s="127">
        <f t="shared" si="22"/>
        <v>3.49</v>
      </c>
      <c r="BG28" s="133">
        <v>12</v>
      </c>
      <c r="BH28" s="129">
        <f t="shared" si="23"/>
        <v>3.49</v>
      </c>
      <c r="BJ28" s="133">
        <f t="shared" si="38"/>
        <v>2041</v>
      </c>
      <c r="BK28" s="127">
        <f t="shared" si="24"/>
        <v>7.33</v>
      </c>
      <c r="BL28" s="133">
        <v>12</v>
      </c>
      <c r="BM28" s="129">
        <f t="shared" si="25"/>
        <v>7.330000000000001</v>
      </c>
    </row>
    <row r="29" spans="2:65">
      <c r="B29" s="133">
        <f t="shared" si="26"/>
        <v>2042</v>
      </c>
      <c r="C29" s="127">
        <f t="shared" si="0"/>
        <v>84.12</v>
      </c>
      <c r="D29" s="133">
        <v>12</v>
      </c>
      <c r="E29" s="129">
        <f t="shared" si="1"/>
        <v>84.12</v>
      </c>
      <c r="F29" s="118"/>
      <c r="G29" s="133">
        <f t="shared" si="27"/>
        <v>2042</v>
      </c>
      <c r="H29" s="127">
        <f t="shared" si="2"/>
        <v>15.97</v>
      </c>
      <c r="I29" s="133">
        <v>12</v>
      </c>
      <c r="J29" s="129">
        <f t="shared" si="3"/>
        <v>15.97</v>
      </c>
      <c r="K29" s="118"/>
      <c r="L29" s="133">
        <f t="shared" si="28"/>
        <v>2042</v>
      </c>
      <c r="M29" s="127">
        <f t="shared" si="4"/>
        <v>48.49</v>
      </c>
      <c r="N29" s="133">
        <v>12</v>
      </c>
      <c r="O29" s="129">
        <f t="shared" si="5"/>
        <v>48.49</v>
      </c>
      <c r="Q29" s="133">
        <f t="shared" si="29"/>
        <v>2042</v>
      </c>
      <c r="R29" s="127">
        <f t="shared" si="6"/>
        <v>0</v>
      </c>
      <c r="S29" s="133">
        <v>12</v>
      </c>
      <c r="T29" s="129">
        <f t="shared" si="7"/>
        <v>0</v>
      </c>
      <c r="U29" s="118"/>
      <c r="V29" s="133">
        <f t="shared" si="30"/>
        <v>2042</v>
      </c>
      <c r="W29" s="127">
        <f t="shared" si="8"/>
        <v>18.34</v>
      </c>
      <c r="X29" s="133">
        <v>12</v>
      </c>
      <c r="Y29" s="129">
        <f t="shared" si="9"/>
        <v>18.34</v>
      </c>
      <c r="Z29" s="118"/>
      <c r="AA29" s="133">
        <f t="shared" si="31"/>
        <v>2042</v>
      </c>
      <c r="AB29" s="127">
        <f t="shared" si="10"/>
        <v>76.55</v>
      </c>
      <c r="AC29" s="133">
        <v>12</v>
      </c>
      <c r="AD29" s="129">
        <f t="shared" si="11"/>
        <v>76.55</v>
      </c>
      <c r="AE29" s="118"/>
      <c r="AF29" s="133">
        <f t="shared" si="32"/>
        <v>2042</v>
      </c>
      <c r="AG29" s="127">
        <f t="shared" si="12"/>
        <v>34.96</v>
      </c>
      <c r="AH29" s="133">
        <v>12</v>
      </c>
      <c r="AI29" s="129">
        <f t="shared" si="13"/>
        <v>34.96</v>
      </c>
      <c r="AJ29" s="118"/>
      <c r="AK29" s="133">
        <f t="shared" si="33"/>
        <v>2042</v>
      </c>
      <c r="AL29" s="127">
        <f t="shared" si="14"/>
        <v>34.79</v>
      </c>
      <c r="AM29" s="133">
        <v>12</v>
      </c>
      <c r="AN29" s="129">
        <f t="shared" si="15"/>
        <v>34.79</v>
      </c>
      <c r="AO29" s="118"/>
      <c r="AP29" s="133">
        <f t="shared" si="34"/>
        <v>2042</v>
      </c>
      <c r="AQ29" s="127">
        <f t="shared" si="16"/>
        <v>12.25</v>
      </c>
      <c r="AR29" s="133">
        <v>12</v>
      </c>
      <c r="AS29" s="129">
        <f t="shared" si="17"/>
        <v>12.25</v>
      </c>
      <c r="AT29" s="118"/>
      <c r="AU29" s="133">
        <f t="shared" si="35"/>
        <v>2042</v>
      </c>
      <c r="AV29" s="127">
        <f t="shared" si="18"/>
        <v>15.73</v>
      </c>
      <c r="AW29" s="133">
        <v>12</v>
      </c>
      <c r="AX29" s="129">
        <f t="shared" si="19"/>
        <v>15.729999999999999</v>
      </c>
      <c r="AY29" s="118"/>
      <c r="AZ29" s="133">
        <f t="shared" si="36"/>
        <v>2042</v>
      </c>
      <c r="BA29" s="127">
        <f t="shared" si="20"/>
        <v>849.78</v>
      </c>
      <c r="BB29" s="133">
        <v>12</v>
      </c>
      <c r="BC29" s="129">
        <f t="shared" si="21"/>
        <v>849.78000000000009</v>
      </c>
      <c r="BE29" s="133">
        <f t="shared" si="37"/>
        <v>2042</v>
      </c>
      <c r="BF29" s="127">
        <f t="shared" si="22"/>
        <v>3.57</v>
      </c>
      <c r="BG29" s="133">
        <v>12</v>
      </c>
      <c r="BH29" s="129">
        <f t="shared" si="23"/>
        <v>3.57</v>
      </c>
      <c r="BJ29" s="133">
        <f t="shared" si="38"/>
        <v>2042</v>
      </c>
      <c r="BK29" s="127">
        <f t="shared" si="24"/>
        <v>7.49</v>
      </c>
      <c r="BL29" s="133">
        <v>12</v>
      </c>
      <c r="BM29" s="129">
        <f t="shared" si="25"/>
        <v>7.4899999999999993</v>
      </c>
    </row>
    <row r="30" spans="2:65">
      <c r="B30" s="133">
        <f t="shared" si="26"/>
        <v>2043</v>
      </c>
      <c r="C30" s="127">
        <f t="shared" si="0"/>
        <v>85.93</v>
      </c>
      <c r="D30" s="133">
        <v>12</v>
      </c>
      <c r="E30" s="129">
        <f t="shared" si="1"/>
        <v>85.93</v>
      </c>
      <c r="F30" s="118"/>
      <c r="G30" s="133">
        <f t="shared" si="27"/>
        <v>2043</v>
      </c>
      <c r="H30" s="127">
        <f t="shared" si="2"/>
        <v>16.309999999999999</v>
      </c>
      <c r="I30" s="133">
        <v>12</v>
      </c>
      <c r="J30" s="129">
        <f t="shared" si="3"/>
        <v>16.309999999999999</v>
      </c>
      <c r="K30" s="118"/>
      <c r="L30" s="133">
        <f t="shared" si="28"/>
        <v>2043</v>
      </c>
      <c r="M30" s="127">
        <f t="shared" si="4"/>
        <v>49.53</v>
      </c>
      <c r="N30" s="133">
        <v>12</v>
      </c>
      <c r="O30" s="129">
        <f t="shared" si="5"/>
        <v>49.53</v>
      </c>
      <c r="Q30" s="133">
        <f t="shared" si="29"/>
        <v>2043</v>
      </c>
      <c r="R30" s="127">
        <f t="shared" si="6"/>
        <v>0</v>
      </c>
      <c r="S30" s="133">
        <v>12</v>
      </c>
      <c r="T30" s="129">
        <f t="shared" si="7"/>
        <v>0</v>
      </c>
      <c r="U30" s="118"/>
      <c r="V30" s="133">
        <f t="shared" si="30"/>
        <v>2043</v>
      </c>
      <c r="W30" s="127">
        <f t="shared" si="8"/>
        <v>18.739999999999998</v>
      </c>
      <c r="X30" s="133">
        <v>12</v>
      </c>
      <c r="Y30" s="129">
        <f t="shared" si="9"/>
        <v>18.739999999999998</v>
      </c>
      <c r="Z30" s="118"/>
      <c r="AA30" s="133">
        <f t="shared" si="31"/>
        <v>2043</v>
      </c>
      <c r="AB30" s="127">
        <f t="shared" si="10"/>
        <v>78.2</v>
      </c>
      <c r="AC30" s="133">
        <v>12</v>
      </c>
      <c r="AD30" s="129">
        <f t="shared" si="11"/>
        <v>78.2</v>
      </c>
      <c r="AE30" s="118"/>
      <c r="AF30" s="133">
        <f t="shared" si="32"/>
        <v>2043</v>
      </c>
      <c r="AG30" s="127">
        <f t="shared" si="12"/>
        <v>35.71</v>
      </c>
      <c r="AH30" s="133">
        <v>12</v>
      </c>
      <c r="AI30" s="129">
        <f t="shared" si="13"/>
        <v>35.71</v>
      </c>
      <c r="AJ30" s="118"/>
      <c r="AK30" s="133">
        <f t="shared" si="33"/>
        <v>2043</v>
      </c>
      <c r="AL30" s="127">
        <f t="shared" si="14"/>
        <v>35.54</v>
      </c>
      <c r="AM30" s="133">
        <v>12</v>
      </c>
      <c r="AN30" s="129">
        <f t="shared" si="15"/>
        <v>35.54</v>
      </c>
      <c r="AO30" s="118"/>
      <c r="AP30" s="133">
        <f t="shared" si="34"/>
        <v>2043</v>
      </c>
      <c r="AQ30" s="127">
        <f t="shared" si="16"/>
        <v>12.51</v>
      </c>
      <c r="AR30" s="133">
        <v>12</v>
      </c>
      <c r="AS30" s="129">
        <f t="shared" si="17"/>
        <v>12.51</v>
      </c>
      <c r="AT30" s="118"/>
      <c r="AU30" s="133">
        <f t="shared" si="35"/>
        <v>2043</v>
      </c>
      <c r="AV30" s="127">
        <f t="shared" si="18"/>
        <v>16.07</v>
      </c>
      <c r="AW30" s="133">
        <v>12</v>
      </c>
      <c r="AX30" s="129">
        <f t="shared" si="19"/>
        <v>16.07</v>
      </c>
      <c r="AY30" s="118"/>
      <c r="AZ30" s="133">
        <f t="shared" si="36"/>
        <v>2043</v>
      </c>
      <c r="BA30" s="127">
        <f t="shared" si="20"/>
        <v>868.09</v>
      </c>
      <c r="BB30" s="133">
        <v>12</v>
      </c>
      <c r="BC30" s="129">
        <f t="shared" si="21"/>
        <v>868.09</v>
      </c>
      <c r="BE30" s="133">
        <f t="shared" si="37"/>
        <v>2043</v>
      </c>
      <c r="BF30" s="127">
        <f t="shared" si="22"/>
        <v>3.65</v>
      </c>
      <c r="BG30" s="133">
        <v>12</v>
      </c>
      <c r="BH30" s="129">
        <f t="shared" si="23"/>
        <v>3.65</v>
      </c>
      <c r="BJ30" s="133">
        <f t="shared" si="38"/>
        <v>2043</v>
      </c>
      <c r="BK30" s="127">
        <f t="shared" si="24"/>
        <v>7.65</v>
      </c>
      <c r="BL30" s="133">
        <v>12</v>
      </c>
      <c r="BM30" s="129">
        <f t="shared" si="25"/>
        <v>7.6500000000000012</v>
      </c>
    </row>
    <row r="31" spans="2:65">
      <c r="B31" s="133">
        <f t="shared" si="26"/>
        <v>2044</v>
      </c>
      <c r="C31" s="127">
        <f t="shared" si="0"/>
        <v>87.78</v>
      </c>
      <c r="D31" s="133">
        <v>12</v>
      </c>
      <c r="E31" s="129">
        <f t="shared" si="1"/>
        <v>87.780000000000015</v>
      </c>
      <c r="F31" s="118"/>
      <c r="G31" s="133">
        <f t="shared" si="27"/>
        <v>2044</v>
      </c>
      <c r="H31" s="127">
        <f t="shared" si="2"/>
        <v>16.66</v>
      </c>
      <c r="I31" s="133">
        <v>12</v>
      </c>
      <c r="J31" s="129">
        <f t="shared" si="3"/>
        <v>16.66</v>
      </c>
      <c r="K31" s="118"/>
      <c r="L31" s="133">
        <f t="shared" si="28"/>
        <v>2044</v>
      </c>
      <c r="M31" s="127">
        <f t="shared" si="4"/>
        <v>50.6</v>
      </c>
      <c r="N31" s="133">
        <v>12</v>
      </c>
      <c r="O31" s="129">
        <f t="shared" si="5"/>
        <v>50.6</v>
      </c>
      <c r="Q31" s="133">
        <f t="shared" si="29"/>
        <v>2044</v>
      </c>
      <c r="R31" s="127">
        <f t="shared" si="6"/>
        <v>0</v>
      </c>
      <c r="S31" s="133">
        <v>12</v>
      </c>
      <c r="T31" s="129">
        <f t="shared" si="7"/>
        <v>0</v>
      </c>
      <c r="U31" s="118"/>
      <c r="V31" s="133">
        <f t="shared" si="30"/>
        <v>2044</v>
      </c>
      <c r="W31" s="127">
        <f t="shared" si="8"/>
        <v>19.14</v>
      </c>
      <c r="X31" s="133">
        <v>12</v>
      </c>
      <c r="Y31" s="129">
        <f t="shared" si="9"/>
        <v>19.14</v>
      </c>
      <c r="Z31" s="118"/>
      <c r="AA31" s="133">
        <f t="shared" si="31"/>
        <v>2044</v>
      </c>
      <c r="AB31" s="127">
        <f t="shared" si="10"/>
        <v>79.89</v>
      </c>
      <c r="AC31" s="133">
        <v>12</v>
      </c>
      <c r="AD31" s="129">
        <f t="shared" si="11"/>
        <v>79.89</v>
      </c>
      <c r="AE31" s="118"/>
      <c r="AF31" s="133">
        <f t="shared" si="32"/>
        <v>2044</v>
      </c>
      <c r="AG31" s="127">
        <f t="shared" si="12"/>
        <v>36.479999999999997</v>
      </c>
      <c r="AH31" s="133">
        <v>12</v>
      </c>
      <c r="AI31" s="129">
        <f t="shared" si="13"/>
        <v>36.479999999999997</v>
      </c>
      <c r="AJ31" s="118"/>
      <c r="AK31" s="133">
        <f t="shared" si="33"/>
        <v>2044</v>
      </c>
      <c r="AL31" s="127">
        <f t="shared" si="14"/>
        <v>36.31</v>
      </c>
      <c r="AM31" s="133">
        <v>12</v>
      </c>
      <c r="AN31" s="129">
        <f t="shared" si="15"/>
        <v>36.31</v>
      </c>
      <c r="AO31" s="118"/>
      <c r="AP31" s="133">
        <f t="shared" si="34"/>
        <v>2044</v>
      </c>
      <c r="AQ31" s="127">
        <f t="shared" si="16"/>
        <v>12.78</v>
      </c>
      <c r="AR31" s="133">
        <v>12</v>
      </c>
      <c r="AS31" s="129">
        <f t="shared" si="17"/>
        <v>12.78</v>
      </c>
      <c r="AT31" s="118"/>
      <c r="AU31" s="133">
        <f t="shared" si="35"/>
        <v>2044</v>
      </c>
      <c r="AV31" s="127">
        <f t="shared" si="18"/>
        <v>16.420000000000002</v>
      </c>
      <c r="AW31" s="133">
        <v>12</v>
      </c>
      <c r="AX31" s="129">
        <f t="shared" si="19"/>
        <v>16.420000000000002</v>
      </c>
      <c r="AY31" s="118"/>
      <c r="AZ31" s="133">
        <f t="shared" si="36"/>
        <v>2044</v>
      </c>
      <c r="BA31" s="127">
        <f t="shared" si="20"/>
        <v>886.8</v>
      </c>
      <c r="BB31" s="133">
        <v>12</v>
      </c>
      <c r="BC31" s="129">
        <f t="shared" si="21"/>
        <v>886.79999999999984</v>
      </c>
      <c r="BE31" s="133">
        <f t="shared" si="37"/>
        <v>2044</v>
      </c>
      <c r="BF31" s="127">
        <f t="shared" si="22"/>
        <v>3.73</v>
      </c>
      <c r="BG31" s="133">
        <v>12</v>
      </c>
      <c r="BH31" s="129">
        <f t="shared" si="23"/>
        <v>3.73</v>
      </c>
      <c r="BJ31" s="133">
        <f t="shared" si="38"/>
        <v>2044</v>
      </c>
      <c r="BK31" s="127">
        <f t="shared" si="24"/>
        <v>7.81</v>
      </c>
      <c r="BL31" s="133">
        <v>12</v>
      </c>
      <c r="BM31" s="129">
        <f t="shared" si="25"/>
        <v>7.81</v>
      </c>
    </row>
    <row r="32" spans="2:65">
      <c r="B32" s="133">
        <f t="shared" si="26"/>
        <v>2045</v>
      </c>
      <c r="C32" s="127">
        <f t="shared" si="0"/>
        <v>89.67</v>
      </c>
      <c r="D32" s="133">
        <v>12</v>
      </c>
      <c r="E32" s="129">
        <f t="shared" si="1"/>
        <v>89.67</v>
      </c>
      <c r="F32" s="118"/>
      <c r="G32" s="133">
        <f t="shared" si="27"/>
        <v>2045</v>
      </c>
      <c r="H32" s="127">
        <f t="shared" si="2"/>
        <v>17.02</v>
      </c>
      <c r="I32" s="133">
        <v>12</v>
      </c>
      <c r="J32" s="129">
        <f t="shared" si="3"/>
        <v>17.02</v>
      </c>
      <c r="K32" s="118"/>
      <c r="L32" s="133">
        <f t="shared" si="28"/>
        <v>2045</v>
      </c>
      <c r="M32" s="127">
        <f t="shared" si="4"/>
        <v>51.69</v>
      </c>
      <c r="N32" s="133">
        <v>12</v>
      </c>
      <c r="O32" s="129">
        <f t="shared" si="5"/>
        <v>51.69</v>
      </c>
      <c r="Q32" s="133">
        <f t="shared" si="29"/>
        <v>2045</v>
      </c>
      <c r="R32" s="127">
        <f t="shared" si="6"/>
        <v>0</v>
      </c>
      <c r="S32" s="133">
        <v>12</v>
      </c>
      <c r="T32" s="129">
        <f t="shared" si="7"/>
        <v>0</v>
      </c>
      <c r="U32" s="118"/>
      <c r="V32" s="133">
        <f t="shared" si="30"/>
        <v>2045</v>
      </c>
      <c r="W32" s="127">
        <f t="shared" si="8"/>
        <v>19.55</v>
      </c>
      <c r="X32" s="133">
        <v>12</v>
      </c>
      <c r="Y32" s="129">
        <f t="shared" si="9"/>
        <v>19.55</v>
      </c>
      <c r="Z32" s="118"/>
      <c r="AA32" s="133">
        <f t="shared" si="31"/>
        <v>2045</v>
      </c>
      <c r="AB32" s="127">
        <f t="shared" si="10"/>
        <v>81.61</v>
      </c>
      <c r="AC32" s="133">
        <v>12</v>
      </c>
      <c r="AD32" s="129">
        <f t="shared" si="11"/>
        <v>81.61</v>
      </c>
      <c r="AE32" s="118"/>
      <c r="AF32" s="133">
        <f t="shared" si="32"/>
        <v>2045</v>
      </c>
      <c r="AG32" s="127">
        <f t="shared" si="12"/>
        <v>37.270000000000003</v>
      </c>
      <c r="AH32" s="133">
        <v>12</v>
      </c>
      <c r="AI32" s="129">
        <f t="shared" si="13"/>
        <v>37.270000000000003</v>
      </c>
      <c r="AJ32" s="118"/>
      <c r="AK32" s="133">
        <f t="shared" si="33"/>
        <v>2045</v>
      </c>
      <c r="AL32" s="127">
        <f t="shared" si="14"/>
        <v>37.090000000000003</v>
      </c>
      <c r="AM32" s="133">
        <v>12</v>
      </c>
      <c r="AN32" s="129">
        <f t="shared" si="15"/>
        <v>37.090000000000003</v>
      </c>
      <c r="AO32" s="118"/>
      <c r="AP32" s="133">
        <f t="shared" si="34"/>
        <v>2045</v>
      </c>
      <c r="AQ32" s="127">
        <f t="shared" si="16"/>
        <v>13.06</v>
      </c>
      <c r="AR32" s="133">
        <v>12</v>
      </c>
      <c r="AS32" s="129">
        <f t="shared" si="17"/>
        <v>13.06</v>
      </c>
      <c r="AT32" s="118"/>
      <c r="AU32" s="133">
        <f t="shared" si="35"/>
        <v>2045</v>
      </c>
      <c r="AV32" s="127">
        <f t="shared" si="18"/>
        <v>16.77</v>
      </c>
      <c r="AW32" s="133">
        <v>12</v>
      </c>
      <c r="AX32" s="129">
        <f t="shared" si="19"/>
        <v>16.77</v>
      </c>
      <c r="AY32" s="118"/>
      <c r="AZ32" s="133">
        <f t="shared" si="36"/>
        <v>2045</v>
      </c>
      <c r="BA32" s="127">
        <f t="shared" si="20"/>
        <v>905.91</v>
      </c>
      <c r="BB32" s="133">
        <v>12</v>
      </c>
      <c r="BC32" s="129">
        <f t="shared" si="21"/>
        <v>905.91</v>
      </c>
      <c r="BE32" s="133">
        <f t="shared" si="37"/>
        <v>2045</v>
      </c>
      <c r="BF32" s="127">
        <f t="shared" si="22"/>
        <v>3.81</v>
      </c>
      <c r="BG32" s="133">
        <v>12</v>
      </c>
      <c r="BH32" s="129">
        <f t="shared" si="23"/>
        <v>3.81</v>
      </c>
      <c r="BJ32" s="133">
        <f t="shared" si="38"/>
        <v>2045</v>
      </c>
      <c r="BK32" s="127">
        <f t="shared" si="24"/>
        <v>7.98</v>
      </c>
      <c r="BL32" s="133">
        <v>12</v>
      </c>
      <c r="BM32" s="129">
        <f t="shared" si="25"/>
        <v>7.98</v>
      </c>
    </row>
    <row r="33" spans="2:65">
      <c r="B33" s="133"/>
      <c r="C33" s="127"/>
      <c r="D33" s="133"/>
      <c r="E33" s="129"/>
      <c r="F33" s="118"/>
      <c r="G33" s="133"/>
      <c r="H33" s="127"/>
      <c r="I33" s="133"/>
      <c r="J33" s="129"/>
      <c r="K33" s="118"/>
      <c r="L33" s="133"/>
      <c r="M33" s="127"/>
      <c r="N33" s="133"/>
      <c r="O33" s="129"/>
      <c r="Q33" s="133"/>
      <c r="R33" s="127"/>
      <c r="S33" s="133"/>
      <c r="T33" s="129"/>
      <c r="U33" s="118"/>
      <c r="V33" s="133"/>
      <c r="W33" s="127"/>
      <c r="X33" s="133"/>
      <c r="Y33" s="129"/>
      <c r="Z33" s="118"/>
      <c r="AA33" s="133"/>
      <c r="AB33" s="127"/>
      <c r="AC33" s="133"/>
      <c r="AD33" s="129"/>
      <c r="AE33" s="118"/>
      <c r="AF33" s="133"/>
      <c r="AG33" s="127"/>
      <c r="AH33" s="133"/>
      <c r="AI33" s="129"/>
      <c r="AJ33" s="118"/>
      <c r="AK33" s="133"/>
      <c r="AL33" s="127"/>
      <c r="AM33" s="133"/>
      <c r="AN33" s="129"/>
      <c r="AO33" s="118"/>
      <c r="AP33" s="133"/>
      <c r="AQ33" s="127"/>
      <c r="AR33" s="133"/>
      <c r="AS33" s="129"/>
      <c r="AT33" s="118"/>
      <c r="AU33" s="133"/>
      <c r="AV33" s="127"/>
      <c r="AW33" s="133"/>
      <c r="AX33" s="129"/>
      <c r="AY33" s="118"/>
      <c r="AZ33" s="133"/>
      <c r="BA33" s="127"/>
      <c r="BB33" s="133"/>
      <c r="BC33" s="129"/>
      <c r="BE33" s="133"/>
      <c r="BF33" s="127"/>
      <c r="BG33" s="133"/>
      <c r="BH33" s="129"/>
      <c r="BJ33" s="133"/>
      <c r="BK33" s="127"/>
      <c r="BL33" s="133"/>
      <c r="BM33" s="129"/>
    </row>
    <row r="34" spans="2:65">
      <c r="B34" s="133"/>
      <c r="C34" s="130"/>
      <c r="D34" s="127"/>
      <c r="E34" s="127"/>
      <c r="F34" s="128"/>
      <c r="G34" s="133"/>
      <c r="H34" s="130"/>
      <c r="I34" s="127"/>
      <c r="J34" s="127"/>
      <c r="K34" s="128"/>
      <c r="L34" s="133"/>
      <c r="M34" s="130"/>
      <c r="N34" s="127"/>
      <c r="O34" s="127"/>
      <c r="Q34" s="133"/>
      <c r="R34" s="130"/>
      <c r="S34" s="127"/>
      <c r="T34" s="127"/>
      <c r="U34" s="128"/>
      <c r="V34" s="133"/>
      <c r="W34" s="130"/>
      <c r="X34" s="127"/>
      <c r="Y34" s="127"/>
      <c r="Z34" s="128"/>
      <c r="AA34" s="133"/>
      <c r="AB34" s="130"/>
      <c r="AC34" s="127"/>
      <c r="AD34" s="127"/>
      <c r="AE34" s="128"/>
      <c r="AF34" s="133"/>
      <c r="AG34" s="130"/>
      <c r="AH34" s="127"/>
      <c r="AI34" s="127"/>
      <c r="AJ34" s="128"/>
      <c r="AK34" s="133"/>
      <c r="AL34" s="130"/>
      <c r="AM34" s="127"/>
      <c r="AN34" s="127"/>
      <c r="AO34" s="128"/>
      <c r="AP34" s="133"/>
      <c r="AQ34" s="130"/>
      <c r="AR34" s="127"/>
      <c r="AS34" s="127"/>
      <c r="AT34" s="128"/>
      <c r="AU34" s="133"/>
      <c r="AV34" s="130"/>
      <c r="AW34" s="127"/>
      <c r="AX34" s="127"/>
      <c r="AY34" s="128"/>
      <c r="AZ34" s="133"/>
      <c r="BA34" s="130"/>
      <c r="BB34" s="127"/>
      <c r="BC34" s="127"/>
      <c r="BD34" s="135"/>
      <c r="BE34" s="133"/>
      <c r="BF34" s="130"/>
      <c r="BG34" s="127"/>
      <c r="BH34" s="127"/>
      <c r="BJ34" s="133"/>
      <c r="BK34" s="130"/>
      <c r="BL34" s="127"/>
      <c r="BM34" s="127"/>
    </row>
    <row r="35" spans="2:65" s="118" customFormat="1" ht="12" customHeight="1">
      <c r="C35" s="127" t="s">
        <v>98</v>
      </c>
      <c r="D35" s="329">
        <v>2025</v>
      </c>
      <c r="H35" s="127" t="s">
        <v>98</v>
      </c>
      <c r="I35" s="329">
        <v>2033</v>
      </c>
      <c r="M35" s="127" t="s">
        <v>98</v>
      </c>
      <c r="N35" s="329">
        <v>2032</v>
      </c>
      <c r="R35" s="127" t="s">
        <v>98</v>
      </c>
      <c r="S35" s="329">
        <v>2037</v>
      </c>
      <c r="W35" s="127" t="s">
        <v>98</v>
      </c>
      <c r="X35" s="329">
        <v>2040</v>
      </c>
      <c r="AB35" s="127" t="s">
        <v>98</v>
      </c>
      <c r="AC35" s="329">
        <v>2026</v>
      </c>
      <c r="AG35" s="127" t="s">
        <v>98</v>
      </c>
      <c r="AH35" s="329">
        <v>2037</v>
      </c>
      <c r="AL35" s="127" t="s">
        <v>98</v>
      </c>
      <c r="AM35" s="329">
        <v>2026</v>
      </c>
      <c r="AQ35" s="127" t="s">
        <v>98</v>
      </c>
      <c r="AR35" s="329">
        <v>2028</v>
      </c>
      <c r="AV35" s="127" t="s">
        <v>98</v>
      </c>
      <c r="AW35" s="329">
        <v>2031</v>
      </c>
      <c r="BA35" s="127" t="s">
        <v>98</v>
      </c>
      <c r="BB35" s="329">
        <v>2024</v>
      </c>
      <c r="BF35" s="127" t="s">
        <v>98</v>
      </c>
      <c r="BG35" s="329">
        <v>2026</v>
      </c>
      <c r="BK35" s="127" t="s">
        <v>98</v>
      </c>
      <c r="BL35" s="329">
        <v>2029</v>
      </c>
    </row>
    <row r="36" spans="2:65">
      <c r="C36" s="177" t="s">
        <v>84</v>
      </c>
      <c r="D36" s="329">
        <v>1200</v>
      </c>
      <c r="H36" s="177" t="s">
        <v>84</v>
      </c>
      <c r="I36" s="329">
        <v>800</v>
      </c>
      <c r="M36" s="177" t="s">
        <v>84</v>
      </c>
      <c r="N36" s="329">
        <v>450</v>
      </c>
      <c r="R36" s="177" t="s">
        <v>84</v>
      </c>
      <c r="S36" s="329">
        <v>1500</v>
      </c>
      <c r="W36" s="177" t="s">
        <v>84</v>
      </c>
      <c r="X36" s="329">
        <v>1500</v>
      </c>
      <c r="AB36" s="177" t="s">
        <v>84</v>
      </c>
      <c r="AC36" s="329">
        <v>600</v>
      </c>
      <c r="AG36" s="177" t="s">
        <v>84</v>
      </c>
      <c r="AH36" s="329">
        <v>100</v>
      </c>
      <c r="AL36" s="177" t="s">
        <v>84</v>
      </c>
      <c r="AM36" s="329">
        <v>130</v>
      </c>
      <c r="AQ36" s="177" t="s">
        <v>84</v>
      </c>
      <c r="AR36" s="329">
        <v>460</v>
      </c>
      <c r="AV36" s="177" t="s">
        <v>84</v>
      </c>
      <c r="AW36" s="329">
        <v>1040</v>
      </c>
      <c r="BA36" s="177" t="s">
        <v>84</v>
      </c>
      <c r="BB36" s="329">
        <v>1</v>
      </c>
      <c r="BF36" s="177" t="s">
        <v>84</v>
      </c>
      <c r="BG36" s="329">
        <v>615</v>
      </c>
      <c r="BK36" s="177" t="s">
        <v>84</v>
      </c>
      <c r="BL36" s="329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173.29172033536</v>
      </c>
      <c r="L37" s="128"/>
      <c r="M37" s="127" t="s">
        <v>143</v>
      </c>
      <c r="N37" s="127">
        <v>289.84699060154003</v>
      </c>
      <c r="Q37" s="128"/>
      <c r="R37" s="127" t="s">
        <v>143</v>
      </c>
      <c r="S37" s="127">
        <v>0</v>
      </c>
      <c r="V37" s="128"/>
      <c r="W37" s="127" t="s">
        <v>143</v>
      </c>
      <c r="X37" s="127">
        <v>433.34500439786996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51.662511825560003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16.791391384359997</v>
      </c>
    </row>
    <row r="38" spans="2:65">
      <c r="B38" s="128"/>
      <c r="C38" s="127" t="s">
        <v>144</v>
      </c>
      <c r="D38" s="327">
        <v>6.0831565943468884E-2</v>
      </c>
      <c r="G38" s="128"/>
      <c r="H38" s="127" t="s">
        <v>144</v>
      </c>
      <c r="I38" s="327">
        <v>6.0831565943468884E-2</v>
      </c>
      <c r="L38" s="128"/>
      <c r="M38" s="127" t="s">
        <v>144</v>
      </c>
      <c r="N38" s="327">
        <v>6.0831565943468884E-2</v>
      </c>
      <c r="Q38" s="128"/>
      <c r="R38" s="127" t="s">
        <v>144</v>
      </c>
      <c r="S38" s="327">
        <v>6.0831565943468884E-2</v>
      </c>
      <c r="V38" s="128"/>
      <c r="W38" s="127" t="s">
        <v>144</v>
      </c>
      <c r="X38" s="327">
        <v>6.0831565943468884E-2</v>
      </c>
      <c r="AA38" s="128"/>
      <c r="AB38" s="127" t="s">
        <v>144</v>
      </c>
      <c r="AC38" s="327">
        <v>6.0831565943468884E-2</v>
      </c>
      <c r="AF38" s="128"/>
      <c r="AG38" s="127" t="s">
        <v>144</v>
      </c>
      <c r="AH38" s="327">
        <v>6.0831565943468884E-2</v>
      </c>
      <c r="AK38" s="128"/>
      <c r="AL38" s="127" t="s">
        <v>144</v>
      </c>
      <c r="AM38" s="327">
        <v>6.0831565943468884E-2</v>
      </c>
      <c r="AP38" s="128"/>
      <c r="AQ38" s="127" t="s">
        <v>144</v>
      </c>
      <c r="AR38" s="327">
        <v>6.0831565943468884E-2</v>
      </c>
      <c r="AU38" s="128"/>
      <c r="AV38" s="127" t="s">
        <v>144</v>
      </c>
      <c r="AW38" s="327">
        <v>6.0831565943468884E-2</v>
      </c>
      <c r="AZ38" s="128"/>
      <c r="BA38" s="127" t="s">
        <v>144</v>
      </c>
      <c r="BB38" s="327">
        <v>6.0831565943468884E-2</v>
      </c>
      <c r="BE38" s="128"/>
      <c r="BF38" s="127" t="s">
        <v>144</v>
      </c>
      <c r="BG38" s="327">
        <v>6.0831565943468884E-2</v>
      </c>
      <c r="BJ38" s="128"/>
      <c r="BK38" s="127" t="s">
        <v>144</v>
      </c>
      <c r="BL38" s="327">
        <v>6.0831565943468884E-2</v>
      </c>
    </row>
    <row r="39" spans="2:65" ht="41.25" customHeight="1">
      <c r="B39" s="419" t="s">
        <v>157</v>
      </c>
      <c r="C39" s="420"/>
      <c r="D39" s="328">
        <f>D37*1000000*D38/(D36*1000)</f>
        <v>58.544856686682266</v>
      </c>
      <c r="G39" s="419" t="s">
        <v>148</v>
      </c>
      <c r="H39" s="420"/>
      <c r="I39" s="328">
        <f>I37*1000000*I38/(I36*1000)</f>
        <v>13.177008391297024</v>
      </c>
      <c r="L39" s="419" t="s">
        <v>160</v>
      </c>
      <c r="M39" s="420"/>
      <c r="N39" s="328">
        <f>N37*1000000*N38/(N36*1000)</f>
        <v>39.181880716207971</v>
      </c>
      <c r="Q39" s="420" t="s">
        <v>149</v>
      </c>
      <c r="R39" s="420"/>
      <c r="S39" s="328">
        <f>S37*1000000*S38/(S36*1000)</f>
        <v>0</v>
      </c>
      <c r="V39" s="420" t="s">
        <v>164</v>
      </c>
      <c r="W39" s="420"/>
      <c r="X39" s="328">
        <f>X37*1000000*X38/(X36*1000)</f>
        <v>17.574036807534558</v>
      </c>
      <c r="AA39" s="420" t="s">
        <v>167</v>
      </c>
      <c r="AB39" s="420"/>
      <c r="AC39" s="328">
        <f>AC37*1000000*AC38/(AC36*1000)</f>
        <v>54.441007169221002</v>
      </c>
      <c r="AF39" s="420" t="s">
        <v>149</v>
      </c>
      <c r="AG39" s="420"/>
      <c r="AH39" s="328">
        <f>AH37*1000000*AH38/(AH36*1000)</f>
        <v>31.427114949217941</v>
      </c>
      <c r="AK39" s="420" t="s">
        <v>167</v>
      </c>
      <c r="AL39" s="420"/>
      <c r="AM39" s="328">
        <f>AM37*1000000*AM38/(AM36*1000)</f>
        <v>24.740174248339812</v>
      </c>
      <c r="AP39" s="420" t="s">
        <v>169</v>
      </c>
      <c r="AQ39" s="420"/>
      <c r="AR39" s="328">
        <f>AR37*1000000*AR38/(AR36*1000)</f>
        <v>9.0939944302083777</v>
      </c>
      <c r="AU39" s="420" t="s">
        <v>170</v>
      </c>
      <c r="AV39" s="420"/>
      <c r="AW39" s="328">
        <f>AW37*1000000*AW38/(AW36*1000)</f>
        <v>12.45513744317196</v>
      </c>
      <c r="AZ39" s="420" t="s">
        <v>142</v>
      </c>
      <c r="BA39" s="420"/>
      <c r="BB39" s="328">
        <f>BB37*1000000*BB38/(BB36*1000)</f>
        <v>578.93401308399336</v>
      </c>
      <c r="BE39" s="420" t="s">
        <v>167</v>
      </c>
      <c r="BF39" s="420"/>
      <c r="BG39" s="328">
        <f>BG37*1000000*BG38/(BG36*1000)</f>
        <v>2.5355612781817829</v>
      </c>
      <c r="BJ39" s="419" t="s">
        <v>211</v>
      </c>
      <c r="BK39" s="420"/>
      <c r="BL39" s="328">
        <f>BL37*1000000*BL38/(BL36*1000)</f>
        <v>5.6747035126682794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5"/>
    </row>
    <row r="41" spans="2:65">
      <c r="E41" s="127"/>
      <c r="I41" s="129"/>
      <c r="J41" s="129"/>
      <c r="K41" s="135"/>
    </row>
    <row r="42" spans="2:65">
      <c r="D42" s="149"/>
    </row>
    <row r="43" spans="2:65">
      <c r="B43"/>
      <c r="C43"/>
      <c r="D43"/>
      <c r="E43"/>
      <c r="F43"/>
      <c r="G43"/>
      <c r="H43"/>
      <c r="I43"/>
      <c r="J43"/>
      <c r="K43"/>
    </row>
    <row r="44" spans="2:65">
      <c r="B44"/>
      <c r="C44"/>
      <c r="D44"/>
      <c r="E44"/>
      <c r="F44"/>
      <c r="G44"/>
      <c r="H44"/>
      <c r="I44"/>
      <c r="J44"/>
      <c r="K44"/>
    </row>
    <row r="45" spans="2:65">
      <c r="B45"/>
      <c r="C45"/>
      <c r="D45"/>
      <c r="E45"/>
      <c r="F45"/>
      <c r="G45"/>
      <c r="H45"/>
      <c r="I45"/>
      <c r="J45"/>
      <c r="K45"/>
    </row>
    <row r="46" spans="2:65">
      <c r="B46"/>
      <c r="C46"/>
      <c r="D46"/>
      <c r="E46"/>
      <c r="F46"/>
      <c r="G46"/>
      <c r="H46"/>
      <c r="I46"/>
      <c r="J46"/>
      <c r="K46"/>
    </row>
    <row r="47" spans="2:65">
      <c r="B47"/>
      <c r="C47"/>
      <c r="D47"/>
      <c r="E47"/>
      <c r="F47"/>
      <c r="G47"/>
      <c r="H47"/>
      <c r="I47"/>
      <c r="J47"/>
      <c r="K47"/>
    </row>
    <row r="48" spans="2:65" s="118" customFormat="1">
      <c r="B48"/>
      <c r="C48"/>
      <c r="D48"/>
      <c r="E48"/>
      <c r="F48"/>
      <c r="G48"/>
      <c r="H48"/>
      <c r="I48"/>
      <c r="J48"/>
      <c r="K48"/>
      <c r="L48" s="116"/>
      <c r="M48" s="116"/>
      <c r="N48" s="116"/>
      <c r="O48" s="116"/>
      <c r="P48" s="116"/>
      <c r="BG48" s="157"/>
      <c r="BL48" s="157"/>
    </row>
    <row r="49" spans="2:64" s="118" customFormat="1">
      <c r="B49"/>
      <c r="C49"/>
      <c r="D49"/>
      <c r="E49"/>
      <c r="F49"/>
      <c r="G49"/>
      <c r="H49"/>
      <c r="I49"/>
      <c r="J49"/>
      <c r="K49"/>
      <c r="L49" s="116"/>
      <c r="M49" s="116"/>
      <c r="N49" s="116"/>
      <c r="O49" s="116"/>
      <c r="P49" s="116"/>
      <c r="BG49" s="157"/>
      <c r="BL49" s="157"/>
    </row>
    <row r="50" spans="2:64" s="118" customFormat="1">
      <c r="B50"/>
      <c r="C50"/>
      <c r="D50"/>
      <c r="E50"/>
      <c r="F50"/>
      <c r="G50"/>
      <c r="H50"/>
      <c r="I50"/>
      <c r="J50"/>
      <c r="K50"/>
      <c r="BG50" s="157"/>
      <c r="BL50" s="157"/>
    </row>
    <row r="51" spans="2:64" s="118" customFormat="1">
      <c r="B51"/>
      <c r="C51"/>
      <c r="D51"/>
      <c r="E51"/>
      <c r="F51"/>
      <c r="G51"/>
      <c r="H51"/>
      <c r="I51"/>
      <c r="J51"/>
      <c r="K51"/>
      <c r="BG51" s="157"/>
      <c r="BL51" s="157"/>
    </row>
    <row r="52" spans="2:64">
      <c r="B52"/>
      <c r="C52"/>
      <c r="D52"/>
      <c r="E52"/>
      <c r="F52"/>
      <c r="G52"/>
      <c r="H52"/>
      <c r="I52"/>
      <c r="J52"/>
      <c r="K52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6"/>
      <c r="D64" s="149"/>
    </row>
    <row r="65" spans="3:4">
      <c r="C65" s="146"/>
      <c r="D65" s="149"/>
    </row>
    <row r="66" spans="3:4">
      <c r="C66" s="146"/>
      <c r="D66" s="149"/>
    </row>
    <row r="67" spans="3:4">
      <c r="C67" s="146"/>
      <c r="D67" s="149"/>
    </row>
    <row r="68" spans="3:4">
      <c r="C68" s="146"/>
      <c r="D68" s="149"/>
    </row>
    <row r="69" spans="3:4">
      <c r="C69" s="146"/>
      <c r="D69" s="149"/>
    </row>
    <row r="70" spans="3:4">
      <c r="C70" s="146"/>
      <c r="D70" s="149"/>
    </row>
    <row r="71" spans="3:4">
      <c r="C71" s="146"/>
      <c r="D71" s="149"/>
    </row>
    <row r="72" spans="3:4">
      <c r="C72" s="146"/>
      <c r="D72" s="149"/>
    </row>
    <row r="73" spans="3:4">
      <c r="C73" s="146"/>
      <c r="D73" s="149"/>
    </row>
  </sheetData>
  <mergeCells count="26"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O34" sqref="O34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11.16406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217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>
        <f>(D12+E12+F12)</f>
        <v>0</v>
      </c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60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60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>
        <v>2695.7550000000001</v>
      </c>
      <c r="D20" s="127">
        <f>C20*$C$62</f>
        <v>146.07704804045611</v>
      </c>
      <c r="E20" s="127">
        <v>37.566000000000003</v>
      </c>
      <c r="F20" s="188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3">
        <f t="shared" si="0"/>
        <v>2042</v>
      </c>
      <c r="C36" s="134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3">
        <f t="shared" si="0"/>
        <v>2043</v>
      </c>
      <c r="C37" s="134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0.0541878056575824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Borah Solar with Storage - 28%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2026</v>
      </c>
    </row>
    <row r="55" spans="2:25">
      <c r="B55" s="85" t="s">
        <v>156</v>
      </c>
      <c r="C55" s="367"/>
      <c r="D55" s="116" t="s">
        <v>65</v>
      </c>
      <c r="O55" s="261">
        <v>600</v>
      </c>
      <c r="P55" s="116" t="s">
        <v>32</v>
      </c>
    </row>
    <row r="56" spans="2:25">
      <c r="B56" s="85" t="s">
        <v>156</v>
      </c>
      <c r="C56" s="145"/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156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 t="str">
        <f>LEFT(RIGHT(INDEX('Table 3 TransCost'!$39:$39,1,MATCH(F60,'Table 3 TransCost'!$4:$4,0)),6),5)</f>
        <v>2026$</v>
      </c>
      <c r="C60" s="148">
        <f>INDEX('Table 3 TransCost'!$39:$39,1,MATCH(F60,'Table 3 TransCost'!$4:$4,0)+2)</f>
        <v>54.441007169221002</v>
      </c>
      <c r="D60" s="116" t="s">
        <v>150</v>
      </c>
      <c r="F60" s="116" t="s">
        <v>163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5.4187805657582425E-2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0.27900000000000003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2" orientation="landscape" r:id="rId1"/>
  <headerFooter alignWithMargins="0"/>
  <rowBreaks count="1" manualBreakCount="1">
    <brk id="5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91"/>
  <sheetViews>
    <sheetView view="pageBreakPreview" zoomScale="60" zoomScaleNormal="70" workbookViewId="0">
      <selection activeCell="N37" sqref="N37"/>
    </sheetView>
  </sheetViews>
  <sheetFormatPr defaultColWidth="9.33203125" defaultRowHeight="12.75"/>
  <cols>
    <col min="1" max="1" width="13.33203125" style="116" customWidth="1"/>
    <col min="2" max="2" width="15" style="116" customWidth="1"/>
    <col min="3" max="3" width="12.33203125" style="116" bestFit="1" customWidth="1"/>
    <col min="4" max="4" width="19.83203125" style="116" customWidth="1"/>
    <col min="5" max="5" width="8.83203125" style="116" customWidth="1"/>
    <col min="6" max="6" width="13.5" style="116" customWidth="1"/>
    <col min="7" max="8" width="9.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1640625" style="116" customWidth="1"/>
    <col min="13" max="13" width="15" style="116" hidden="1" customWidth="1"/>
    <col min="14" max="14" width="5.6640625" style="154" customWidth="1"/>
    <col min="15" max="15" width="9.33203125" style="116" customWidth="1"/>
    <col min="16" max="17" width="16" style="116" customWidth="1"/>
    <col min="18" max="18" width="18.1640625" style="116" customWidth="1"/>
    <col min="19" max="19" width="9.33203125" style="116"/>
    <col min="20" max="20" width="22.33203125" style="116" customWidth="1"/>
    <col min="21" max="21" width="18.164062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75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75">
      <c r="B2" s="114" t="s">
        <v>218</v>
      </c>
      <c r="C2" s="115"/>
      <c r="D2" s="115"/>
      <c r="E2" s="115"/>
      <c r="F2" s="115"/>
      <c r="G2" s="115"/>
      <c r="H2" s="115"/>
      <c r="I2" s="115"/>
      <c r="J2" s="115"/>
    </row>
    <row r="3" spans="2:27" ht="15.75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151</v>
      </c>
      <c r="M5" s="202"/>
      <c r="N5" s="202"/>
      <c r="P5" s="202"/>
      <c r="R5" s="259"/>
      <c r="S5" s="118"/>
      <c r="T5" s="118"/>
      <c r="U5" s="118"/>
      <c r="V5" s="118"/>
      <c r="W5" s="118"/>
      <c r="X5" s="118"/>
      <c r="Y5" s="336"/>
      <c r="Z5" s="336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0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75">
      <c r="B9" s="43" t="str">
        <f>C52</f>
        <v>2021 IRP Update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5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3">
        <f t="shared" si="0"/>
        <v>2018</v>
      </c>
      <c r="C12" s="134"/>
      <c r="D12" s="127"/>
      <c r="E12" s="145"/>
      <c r="F12" s="145"/>
      <c r="G12" s="129"/>
      <c r="H12" s="145"/>
      <c r="I12" s="129"/>
      <c r="J12" s="129"/>
      <c r="K12" s="127"/>
      <c r="L12" s="118"/>
      <c r="N12" s="116"/>
      <c r="R12" s="118"/>
      <c r="S12" s="118"/>
      <c r="T12" s="157"/>
      <c r="U12" s="153"/>
      <c r="V12" s="153"/>
      <c r="W12" s="118"/>
      <c r="X12" s="118"/>
      <c r="Y12" s="153"/>
      <c r="Z12" s="153"/>
      <c r="AA12" s="118"/>
    </row>
    <row r="13" spans="2:27" hidden="1">
      <c r="B13" s="133">
        <f t="shared" si="0"/>
        <v>2019</v>
      </c>
      <c r="C13" s="134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3"/>
      <c r="W13" s="118"/>
      <c r="X13" s="118"/>
      <c r="Y13" s="153"/>
      <c r="Z13" s="153"/>
      <c r="AA13" s="118"/>
    </row>
    <row r="14" spans="2:27" hidden="1">
      <c r="B14" s="133">
        <f t="shared" si="0"/>
        <v>2020</v>
      </c>
      <c r="C14" s="134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364"/>
      <c r="Q14" s="365"/>
      <c r="R14" s="118"/>
      <c r="S14" s="118"/>
      <c r="T14" s="118"/>
      <c r="U14" s="118"/>
      <c r="V14" s="153"/>
      <c r="W14" s="118"/>
      <c r="X14" s="118"/>
      <c r="Y14" s="153"/>
      <c r="Z14" s="153"/>
      <c r="AA14" s="118"/>
    </row>
    <row r="15" spans="2:27">
      <c r="B15" s="133">
        <f t="shared" si="0"/>
        <v>2021</v>
      </c>
      <c r="C15" s="134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366"/>
      <c r="P15" s="364"/>
      <c r="Q15" s="365"/>
      <c r="R15" s="118"/>
      <c r="S15" s="118"/>
      <c r="T15" s="118"/>
      <c r="U15" s="118"/>
      <c r="V15" s="153"/>
      <c r="W15" s="118"/>
      <c r="X15" s="118"/>
      <c r="Y15" s="153"/>
      <c r="Z15" s="153"/>
      <c r="AA15" s="118"/>
    </row>
    <row r="16" spans="2:27">
      <c r="B16" s="133">
        <f t="shared" si="0"/>
        <v>2022</v>
      </c>
      <c r="C16" s="134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3"/>
      <c r="W16" s="118"/>
      <c r="X16" s="118"/>
      <c r="Y16" s="153"/>
      <c r="Z16" s="153"/>
      <c r="AA16" s="118"/>
    </row>
    <row r="17" spans="2:28">
      <c r="B17" s="133">
        <f t="shared" si="0"/>
        <v>2023</v>
      </c>
      <c r="C17" s="134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3"/>
      <c r="W17" s="118"/>
      <c r="X17" s="118"/>
      <c r="Y17" s="153"/>
      <c r="Z17" s="153"/>
      <c r="AA17" s="118"/>
    </row>
    <row r="18" spans="2:28">
      <c r="B18" s="133">
        <f t="shared" si="0"/>
        <v>2024</v>
      </c>
      <c r="C18" s="134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3"/>
      <c r="Q18" s="148"/>
      <c r="R18" s="118"/>
      <c r="S18" s="118"/>
      <c r="T18" s="157"/>
      <c r="U18" s="153"/>
      <c r="V18" s="153"/>
      <c r="W18" s="118"/>
      <c r="X18" s="153"/>
      <c r="Y18" s="153"/>
      <c r="Z18" s="153"/>
      <c r="AA18" s="340"/>
      <c r="AB18" s="262"/>
    </row>
    <row r="19" spans="2:28">
      <c r="B19" s="133">
        <f t="shared" si="0"/>
        <v>2025</v>
      </c>
      <c r="C19" s="134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57"/>
      <c r="U19" s="153"/>
      <c r="V19" s="153"/>
      <c r="W19" s="118"/>
      <c r="X19" s="153"/>
      <c r="Y19" s="153"/>
      <c r="Z19" s="153"/>
      <c r="AA19" s="118"/>
    </row>
    <row r="20" spans="2:28">
      <c r="B20" s="133">
        <f t="shared" si="0"/>
        <v>2026</v>
      </c>
      <c r="C20" s="134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3"/>
      <c r="S20" s="118"/>
      <c r="T20" s="157"/>
      <c r="U20" s="153"/>
      <c r="V20" s="153"/>
      <c r="W20" s="118"/>
      <c r="X20" s="153"/>
      <c r="Y20" s="153"/>
      <c r="Z20" s="153"/>
      <c r="AA20" s="118"/>
    </row>
    <row r="21" spans="2:28">
      <c r="B21" s="133">
        <f t="shared" si="0"/>
        <v>2027</v>
      </c>
      <c r="C21" s="134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3"/>
      <c r="S21" s="118"/>
      <c r="T21" s="157"/>
      <c r="U21" s="153"/>
      <c r="V21" s="153"/>
      <c r="W21" s="118"/>
      <c r="X21" s="153"/>
      <c r="Y21" s="153"/>
      <c r="Z21" s="153"/>
      <c r="AA21" s="118"/>
    </row>
    <row r="22" spans="2:28">
      <c r="B22" s="133">
        <f t="shared" si="0"/>
        <v>2028</v>
      </c>
      <c r="C22" s="134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3"/>
      <c r="S22" s="118"/>
      <c r="T22" s="157"/>
      <c r="U22" s="153"/>
      <c r="V22" s="153"/>
      <c r="W22" s="118"/>
      <c r="X22" s="153"/>
      <c r="Y22" s="153"/>
      <c r="Z22" s="153"/>
      <c r="AA22" s="118"/>
    </row>
    <row r="23" spans="2:28">
      <c r="B23" s="133">
        <f t="shared" si="0"/>
        <v>2029</v>
      </c>
      <c r="C23" s="134">
        <v>1006.571</v>
      </c>
      <c r="D23" s="127">
        <f>C23*$C$62</f>
        <v>87.328316133532738</v>
      </c>
      <c r="E23" s="127">
        <f>12018.7080000009/549</f>
        <v>21.892000000001637</v>
      </c>
      <c r="F23" s="188">
        <f>$C$60</f>
        <v>0</v>
      </c>
      <c r="G23" s="129">
        <f t="shared" ref="G23:G24" si="1">(D23+E23+F23)/(8.76*$C$63)</f>
        <v>74.808435707900259</v>
      </c>
      <c r="H23" s="127"/>
      <c r="I23" s="129">
        <f t="shared" ref="I23:I24" si="2">(G23+H23)</f>
        <v>74.808435707900259</v>
      </c>
      <c r="J23" s="129">
        <f t="shared" ref="J23:J24" si="3">ROUND(I23*$C$63*8.76,2)</f>
        <v>109.22</v>
      </c>
      <c r="K23" s="127">
        <f t="shared" ref="K23:K24" si="4">(D23+E23+F23)</f>
        <v>109.22031613353437</v>
      </c>
      <c r="L23" s="118"/>
      <c r="N23" s="116"/>
      <c r="R23" s="153"/>
      <c r="S23" s="118"/>
      <c r="T23" s="157"/>
      <c r="U23" s="153"/>
      <c r="V23" s="153"/>
      <c r="W23" s="118"/>
      <c r="X23" s="153"/>
      <c r="Y23" s="153"/>
      <c r="Z23" s="153"/>
      <c r="AA23" s="118"/>
    </row>
    <row r="24" spans="2:28">
      <c r="B24" s="133">
        <f t="shared" si="0"/>
        <v>2030</v>
      </c>
      <c r="C24" s="134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3"/>
      <c r="S24" s="118"/>
      <c r="T24" s="157"/>
      <c r="U24" s="153"/>
      <c r="V24" s="153"/>
      <c r="W24" s="118"/>
      <c r="X24" s="153"/>
      <c r="Y24" s="153"/>
      <c r="Z24" s="153"/>
      <c r="AA24" s="118"/>
    </row>
    <row r="25" spans="2:28">
      <c r="B25" s="133">
        <f t="shared" si="0"/>
        <v>2031</v>
      </c>
      <c r="C25" s="134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3"/>
      <c r="S25" s="118"/>
      <c r="T25" s="157"/>
      <c r="U25" s="153"/>
      <c r="V25" s="153"/>
      <c r="W25" s="118"/>
      <c r="X25" s="153"/>
      <c r="Y25" s="153"/>
      <c r="Z25" s="153"/>
      <c r="AA25" s="118"/>
    </row>
    <row r="26" spans="2:28">
      <c r="B26" s="133">
        <f t="shared" si="0"/>
        <v>2032</v>
      </c>
      <c r="C26" s="134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3"/>
      <c r="S26" s="118"/>
      <c r="T26" s="157"/>
      <c r="U26" s="153"/>
      <c r="V26" s="153"/>
      <c r="W26" s="118"/>
      <c r="X26" s="153"/>
      <c r="Y26" s="153"/>
      <c r="Z26" s="153"/>
      <c r="AA26" s="118"/>
    </row>
    <row r="27" spans="2:28">
      <c r="B27" s="133">
        <f t="shared" si="0"/>
        <v>2033</v>
      </c>
      <c r="C27" s="134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3"/>
      <c r="S27" s="118"/>
      <c r="T27" s="157"/>
      <c r="U27" s="153"/>
      <c r="V27" s="153"/>
      <c r="W27" s="118"/>
      <c r="X27" s="153"/>
      <c r="Y27" s="153"/>
      <c r="Z27" s="153"/>
      <c r="AA27" s="118"/>
    </row>
    <row r="28" spans="2:28">
      <c r="B28" s="133">
        <f t="shared" si="0"/>
        <v>2034</v>
      </c>
      <c r="C28" s="134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3"/>
      <c r="S28" s="118"/>
      <c r="T28" s="157"/>
      <c r="U28" s="153"/>
      <c r="V28" s="153"/>
      <c r="W28" s="118"/>
      <c r="X28" s="153"/>
      <c r="Y28" s="153"/>
      <c r="Z28" s="153"/>
      <c r="AA28" s="118"/>
    </row>
    <row r="29" spans="2:28">
      <c r="B29" s="133">
        <f t="shared" si="0"/>
        <v>2035</v>
      </c>
      <c r="C29" s="134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3"/>
      <c r="S29" s="118"/>
      <c r="T29" s="157"/>
      <c r="U29" s="153"/>
      <c r="V29" s="153"/>
      <c r="W29" s="118"/>
      <c r="X29" s="153"/>
      <c r="Y29" s="153"/>
      <c r="Z29" s="153"/>
      <c r="AA29" s="118"/>
    </row>
    <row r="30" spans="2:28">
      <c r="B30" s="133">
        <f t="shared" si="0"/>
        <v>2036</v>
      </c>
      <c r="C30" s="134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3"/>
      <c r="S30" s="118"/>
      <c r="T30" s="157"/>
      <c r="U30" s="153"/>
      <c r="V30" s="153"/>
      <c r="W30" s="118"/>
      <c r="X30" s="153"/>
      <c r="Y30" s="153"/>
      <c r="Z30" s="153"/>
      <c r="AA30" s="118"/>
    </row>
    <row r="31" spans="2:28">
      <c r="B31" s="133">
        <f t="shared" si="0"/>
        <v>2037</v>
      </c>
      <c r="C31" s="134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3"/>
      <c r="S31" s="118"/>
      <c r="T31" s="157"/>
      <c r="U31" s="153"/>
      <c r="V31" s="153"/>
      <c r="W31" s="118"/>
      <c r="X31" s="153"/>
      <c r="Y31" s="153"/>
      <c r="Z31" s="153"/>
      <c r="AA31" s="118"/>
    </row>
    <row r="32" spans="2:28">
      <c r="B32" s="133">
        <f t="shared" si="0"/>
        <v>2038</v>
      </c>
      <c r="C32" s="134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3"/>
      <c r="S32" s="118"/>
      <c r="T32" s="157"/>
      <c r="U32" s="153"/>
      <c r="V32" s="153"/>
      <c r="W32" s="118"/>
      <c r="X32" s="153"/>
      <c r="Y32" s="153"/>
      <c r="Z32" s="153"/>
      <c r="AA32" s="118"/>
    </row>
    <row r="33" spans="2:27">
      <c r="B33" s="133">
        <f t="shared" si="0"/>
        <v>2039</v>
      </c>
      <c r="C33" s="134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3">
        <f t="shared" si="0"/>
        <v>2040</v>
      </c>
      <c r="C34" s="134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3">
        <f t="shared" si="0"/>
        <v>2041</v>
      </c>
      <c r="C35" s="134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3">
        <f t="shared" si="0"/>
        <v>2042</v>
      </c>
      <c r="C36" s="134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3">
        <f t="shared" si="0"/>
        <v>2043</v>
      </c>
      <c r="C37" s="134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5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5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5"/>
      <c r="N40" s="116"/>
      <c r="O40" s="154"/>
      <c r="S40" s="118"/>
    </row>
    <row r="41" spans="2:27">
      <c r="N41" s="116"/>
      <c r="O41" s="154"/>
      <c r="S41" s="118"/>
    </row>
    <row r="42" spans="2:27" ht="14.25">
      <c r="B42" s="136" t="s">
        <v>25</v>
      </c>
      <c r="C42" s="137"/>
      <c r="D42" s="137"/>
      <c r="E42" s="137"/>
      <c r="F42" s="137"/>
      <c r="G42" s="137"/>
      <c r="H42" s="137"/>
      <c r="R42" s="118"/>
    </row>
    <row r="44" spans="2:27">
      <c r="B44" s="116" t="s">
        <v>63</v>
      </c>
      <c r="C44" s="138" t="s">
        <v>64</v>
      </c>
      <c r="D44" s="281" t="s">
        <v>155</v>
      </c>
    </row>
    <row r="45" spans="2:27">
      <c r="C45" s="138" t="str">
        <f>C7</f>
        <v>(a)</v>
      </c>
      <c r="D45" s="116" t="s">
        <v>65</v>
      </c>
    </row>
    <row r="46" spans="2:27">
      <c r="C46" s="138" t="str">
        <f>D7</f>
        <v>(b)</v>
      </c>
      <c r="D46" s="129" t="str">
        <f>"= "&amp;C7&amp;" x "&amp;C62</f>
        <v>= (a) x 0.0867582278185371</v>
      </c>
    </row>
    <row r="47" spans="2:27">
      <c r="C47" s="138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8" t="str">
        <f>I7</f>
        <v>(g)</v>
      </c>
      <c r="D48" s="129" t="str">
        <f>"= "&amp;$G$7&amp;" + "&amp;$H$7</f>
        <v>= (e) + (f)</v>
      </c>
    </row>
    <row r="49" spans="2:25">
      <c r="C49" s="138" t="str">
        <f>J7</f>
        <v>(h)</v>
      </c>
      <c r="D49" s="85" t="str">
        <f>D44</f>
        <v>Plant Costs  - 2021 IRP Update - Table 7.1 &amp; 7.2</v>
      </c>
    </row>
    <row r="50" spans="2:25">
      <c r="C50" s="138"/>
      <c r="D50" s="129"/>
    </row>
    <row r="51" spans="2:25" ht="13.5" thickBot="1"/>
    <row r="52" spans="2:25" ht="13.5" thickBot="1">
      <c r="C52" s="42" t="str">
        <f>B2&amp;" - "&amp;B3</f>
        <v>2021 IRP Update Stand Alone Battery WY DJ - 17% Capacity Factor</v>
      </c>
      <c r="D52" s="139"/>
      <c r="E52" s="139"/>
      <c r="F52" s="139"/>
      <c r="G52" s="139"/>
      <c r="H52" s="139"/>
      <c r="I52" s="140"/>
      <c r="J52" s="140"/>
      <c r="K52" s="141"/>
    </row>
    <row r="53" spans="2:25" ht="13.5" thickBot="1">
      <c r="C53" s="142" t="s">
        <v>66</v>
      </c>
      <c r="D53" s="143" t="s">
        <v>67</v>
      </c>
      <c r="E53" s="143"/>
      <c r="F53" s="143"/>
      <c r="G53" s="143"/>
      <c r="H53" s="143"/>
      <c r="I53" s="140"/>
      <c r="J53" s="140"/>
      <c r="K53" s="141"/>
    </row>
    <row r="54" spans="2:25">
      <c r="P54" s="116" t="s">
        <v>98</v>
      </c>
      <c r="Q54" s="116">
        <v>2029</v>
      </c>
    </row>
    <row r="55" spans="2:25">
      <c r="B55" s="85" t="s">
        <v>198</v>
      </c>
      <c r="C55" s="134">
        <v>1006.571</v>
      </c>
      <c r="D55" s="116" t="s">
        <v>65</v>
      </c>
      <c r="O55" s="261">
        <v>549</v>
      </c>
      <c r="P55" s="116" t="s">
        <v>32</v>
      </c>
    </row>
    <row r="56" spans="2:25">
      <c r="B56" s="85" t="s">
        <v>198</v>
      </c>
      <c r="C56" s="127">
        <v>21.891999999999999</v>
      </c>
      <c r="D56" s="116" t="s">
        <v>68</v>
      </c>
      <c r="R56" s="118"/>
    </row>
    <row r="57" spans="2:25" ht="24" customHeight="1">
      <c r="B57" s="85"/>
      <c r="C57" s="148"/>
      <c r="D57" s="116" t="s">
        <v>99</v>
      </c>
      <c r="Q57" s="202"/>
    </row>
    <row r="58" spans="2:25">
      <c r="B58" s="85" t="s">
        <v>198</v>
      </c>
      <c r="C58" s="145"/>
      <c r="D58" s="116" t="s">
        <v>69</v>
      </c>
      <c r="K58" s="118"/>
      <c r="L58" s="368"/>
      <c r="M58" s="52"/>
      <c r="N58" s="156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2"/>
      <c r="D59" s="116" t="s">
        <v>70</v>
      </c>
      <c r="I59" s="369" t="s">
        <v>90</v>
      </c>
      <c r="L59" s="370"/>
      <c r="M59" s="147"/>
      <c r="O59" s="146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34">
        <v>0</v>
      </c>
      <c r="C60" s="148"/>
      <c r="D60" s="116" t="s">
        <v>150</v>
      </c>
      <c r="K60" s="370"/>
      <c r="L60" s="370"/>
      <c r="M60" s="370"/>
      <c r="N60" s="157"/>
      <c r="O60" s="146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9"/>
      <c r="K61" s="370"/>
      <c r="L61" s="370"/>
      <c r="M61" s="370"/>
      <c r="N61" s="157"/>
      <c r="O61" s="370"/>
      <c r="R61" s="118"/>
      <c r="T61" s="118"/>
      <c r="U61" s="118"/>
      <c r="V61" s="118"/>
      <c r="W61" s="118"/>
      <c r="X61" s="118"/>
      <c r="Y61" s="118"/>
    </row>
    <row r="62" spans="2:25">
      <c r="C62" s="371">
        <v>8.6758227818537134E-2</v>
      </c>
      <c r="D62" s="116" t="s">
        <v>36</v>
      </c>
      <c r="E62" s="353"/>
      <c r="K62" s="271"/>
      <c r="L62" s="150"/>
      <c r="M62" s="150"/>
      <c r="O62" s="151"/>
    </row>
    <row r="63" spans="2:25">
      <c r="C63" s="372">
        <v>0.16666666666666666</v>
      </c>
      <c r="D63" s="116" t="s">
        <v>37</v>
      </c>
    </row>
    <row r="64" spans="2:25">
      <c r="D64" s="149"/>
    </row>
    <row r="65" spans="14:14" s="118" customFormat="1">
      <c r="N65" s="157"/>
    </row>
    <row r="82" spans="3:4">
      <c r="C82" s="146"/>
      <c r="D82" s="149"/>
    </row>
    <row r="83" spans="3:4">
      <c r="C83" s="146"/>
      <c r="D83" s="149"/>
    </row>
    <row r="84" spans="3:4">
      <c r="C84" s="146"/>
      <c r="D84" s="149"/>
    </row>
    <row r="85" spans="3:4">
      <c r="C85" s="146"/>
      <c r="D85" s="149"/>
    </row>
    <row r="86" spans="3:4">
      <c r="C86" s="146"/>
      <c r="D86" s="149"/>
    </row>
    <row r="87" spans="3:4">
      <c r="C87" s="146"/>
      <c r="D87" s="149"/>
    </row>
    <row r="88" spans="3:4">
      <c r="C88" s="146"/>
      <c r="D88" s="149"/>
    </row>
    <row r="89" spans="3:4">
      <c r="C89" s="146"/>
      <c r="D89" s="149"/>
    </row>
    <row r="90" spans="3:4">
      <c r="C90" s="146"/>
      <c r="D90" s="149"/>
    </row>
    <row r="91" spans="3:4">
      <c r="C91" s="146"/>
      <c r="D91" s="149"/>
    </row>
  </sheetData>
  <printOptions horizontalCentered="1"/>
  <pageMargins left="0.8" right="0.3" top="0.4" bottom="0.4" header="0.5" footer="0.2"/>
  <pageSetup scale="67" orientation="landscape" r:id="rId1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38</vt:i4>
      </vt:variant>
    </vt:vector>
  </HeadingPairs>
  <TitlesOfParts>
    <vt:vector size="61" baseType="lpstr">
      <vt:lpstr>Appendix B.1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Wind_2038</vt:lpstr>
      <vt:lpstr>Table 3 WV Wind_2026</vt:lpstr>
      <vt:lpstr>Table 3 YK WindwS_2029</vt:lpstr>
      <vt:lpstr>Table 3 WYE Wind_2029</vt:lpstr>
      <vt:lpstr>Table 3 WYE_DJ Wind_2028</vt:lpstr>
      <vt:lpstr>Table 3 PV wS SOR_2028</vt:lpstr>
      <vt:lpstr>Table 3 PV wS SOR_2030</vt:lpstr>
      <vt:lpstr>Table 3 PV wS YK_2029</vt:lpstr>
      <vt:lpstr>Table 3 PV wS UTN_2031</vt:lpstr>
      <vt:lpstr>Table 3 PV wS UTS_2032</vt:lpstr>
      <vt:lpstr>Table 3 SmNuc 345MW (NTN) 2028</vt:lpstr>
      <vt:lpstr>Table 3 NonE 206MW (UTN) 2031</vt:lpstr>
      <vt:lpstr>Table 3 NonE 206MW (Hgtn)</vt:lpstr>
      <vt:lpstr>Discount_Rate</vt:lpstr>
      <vt:lpstr>'Appendix B.1'!IRP21_Infl_Rate</vt:lpstr>
      <vt:lpstr>IRP21_Infl_Rate</vt:lpstr>
      <vt:lpstr>'Appendix B.1'!Print_Area</vt:lpstr>
      <vt:lpstr>'Table 1'!Print_Area</vt:lpstr>
      <vt:lpstr>'Table 2'!Print_Area</vt:lpstr>
      <vt:lpstr>'Table 3 NonE 206MW (Hgtn)'!Print_Area</vt:lpstr>
      <vt:lpstr>'Table 3 NonE 206MW (UTN) 2031'!Print_Area</vt:lpstr>
      <vt:lpstr>'Table 3 PNC Wind_2026'!Print_Area</vt:lpstr>
      <vt:lpstr>'Table 3 PNC Wind_2038'!Print_Area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UTS_2032'!Print_Area</vt:lpstr>
      <vt:lpstr>'Table 3 PV wS YK_2029'!Print_Area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Wind_2029'!Print_Area</vt:lpstr>
      <vt:lpstr>'Table 3 WYE_DJ Wind_2028'!Print_Area</vt:lpstr>
      <vt:lpstr>'Table 3 YK WindwS_2029'!Print_Area</vt:lpstr>
      <vt:lpstr>'Table 4'!Print_Area</vt:lpstr>
      <vt:lpstr>'Table 5'!Print_Area</vt:lpstr>
      <vt:lpstr>Table3ACsummary!Print_Area</vt:lpstr>
      <vt:lpstr>'Table 2'!Print_Titles</vt:lpstr>
      <vt:lpstr>'Table 3 NonE 206MW (Hgtn)'!Print_Titles</vt:lpstr>
      <vt:lpstr>'Table 3 NonE 206MW (UTN) 2031'!Print_Titles</vt:lpstr>
      <vt:lpstr>'Table 3 SmNuc 345MW (NTN) 2028'!Print_Titles</vt:lpstr>
      <vt:lpstr>'Table 2'!Study_Cap_Adj</vt:lpstr>
      <vt:lpstr>'Table 3 NonE 206MW (Hgtn)'!Study_Cap_Adj</vt:lpstr>
      <vt:lpstr>'Table 3 NonE 206MW (UTN) 2031'!Study_Cap_Adj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2022-12-22T20:00:24Z</cp:lastPrinted>
  <dcterms:created xsi:type="dcterms:W3CDTF">2001-03-19T15:45:46Z</dcterms:created>
  <dcterms:modified xsi:type="dcterms:W3CDTF">2022-12-27T23:41:07Z</dcterms:modified>
</cp:coreProperties>
</file>