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electric\22docs\2203536\"/>
    </mc:Choice>
  </mc:AlternateContent>
  <bookViews>
    <workbookView xWindow="5805" yWindow="1080" windowWidth="21600" windowHeight="11385"/>
  </bookViews>
  <sheets>
    <sheet name="Summary" sheetId="14" r:id="rId1"/>
    <sheet name="Incremental" sheetId="6" r:id="rId2"/>
    <sheet name="Total" sheetId="5" r:id="rId3"/>
    <sheet name="Energy" sheetId="12" r:id="rId4"/>
    <sheet name="Capacity" sheetId="10" r:id="rId5"/>
  </sheets>
  <definedNames>
    <definedName name="_Order1" hidden="1">255</definedName>
    <definedName name="_Order2" hidden="1">0</definedName>
    <definedName name="Discount_Rate" localSheetId="0">Total!$B$41</definedName>
    <definedName name="Discount_Rate">Total!$B$41</definedName>
    <definedName name="_xlnm.Print_Area" localSheetId="4">Capacity!$A$1:$N$37</definedName>
    <definedName name="_xlnm.Print_Area" localSheetId="3">Energy!$A$1:$H$37</definedName>
    <definedName name="_xlnm.Print_Area" localSheetId="1">Incremental!$A$1:$G$42</definedName>
    <definedName name="_xlnm.Print_Area" localSheetId="2">Total!$A$1:$H$40</definedName>
    <definedName name="Study_CF">#REF!</definedName>
    <definedName name="Study_MW">#REF!</definedName>
    <definedName name="Study_Nam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0" i="6" l="1"/>
  <c r="E10" i="6"/>
  <c r="E7" i="6"/>
  <c r="C7" i="14" s="1"/>
  <c r="L8" i="10"/>
  <c r="F7" i="5" l="1"/>
  <c r="F7" i="6" l="1"/>
  <c r="L10" i="10"/>
  <c r="B39" i="6" l="1"/>
  <c r="B38" i="5" l="1"/>
  <c r="B38" i="6" l="1"/>
  <c r="K11" i="10" l="1"/>
  <c r="K8" i="10"/>
  <c r="J8" i="10"/>
  <c r="G8" i="10"/>
  <c r="D7" i="5" l="1"/>
  <c r="C7" i="6"/>
  <c r="C5" i="14" s="1"/>
  <c r="B11" i="5" l="1"/>
  <c r="B11" i="6" s="1"/>
  <c r="J10" i="10" l="1"/>
  <c r="K10" i="10"/>
  <c r="B37" i="5"/>
  <c r="B37" i="6" s="1"/>
  <c r="B34" i="10"/>
  <c r="B35" i="12"/>
  <c r="C8" i="14" l="1"/>
  <c r="G7" i="5"/>
  <c r="D7" i="6" l="1"/>
  <c r="C6" i="14" l="1"/>
  <c r="M8" i="10"/>
  <c r="B4" i="10"/>
  <c r="I11" i="10" l="1"/>
  <c r="B12" i="10"/>
  <c r="I10" i="10"/>
  <c r="K12" i="10" l="1"/>
  <c r="I12" i="10"/>
  <c r="B13" i="10"/>
  <c r="K13" i="10" l="1"/>
  <c r="I13" i="10"/>
  <c r="B14" i="10"/>
  <c r="K14" i="10" l="1"/>
  <c r="I14" i="10"/>
  <c r="B15" i="10"/>
  <c r="K15" i="10" l="1"/>
  <c r="I15" i="10"/>
  <c r="B16" i="10"/>
  <c r="K16" i="10" l="1"/>
  <c r="I16" i="10"/>
  <c r="B17" i="10"/>
  <c r="I17" i="10" l="1"/>
  <c r="K17" i="10"/>
  <c r="B18" i="10"/>
  <c r="K18" i="10" l="1"/>
  <c r="I18" i="10"/>
  <c r="B19" i="10"/>
  <c r="K19" i="10" l="1"/>
  <c r="I19" i="10"/>
  <c r="B20" i="10"/>
  <c r="I20" i="10" l="1"/>
  <c r="K20" i="10"/>
  <c r="B21" i="10"/>
  <c r="I21" i="10" l="1"/>
  <c r="K21" i="10"/>
  <c r="B22" i="10"/>
  <c r="K22" i="10" l="1"/>
  <c r="I22" i="10"/>
  <c r="B23" i="10"/>
  <c r="I23" i="10" l="1"/>
  <c r="K23" i="10"/>
  <c r="B24" i="10"/>
  <c r="I24" i="10" l="1"/>
  <c r="K24" i="10"/>
  <c r="B25" i="10"/>
  <c r="I25" i="10" l="1"/>
  <c r="K25" i="10"/>
  <c r="B30" i="10"/>
  <c r="B26" i="10"/>
  <c r="I26" i="10" l="1"/>
  <c r="K26" i="10"/>
  <c r="B31" i="10"/>
  <c r="B27" i="10"/>
  <c r="K27" i="10" l="1"/>
  <c r="I27" i="10"/>
  <c r="B32" i="10"/>
  <c r="C7" i="12" l="1"/>
  <c r="C8" i="5" l="1"/>
  <c r="C7" i="5"/>
  <c r="B1" i="12" l="1"/>
  <c r="B3" i="12"/>
  <c r="B10" i="12"/>
  <c r="B34" i="12"/>
  <c r="B12" i="12" l="1"/>
  <c r="C11" i="5" l="1"/>
  <c r="B13" i="12"/>
  <c r="C12" i="5" l="1"/>
  <c r="B14" i="12"/>
  <c r="C13" i="5" l="1"/>
  <c r="B15" i="12"/>
  <c r="C14" i="5" l="1"/>
  <c r="B16" i="12"/>
  <c r="C15" i="5" l="1"/>
  <c r="B17" i="12"/>
  <c r="C16" i="5" l="1"/>
  <c r="B18" i="12"/>
  <c r="C17" i="5" l="1"/>
  <c r="B19" i="12"/>
  <c r="C18" i="5" l="1"/>
  <c r="B20" i="12"/>
  <c r="C19" i="5" l="1"/>
  <c r="B21" i="12"/>
  <c r="C20" i="5" l="1"/>
  <c r="B22" i="12"/>
  <c r="C21" i="5" l="1"/>
  <c r="B23" i="12"/>
  <c r="C22" i="5" l="1"/>
  <c r="B24" i="12"/>
  <c r="B25" i="12" l="1"/>
  <c r="C23" i="5"/>
  <c r="B30" i="12" l="1"/>
  <c r="B26" i="12"/>
  <c r="C24" i="5"/>
  <c r="B31" i="12" l="1"/>
  <c r="B27" i="12"/>
  <c r="C25" i="5"/>
  <c r="B34" i="6"/>
  <c r="B32" i="12" l="1"/>
  <c r="C26" i="5"/>
  <c r="E7" i="5"/>
  <c r="C27" i="5" l="1"/>
  <c r="B10" i="6" l="1"/>
  <c r="B3" i="6"/>
  <c r="B1" i="6"/>
  <c r="B12" i="5" l="1"/>
  <c r="B13" i="5" l="1"/>
  <c r="B12" i="6"/>
  <c r="B13" i="6" l="1"/>
  <c r="B14" i="5"/>
  <c r="B4" i="12"/>
  <c r="B4" i="6"/>
  <c r="B4" i="5"/>
  <c r="B14" i="6" l="1"/>
  <c r="B15" i="6" s="1"/>
  <c r="B16" i="6" s="1"/>
  <c r="B17" i="6" s="1"/>
  <c r="B18" i="6" s="1"/>
  <c r="B19" i="6" s="1"/>
  <c r="B20" i="6" s="1"/>
  <c r="B21" i="6" s="1"/>
  <c r="B22" i="6" s="1"/>
  <c r="B23" i="6" s="1"/>
  <c r="B24" i="6" s="1"/>
  <c r="B25" i="6" s="1"/>
  <c r="B30" i="6" s="1"/>
  <c r="D3" i="14" s="1"/>
  <c r="B15" i="5"/>
  <c r="B26" i="6" l="1"/>
  <c r="B31" i="6" s="1"/>
  <c r="F3" i="14" s="1"/>
  <c r="B16" i="5"/>
  <c r="B27" i="6" l="1"/>
  <c r="B32" i="6" s="1"/>
  <c r="H3" i="14" s="1"/>
  <c r="B17" i="5"/>
  <c r="B18" i="5" l="1"/>
  <c r="B19" i="5" l="1"/>
  <c r="B20" i="5" l="1"/>
  <c r="B21" i="5" l="1"/>
  <c r="B22" i="5" l="1"/>
  <c r="B23" i="5" l="1"/>
  <c r="B24" i="5" l="1"/>
  <c r="B25" i="5" l="1"/>
  <c r="B30" i="5" s="1"/>
  <c r="B35" i="5"/>
  <c r="B26" i="5" l="1"/>
  <c r="B31" i="5" s="1"/>
  <c r="B35" i="6"/>
  <c r="B27" i="5" l="1"/>
  <c r="B32" i="5" s="1"/>
  <c r="M10" i="10" l="1"/>
  <c r="D10" i="6" l="1"/>
  <c r="G10" i="6" l="1"/>
  <c r="J14" i="10" l="1"/>
  <c r="D14" i="5" s="1"/>
  <c r="J15" i="10"/>
  <c r="D15" i="5" s="1"/>
  <c r="J16" i="10"/>
  <c r="D16" i="5" s="1"/>
  <c r="J17" i="10"/>
  <c r="D17" i="5" s="1"/>
  <c r="C15" i="6" l="1"/>
  <c r="J12" i="10"/>
  <c r="J11" i="10"/>
  <c r="C17" i="6"/>
  <c r="C14" i="6"/>
  <c r="J13" i="10"/>
  <c r="C16" i="6"/>
  <c r="D12" i="5" l="1"/>
  <c r="D13" i="5"/>
  <c r="D11" i="5"/>
  <c r="C13" i="6" l="1"/>
  <c r="J18" i="10"/>
  <c r="J19" i="10"/>
  <c r="D19" i="5" s="1"/>
  <c r="C11" i="6"/>
  <c r="C12" i="6"/>
  <c r="D18" i="5" l="1"/>
  <c r="C19" i="6"/>
  <c r="J22" i="10" l="1"/>
  <c r="D22" i="5" s="1"/>
  <c r="J20" i="10"/>
  <c r="C18" i="6"/>
  <c r="D20" i="5" l="1"/>
  <c r="C22" i="6"/>
  <c r="J21" i="10"/>
  <c r="D21" i="5" s="1"/>
  <c r="C21" i="6" l="1"/>
  <c r="C20" i="6"/>
  <c r="J24" i="10"/>
  <c r="D24" i="5" s="1"/>
  <c r="J25" i="10" l="1"/>
  <c r="D25" i="5" s="1"/>
  <c r="J23" i="10"/>
  <c r="C24" i="6"/>
  <c r="D23" i="5" l="1"/>
  <c r="C25" i="6"/>
  <c r="C23" i="6" l="1"/>
  <c r="J26" i="10" l="1"/>
  <c r="J27" i="10" l="1"/>
  <c r="D26" i="5"/>
  <c r="C26" i="6" l="1"/>
  <c r="D27" i="5"/>
  <c r="C27" i="6" l="1"/>
  <c r="I8" i="10" l="1"/>
  <c r="B36" i="5" l="1"/>
  <c r="B39" i="12"/>
  <c r="B36" i="6" l="1"/>
  <c r="B36" i="12"/>
  <c r="C32" i="5" l="1"/>
  <c r="H4" i="14" s="1"/>
  <c r="B40" i="10"/>
  <c r="B40" i="12"/>
  <c r="C31" i="5"/>
  <c r="F4" i="14" s="1"/>
  <c r="B41" i="6"/>
  <c r="C30" i="5"/>
  <c r="D4" i="14" s="1"/>
  <c r="B29" i="5"/>
  <c r="B29" i="6" s="1"/>
  <c r="C2" i="14" s="1"/>
  <c r="D30" i="5"/>
  <c r="D31" i="5"/>
  <c r="D32" i="5"/>
  <c r="C32" i="6" s="1"/>
  <c r="C31" i="6" l="1"/>
  <c r="C30" i="6"/>
  <c r="E5" i="14" s="1"/>
  <c r="G5" i="14"/>
  <c r="D31" i="12"/>
  <c r="D30" i="12"/>
  <c r="C31" i="12"/>
  <c r="B29" i="12"/>
  <c r="D32" i="12"/>
  <c r="C30" i="12"/>
  <c r="C32" i="12"/>
  <c r="I32" i="10"/>
  <c r="I30" i="10"/>
  <c r="K31" i="10"/>
  <c r="C30" i="10"/>
  <c r="I31" i="10"/>
  <c r="E32" i="10"/>
  <c r="E31" i="10"/>
  <c r="E30" i="10"/>
  <c r="K30" i="10"/>
  <c r="C32" i="10"/>
  <c r="C31" i="10"/>
  <c r="B29" i="10"/>
  <c r="K32" i="10"/>
  <c r="J30" i="10"/>
  <c r="D30" i="10"/>
  <c r="D31" i="10"/>
  <c r="D32" i="10"/>
  <c r="J31" i="10"/>
  <c r="J32" i="10"/>
  <c r="I5" i="14"/>
  <c r="L13" i="10" l="1"/>
  <c r="L11" i="10"/>
  <c r="L12" i="10"/>
  <c r="L20" i="10" l="1"/>
  <c r="L19" i="10"/>
  <c r="L24" i="10"/>
  <c r="L16" i="10"/>
  <c r="L15" i="10"/>
  <c r="L27" i="10"/>
  <c r="L26" i="10"/>
  <c r="L18" i="10"/>
  <c r="L22" i="10"/>
  <c r="L23" i="10"/>
  <c r="L21" i="10"/>
  <c r="L17" i="10"/>
  <c r="L25" i="10"/>
  <c r="L14" i="10" l="1"/>
  <c r="F32" i="10"/>
  <c r="F31" i="10"/>
  <c r="F30" i="10"/>
  <c r="L31" i="10" l="1"/>
  <c r="L32" i="10"/>
  <c r="L30" i="10"/>
  <c r="E14" i="5" l="1"/>
  <c r="E15" i="5"/>
  <c r="E20" i="5"/>
  <c r="E19" i="5"/>
  <c r="E17" i="5"/>
  <c r="E16" i="5"/>
  <c r="E18" i="5"/>
  <c r="D18" i="6" l="1"/>
  <c r="D20" i="6"/>
  <c r="D14" i="6"/>
  <c r="D16" i="6"/>
  <c r="D15" i="6"/>
  <c r="E11" i="5"/>
  <c r="D17" i="6"/>
  <c r="E12" i="5"/>
  <c r="E13" i="5"/>
  <c r="D19" i="6"/>
  <c r="D12" i="6" l="1"/>
  <c r="D11" i="6"/>
  <c r="D13" i="6"/>
  <c r="E24" i="5" l="1"/>
  <c r="E22" i="5"/>
  <c r="E25" i="5"/>
  <c r="E27" i="5"/>
  <c r="E26" i="5"/>
  <c r="E23" i="5"/>
  <c r="D22" i="6" l="1"/>
  <c r="D23" i="6"/>
  <c r="D26" i="6"/>
  <c r="D27" i="6"/>
  <c r="D24" i="6"/>
  <c r="E21" i="5"/>
  <c r="E32" i="12"/>
  <c r="E30" i="12"/>
  <c r="E31" i="12"/>
  <c r="D25" i="6"/>
  <c r="D21" i="6" l="1"/>
  <c r="E30" i="5"/>
  <c r="E31" i="5"/>
  <c r="E32" i="5"/>
  <c r="D31" i="6" l="1"/>
  <c r="D30" i="6"/>
  <c r="D32" i="6"/>
  <c r="E6" i="14" l="1"/>
  <c r="I6" i="14"/>
  <c r="G6" i="14"/>
  <c r="F14" i="5" l="1"/>
  <c r="F17" i="5"/>
  <c r="F15" i="5"/>
  <c r="F18" i="5"/>
  <c r="F20" i="5"/>
  <c r="F16" i="5"/>
  <c r="F19" i="5"/>
  <c r="E19" i="6" l="1"/>
  <c r="E15" i="6"/>
  <c r="E14" i="6"/>
  <c r="E16" i="6"/>
  <c r="E17" i="6"/>
  <c r="F11" i="5"/>
  <c r="E20" i="6"/>
  <c r="F12" i="5"/>
  <c r="F13" i="5"/>
  <c r="E18" i="6"/>
  <c r="E12" i="6" l="1"/>
  <c r="E11" i="6"/>
  <c r="E13" i="6"/>
  <c r="F22" i="5" l="1"/>
  <c r="F26" i="5"/>
  <c r="F25" i="5"/>
  <c r="F27" i="5"/>
  <c r="F23" i="5"/>
  <c r="F24" i="5"/>
  <c r="E24" i="6" l="1"/>
  <c r="F21" i="5"/>
  <c r="F32" i="12"/>
  <c r="F30" i="12"/>
  <c r="F31" i="12"/>
  <c r="E26" i="6"/>
  <c r="E22" i="6"/>
  <c r="E25" i="6"/>
  <c r="E23" i="6"/>
  <c r="E27" i="6"/>
  <c r="E21" i="6" l="1"/>
  <c r="F31" i="5"/>
  <c r="F30" i="5"/>
  <c r="F32" i="5"/>
  <c r="E31" i="6" l="1"/>
  <c r="E32" i="6"/>
  <c r="E30" i="6"/>
  <c r="I7" i="14" l="1"/>
  <c r="E7" i="14"/>
  <c r="G7" i="14"/>
  <c r="M14" i="10" l="1"/>
  <c r="M13" i="10" l="1"/>
  <c r="M12" i="10"/>
  <c r="M15" i="10"/>
  <c r="M11" i="10"/>
  <c r="M18" i="10" l="1"/>
  <c r="M17" i="10"/>
  <c r="M25" i="10"/>
  <c r="M22" i="10"/>
  <c r="M19" i="10"/>
  <c r="M26" i="10"/>
  <c r="M21" i="10"/>
  <c r="M23" i="10"/>
  <c r="M24" i="10"/>
  <c r="M27" i="10"/>
  <c r="M20" i="10"/>
  <c r="M16" i="10" l="1"/>
  <c r="G31" i="10"/>
  <c r="G30" i="10"/>
  <c r="G32" i="10"/>
  <c r="M30" i="10" l="1"/>
  <c r="M32" i="10"/>
  <c r="M31" i="10"/>
  <c r="G14" i="5" l="1"/>
  <c r="F14" i="6" s="1"/>
  <c r="G14" i="6" s="1"/>
  <c r="G13" i="5" l="1"/>
  <c r="G12" i="5"/>
  <c r="G20" i="5"/>
  <c r="F20" i="6" s="1"/>
  <c r="G20" i="6" s="1"/>
  <c r="G19" i="5"/>
  <c r="F19" i="6" s="1"/>
  <c r="G19" i="6" s="1"/>
  <c r="G16" i="5"/>
  <c r="F16" i="6" s="1"/>
  <c r="G16" i="6" s="1"/>
  <c r="G18" i="5"/>
  <c r="F18" i="6" s="1"/>
  <c r="G18" i="6" s="1"/>
  <c r="G15" i="5"/>
  <c r="F15" i="6" s="1"/>
  <c r="G15" i="6" s="1"/>
  <c r="G17" i="5"/>
  <c r="F17" i="6" s="1"/>
  <c r="G17" i="6" s="1"/>
  <c r="G11" i="5"/>
  <c r="F11" i="6" l="1"/>
  <c r="G11" i="6" s="1"/>
  <c r="F12" i="6"/>
  <c r="G12" i="6" s="1"/>
  <c r="F13" i="6"/>
  <c r="G13" i="6" s="1"/>
  <c r="G23" i="5" l="1"/>
  <c r="F23" i="6" s="1"/>
  <c r="G23" i="6" s="1"/>
  <c r="G24" i="5"/>
  <c r="F24" i="6" s="1"/>
  <c r="G24" i="6" s="1"/>
  <c r="G22" i="5"/>
  <c r="F22" i="6" s="1"/>
  <c r="G22" i="6" s="1"/>
  <c r="G21" i="5" l="1"/>
  <c r="G27" i="5"/>
  <c r="F27" i="6" s="1"/>
  <c r="G27" i="6" s="1"/>
  <c r="G26" i="5"/>
  <c r="F26" i="6" s="1"/>
  <c r="G26" i="6" s="1"/>
  <c r="G25" i="5"/>
  <c r="F25" i="6" s="1"/>
  <c r="G25" i="6" s="1"/>
  <c r="G31" i="12" l="1"/>
  <c r="G32" i="12"/>
  <c r="G30" i="12"/>
  <c r="F21" i="6"/>
  <c r="G21" i="6" s="1"/>
  <c r="G31" i="5"/>
  <c r="G30" i="5"/>
  <c r="G32" i="5"/>
  <c r="F32" i="6" l="1"/>
  <c r="H9" i="14"/>
  <c r="D9" i="14"/>
  <c r="F30" i="6"/>
  <c r="F9" i="14"/>
  <c r="F31" i="6"/>
  <c r="E8" i="14" l="1"/>
  <c r="G30" i="6"/>
  <c r="I30" i="6" s="1"/>
  <c r="G8" i="14"/>
  <c r="G31" i="6"/>
  <c r="I31" i="6" s="1"/>
  <c r="I8" i="14"/>
  <c r="G32" i="6"/>
  <c r="I32" i="6" s="1"/>
</calcChain>
</file>

<file path=xl/sharedStrings.xml><?xml version="1.0" encoding="utf-8"?>
<sst xmlns="http://schemas.openxmlformats.org/spreadsheetml/2006/main" count="46" uniqueCount="33">
  <si>
    <t>Year</t>
  </si>
  <si>
    <t>Utah Quarterly Compliance Filing</t>
  </si>
  <si>
    <t>$/kW-Year</t>
  </si>
  <si>
    <t>Appendix C</t>
  </si>
  <si>
    <t>Total</t>
  </si>
  <si>
    <t>GRID Calculated Energy Avoided Cost Prices $/MWH (1)</t>
  </si>
  <si>
    <t>As Filed</t>
  </si>
  <si>
    <t>$/MWH  (1)</t>
  </si>
  <si>
    <t>Capacity Avoided Cost Prices</t>
  </si>
  <si>
    <t>Total Avoided Cost Prices $/MWH (1) (4)</t>
  </si>
  <si>
    <t>OFPC Date</t>
  </si>
  <si>
    <t>Discount Rate - 2015 IRP Page 141</t>
  </si>
  <si>
    <t>Impact</t>
  </si>
  <si>
    <t>(1)   Studies are sequential.  The order of the studies would affect the price impact.</t>
  </si>
  <si>
    <t>Avoided Cost Impact of Changing Assumptions $/MWH (1)</t>
  </si>
  <si>
    <t>Chck</t>
  </si>
  <si>
    <t>(2)</t>
  </si>
  <si>
    <t>(3)   No Capacity costs - No deferrable thermal resources</t>
  </si>
  <si>
    <t>Capacity Factor</t>
  </si>
  <si>
    <t>(4)</t>
  </si>
  <si>
    <t>(5)</t>
  </si>
  <si>
    <t xml:space="preserve">       2021 IRP Update Preferred Portfolio.</t>
  </si>
  <si>
    <t>2022.Q2</t>
  </si>
  <si>
    <t>2022.Q2 As Filed</t>
  </si>
  <si>
    <t>2022.Q3</t>
  </si>
  <si>
    <t>Forced_Outage</t>
  </si>
  <si>
    <t>Load Fcst</t>
  </si>
  <si>
    <t>Discount Rate - 2021 IRP</t>
  </si>
  <si>
    <t>OFPC</t>
  </si>
  <si>
    <t>Generic</t>
  </si>
  <si>
    <t>Queue</t>
  </si>
  <si>
    <t>(2)   Discount Rate - 2021 IRP</t>
  </si>
  <si>
    <t>2022.Q3 As Filed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</si>
</sst>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&quot;-&quot;_);_(@_)"/>
    <numFmt numFmtId="165" formatCode="_(* #,##0_);[Red]_(* \(#,##0\);_(* &quot;-&quot;_);_(@_)"/>
    <numFmt numFmtId="166" formatCode="_(&quot;$&quot;\ #,##0.00_);[Red]_(&quot;$&quot;\ \(#,##0.00\);_(\ &quot;-&quot;?_);_(@_)"/>
    <numFmt numFmtId="167" formatCode="0.000%"/>
    <numFmt numFmtId="168" formatCode="_(* #,##0.000_);[Red]_(* \(#,##0.000\);_(* &quot;-&quot;_);_(@_)"/>
    <numFmt numFmtId="169" formatCode="&quot;$&quot;###0;[Red]\(&quot;$&quot;###0\)"/>
    <numFmt numFmtId="170" formatCode="0.0"/>
    <numFmt numFmtId="171" formatCode="0.0%"/>
    <numFmt numFmtId="172" formatCode="\'\ \(\2\)\'"/>
    <numFmt numFmtId="173" formatCode="_(&quot;$&quot;\ #,##0.000_);[Red]_(&quot;$&quot;\ \(#,##0.000\);_(\ &quot;-&quot;?_);_(@_)"/>
    <numFmt numFmtId="174" formatCode="#,##0.0000_);[Red]\(#,##0.0000\)"/>
    <numFmt numFmtId="175" formatCode="#,##0.000_);[Red]\(#,##0.000\)"/>
    <numFmt numFmtId="176" formatCode="_(* #,##0.0_);[Red]_(* \(#,##0.0\);_(* &quot;-&quot;_);_(@_)"/>
    <numFmt numFmtId="177" formatCode="_(* #,##0.00_);[Red]_(* \(#,##0.00\);_(* &quot;-&quot;_);_(@_)"/>
  </numFmts>
  <fonts count="1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8"/>
      <color indexed="18"/>
      <name val="Helv"/>
    </font>
    <font>
      <sz val="10"/>
      <color indexed="12"/>
      <name val="Arial"/>
      <family val="2"/>
    </font>
    <font>
      <sz val="10"/>
      <name val="Times New Roman"/>
      <family val="1"/>
    </font>
    <font>
      <sz val="8"/>
      <name val="Helv"/>
    </font>
    <font>
      <b/>
      <sz val="8"/>
      <name val="Arial"/>
      <family val="2"/>
    </font>
    <font>
      <sz val="8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9">
    <xf numFmtId="165" fontId="0" fillId="0" borderId="0"/>
    <xf numFmtId="0" fontId="5" fillId="0" borderId="0" applyNumberFormat="0" applyFill="0" applyBorder="0" applyAlignment="0">
      <protection locked="0"/>
    </xf>
    <xf numFmtId="0" fontId="1" fillId="0" borderId="0"/>
    <xf numFmtId="9" fontId="1" fillId="0" borderId="0" applyFont="0" applyFill="0" applyBorder="0" applyAlignment="0" applyProtection="0"/>
    <xf numFmtId="165" fontId="1" fillId="0" borderId="0"/>
    <xf numFmtId="165" fontId="7" fillId="0" borderId="0"/>
    <xf numFmtId="165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8" fillId="0" borderId="0" applyFont="0" applyFill="0" applyBorder="0" applyProtection="0">
      <alignment horizontal="right"/>
    </xf>
    <xf numFmtId="170" fontId="9" fillId="0" borderId="0" applyNumberFormat="0" applyFill="0" applyBorder="0" applyAlignment="0" applyProtection="0"/>
    <xf numFmtId="0" fontId="2" fillId="0" borderId="6" applyNumberFormat="0" applyBorder="0" applyAlignment="0"/>
    <xf numFmtId="171" fontId="1" fillId="0" borderId="0"/>
    <xf numFmtId="12" fontId="3" fillId="3" borderId="7">
      <alignment horizontal="left"/>
    </xf>
    <xf numFmtId="37" fontId="2" fillId="4" borderId="0" applyNumberFormat="0" applyBorder="0" applyAlignment="0" applyProtection="0"/>
    <xf numFmtId="37" fontId="2" fillId="0" borderId="0"/>
    <xf numFmtId="3" fontId="10" fillId="5" borderId="8" applyProtection="0"/>
    <xf numFmtId="43" fontId="11" fillId="0" borderId="0" applyFont="0" applyFill="0" applyBorder="0" applyAlignment="0" applyProtection="0"/>
    <xf numFmtId="41" fontId="7" fillId="0" borderId="0"/>
  </cellStyleXfs>
  <cellXfs count="109">
    <xf numFmtId="165" fontId="0" fillId="0" borderId="0" xfId="0"/>
    <xf numFmtId="165" fontId="4" fillId="0" borderId="0" xfId="0" applyFont="1"/>
    <xf numFmtId="165" fontId="3" fillId="0" borderId="1" xfId="0" applyFont="1" applyBorder="1" applyAlignment="1">
      <alignment horizontal="center"/>
    </xf>
    <xf numFmtId="0" fontId="3" fillId="0" borderId="0" xfId="0" applyNumberFormat="1" applyFont="1" applyAlignment="1">
      <alignment horizontal="center"/>
    </xf>
    <xf numFmtId="165" fontId="4" fillId="0" borderId="0" xfId="0" applyFont="1" applyFill="1"/>
    <xf numFmtId="1" fontId="1" fillId="0" borderId="0" xfId="2" applyNumberFormat="1" applyFill="1" applyAlignment="1" applyProtection="1">
      <alignment horizontal="center"/>
      <protection locked="0"/>
    </xf>
    <xf numFmtId="165" fontId="3" fillId="0" borderId="0" xfId="0" applyFont="1" applyAlignment="1">
      <alignment horizontal="centerContinuous"/>
    </xf>
    <xf numFmtId="165" fontId="3" fillId="0" borderId="4" xfId="0" applyFont="1" applyBorder="1" applyAlignment="1">
      <alignment horizontal="center"/>
    </xf>
    <xf numFmtId="165" fontId="4" fillId="0" borderId="0" xfId="0" quotePrefix="1" applyFont="1"/>
    <xf numFmtId="165" fontId="4" fillId="0" borderId="0" xfId="0" applyFont="1" applyAlignment="1">
      <alignment horizontal="center"/>
    </xf>
    <xf numFmtId="164" fontId="4" fillId="0" borderId="0" xfId="0" applyNumberFormat="1" applyFont="1"/>
    <xf numFmtId="165" fontId="3" fillId="0" borderId="5" xfId="0" applyFont="1" applyFill="1" applyBorder="1" applyAlignment="1">
      <alignment horizontal="center"/>
    </xf>
    <xf numFmtId="165" fontId="3" fillId="0" borderId="1" xfId="0" applyFont="1" applyFill="1" applyBorder="1" applyAlignment="1">
      <alignment horizontal="center"/>
    </xf>
    <xf numFmtId="165" fontId="4" fillId="0" borderId="0" xfId="0" applyFont="1" applyFill="1" applyAlignment="1"/>
    <xf numFmtId="165" fontId="3" fillId="0" borderId="3" xfId="0" applyFont="1" applyFill="1" applyBorder="1"/>
    <xf numFmtId="165" fontId="3" fillId="0" borderId="4" xfId="0" applyFont="1" applyFill="1" applyBorder="1" applyAlignment="1">
      <alignment horizontal="center"/>
    </xf>
    <xf numFmtId="165" fontId="3" fillId="0" borderId="0" xfId="0" applyFont="1" applyFill="1" applyBorder="1" applyAlignment="1">
      <alignment horizontal="centerContinuous"/>
    </xf>
    <xf numFmtId="165" fontId="3" fillId="0" borderId="0" xfId="0" applyFont="1" applyFill="1" applyBorder="1" applyAlignment="1">
      <alignment horizontal="center"/>
    </xf>
    <xf numFmtId="165" fontId="4" fillId="0" borderId="0" xfId="0" applyFont="1" applyFill="1" applyBorder="1"/>
    <xf numFmtId="168" fontId="4" fillId="0" borderId="0" xfId="0" applyNumberFormat="1" applyFont="1"/>
    <xf numFmtId="167" fontId="4" fillId="0" borderId="0" xfId="0" applyNumberFormat="1" applyFont="1"/>
    <xf numFmtId="165" fontId="4" fillId="0" borderId="0" xfId="0" applyFont="1" applyAlignment="1"/>
    <xf numFmtId="14" fontId="6" fillId="2" borderId="2" xfId="0" applyNumberFormat="1" applyFont="1" applyFill="1" applyBorder="1" applyAlignment="1">
      <alignment horizontal="center"/>
    </xf>
    <xf numFmtId="165" fontId="3" fillId="0" borderId="0" xfId="4" applyFont="1" applyAlignment="1">
      <alignment horizontal="centerContinuous"/>
    </xf>
    <xf numFmtId="165" fontId="4" fillId="0" borderId="0" xfId="4" applyFont="1" applyAlignment="1">
      <alignment horizontal="centerContinuous"/>
    </xf>
    <xf numFmtId="165" fontId="4" fillId="0" borderId="0" xfId="4" applyFont="1"/>
    <xf numFmtId="165" fontId="3" fillId="0" borderId="3" xfId="4" applyFont="1" applyBorder="1"/>
    <xf numFmtId="165" fontId="3" fillId="0" borderId="3" xfId="4" applyFont="1" applyBorder="1" applyAlignment="1">
      <alignment horizontal="centerContinuous"/>
    </xf>
    <xf numFmtId="165" fontId="3" fillId="0" borderId="4" xfId="4" applyFont="1" applyBorder="1" applyAlignment="1">
      <alignment horizontal="center"/>
    </xf>
    <xf numFmtId="165" fontId="3" fillId="0" borderId="2" xfId="4" applyFont="1" applyBorder="1" applyAlignment="1">
      <alignment horizontal="center"/>
    </xf>
    <xf numFmtId="0" fontId="3" fillId="0" borderId="0" xfId="4" applyNumberFormat="1" applyFont="1" applyAlignment="1">
      <alignment horizontal="center"/>
    </xf>
    <xf numFmtId="166" fontId="4" fillId="0" borderId="0" xfId="4" applyNumberFormat="1" applyFont="1" applyFill="1" applyBorder="1" applyAlignment="1">
      <alignment horizontal="center"/>
    </xf>
    <xf numFmtId="7" fontId="4" fillId="0" borderId="0" xfId="4" applyNumberFormat="1" applyFont="1" applyFill="1" applyBorder="1" applyAlignment="1">
      <alignment horizontal="center"/>
    </xf>
    <xf numFmtId="165" fontId="4" fillId="0" borderId="0" xfId="4" applyFont="1" applyFill="1"/>
    <xf numFmtId="165" fontId="4" fillId="0" borderId="0" xfId="4" quotePrefix="1" applyFont="1"/>
    <xf numFmtId="7" fontId="4" fillId="0" borderId="2" xfId="4" applyNumberFormat="1" applyFont="1" applyFill="1" applyBorder="1" applyAlignment="1">
      <alignment horizontal="center"/>
    </xf>
    <xf numFmtId="167" fontId="4" fillId="0" borderId="0" xfId="4" applyNumberFormat="1" applyFont="1" applyAlignment="1">
      <alignment horizontal="center"/>
    </xf>
    <xf numFmtId="167" fontId="4" fillId="0" borderId="0" xfId="3" applyNumberFormat="1" applyFont="1"/>
    <xf numFmtId="167" fontId="4" fillId="0" borderId="0" xfId="4" applyNumberFormat="1" applyFont="1"/>
    <xf numFmtId="8" fontId="4" fillId="0" borderId="0" xfId="4" applyNumberFormat="1" applyFont="1"/>
    <xf numFmtId="165" fontId="3" fillId="0" borderId="5" xfId="4" applyFont="1" applyBorder="1" applyAlignment="1">
      <alignment horizontal="centerContinuous"/>
    </xf>
    <xf numFmtId="165" fontId="3" fillId="0" borderId="3" xfId="0" applyFont="1" applyBorder="1"/>
    <xf numFmtId="165" fontId="3" fillId="0" borderId="5" xfId="0" applyFont="1" applyBorder="1" applyAlignment="1">
      <alignment horizontal="center"/>
    </xf>
    <xf numFmtId="8" fontId="4" fillId="0" borderId="0" xfId="17" applyNumberFormat="1" applyFont="1"/>
    <xf numFmtId="165" fontId="3" fillId="0" borderId="5" xfId="4" quotePrefix="1" applyFont="1" applyBorder="1" applyAlignment="1">
      <alignment horizontal="center"/>
    </xf>
    <xf numFmtId="165" fontId="3" fillId="0" borderId="0" xfId="4" quotePrefix="1" applyFont="1" applyAlignment="1">
      <alignment horizontal="centerContinuous"/>
    </xf>
    <xf numFmtId="166" fontId="4" fillId="0" borderId="0" xfId="0" applyNumberFormat="1" applyFont="1"/>
    <xf numFmtId="165" fontId="3" fillId="0" borderId="2" xfId="4" applyFont="1" applyBorder="1" applyAlignment="1">
      <alignment horizontal="center" wrapText="1"/>
    </xf>
    <xf numFmtId="166" fontId="4" fillId="0" borderId="0" xfId="0" quotePrefix="1" applyNumberFormat="1" applyFont="1" applyAlignment="1">
      <alignment horizontal="center"/>
    </xf>
    <xf numFmtId="43" fontId="4" fillId="0" borderId="0" xfId="17" applyFont="1"/>
    <xf numFmtId="165" fontId="4" fillId="0" borderId="0" xfId="4" applyFont="1" applyAlignment="1"/>
    <xf numFmtId="165" fontId="0" fillId="0" borderId="0" xfId="0" applyAlignment="1"/>
    <xf numFmtId="165" fontId="3" fillId="0" borderId="0" xfId="0" applyFont="1" applyBorder="1" applyAlignment="1">
      <alignment horizontal="center"/>
    </xf>
    <xf numFmtId="165" fontId="4" fillId="0" borderId="0" xfId="0" applyFont="1" applyBorder="1"/>
    <xf numFmtId="8" fontId="4" fillId="0" borderId="0" xfId="0" applyNumberFormat="1" applyFont="1" applyBorder="1"/>
    <xf numFmtId="173" fontId="4" fillId="0" borderId="0" xfId="0" applyNumberFormat="1" applyFont="1"/>
    <xf numFmtId="166" fontId="4" fillId="0" borderId="0" xfId="0" applyNumberFormat="1" applyFont="1" applyAlignment="1">
      <alignment horizontal="center"/>
    </xf>
    <xf numFmtId="166" fontId="4" fillId="0" borderId="2" xfId="0" applyNumberFormat="1" applyFont="1" applyFill="1" applyBorder="1" applyAlignment="1">
      <alignment horizontal="center"/>
    </xf>
    <xf numFmtId="166" fontId="4" fillId="0" borderId="0" xfId="0" applyNumberFormat="1" applyFont="1" applyFill="1" applyAlignment="1">
      <alignment horizontal="center"/>
    </xf>
    <xf numFmtId="8" fontId="4" fillId="0" borderId="2" xfId="4" applyNumberFormat="1" applyFont="1" applyFill="1" applyBorder="1" applyAlignment="1">
      <alignment horizontal="center"/>
    </xf>
    <xf numFmtId="8" fontId="4" fillId="0" borderId="0" xfId="0" applyNumberFormat="1" applyFont="1" applyFill="1" applyBorder="1" applyAlignment="1">
      <alignment horizontal="center"/>
    </xf>
    <xf numFmtId="8" fontId="4" fillId="0" borderId="0" xfId="0" applyNumberFormat="1" applyFont="1"/>
    <xf numFmtId="8" fontId="4" fillId="0" borderId="2" xfId="0" applyNumberFormat="1" applyFont="1" applyFill="1" applyBorder="1" applyAlignment="1">
      <alignment horizontal="center"/>
    </xf>
    <xf numFmtId="174" fontId="4" fillId="0" borderId="0" xfId="0" applyNumberFormat="1" applyFont="1"/>
    <xf numFmtId="165" fontId="3" fillId="0" borderId="1" xfId="0" quotePrefix="1" applyFont="1" applyBorder="1" applyAlignment="1">
      <alignment horizontal="center"/>
    </xf>
    <xf numFmtId="175" fontId="4" fillId="0" borderId="0" xfId="0" applyNumberFormat="1" applyFont="1"/>
    <xf numFmtId="172" fontId="3" fillId="0" borderId="1" xfId="0" quotePrefix="1" applyNumberFormat="1" applyFont="1" applyFill="1" applyBorder="1" applyAlignment="1">
      <alignment horizontal="center"/>
    </xf>
    <xf numFmtId="165" fontId="4" fillId="0" borderId="9" xfId="4" applyFont="1" applyBorder="1"/>
    <xf numFmtId="0" fontId="3" fillId="0" borderId="9" xfId="4" applyNumberFormat="1" applyFont="1" applyBorder="1" applyAlignment="1">
      <alignment horizontal="center"/>
    </xf>
    <xf numFmtId="0" fontId="3" fillId="0" borderId="4" xfId="4" applyNumberFormat="1" applyFont="1" applyBorder="1" applyAlignment="1">
      <alignment horizontal="center"/>
    </xf>
    <xf numFmtId="165" fontId="12" fillId="6" borderId="0" xfId="4" applyFont="1" applyFill="1"/>
    <xf numFmtId="165" fontId="1" fillId="6" borderId="0" xfId="4" applyFill="1"/>
    <xf numFmtId="165" fontId="1" fillId="0" borderId="0" xfId="4"/>
    <xf numFmtId="165" fontId="12" fillId="6" borderId="0" xfId="4" applyFont="1" applyFill="1" applyAlignment="1"/>
    <xf numFmtId="165" fontId="12" fillId="6" borderId="0" xfId="4" applyFont="1" applyFill="1" applyAlignment="1">
      <alignment horizontal="left" vertical="top"/>
    </xf>
    <xf numFmtId="165" fontId="12" fillId="6" borderId="0" xfId="4" applyFont="1" applyFill="1" applyAlignment="1">
      <alignment horizontal="center"/>
    </xf>
    <xf numFmtId="165" fontId="1" fillId="6" borderId="0" xfId="4" applyFill="1" applyAlignment="1">
      <alignment vertical="center"/>
    </xf>
    <xf numFmtId="7" fontId="0" fillId="6" borderId="0" xfId="7" applyNumberFormat="1" applyFont="1" applyFill="1"/>
    <xf numFmtId="165" fontId="1" fillId="6" borderId="0" xfId="4" applyFill="1" applyAlignment="1">
      <alignment horizontal="right"/>
    </xf>
    <xf numFmtId="7" fontId="1" fillId="6" borderId="0" xfId="4" applyNumberFormat="1" applyFill="1"/>
    <xf numFmtId="165" fontId="1" fillId="0" borderId="0" xfId="4" applyFill="1"/>
    <xf numFmtId="165" fontId="12" fillId="6" borderId="0" xfId="0" applyFont="1" applyFill="1"/>
    <xf numFmtId="165" fontId="0" fillId="6" borderId="0" xfId="0" applyFill="1"/>
    <xf numFmtId="165" fontId="0" fillId="0" borderId="0" xfId="0" applyFill="1"/>
    <xf numFmtId="165" fontId="0" fillId="0" borderId="0" xfId="0" applyFill="1" applyAlignment="1">
      <alignment horizontal="right"/>
    </xf>
    <xf numFmtId="8" fontId="0" fillId="0" borderId="0" xfId="7" applyNumberFormat="1" applyFont="1" applyFill="1"/>
    <xf numFmtId="8" fontId="7" fillId="0" borderId="0" xfId="18" applyNumberFormat="1" applyFont="1" applyFill="1" applyBorder="1" applyAlignment="1">
      <alignment horizontal="center"/>
    </xf>
    <xf numFmtId="176" fontId="0" fillId="0" borderId="0" xfId="0" applyNumberFormat="1" applyFill="1"/>
    <xf numFmtId="165" fontId="4" fillId="0" borderId="10" xfId="4" applyFont="1" applyBorder="1"/>
    <xf numFmtId="8" fontId="4" fillId="0" borderId="10" xfId="4" applyNumberFormat="1" applyFont="1" applyFill="1" applyBorder="1" applyAlignment="1">
      <alignment horizontal="center"/>
    </xf>
    <xf numFmtId="165" fontId="3" fillId="0" borderId="1" xfId="4" quotePrefix="1" applyFont="1" applyBorder="1" applyAlignment="1">
      <alignment horizontal="center"/>
    </xf>
    <xf numFmtId="9" fontId="4" fillId="0" borderId="0" xfId="3" applyFont="1"/>
    <xf numFmtId="177" fontId="1" fillId="0" borderId="0" xfId="4" applyNumberFormat="1" applyFill="1"/>
    <xf numFmtId="177" fontId="4" fillId="0" borderId="0" xfId="0" applyNumberFormat="1" applyFont="1" applyBorder="1"/>
    <xf numFmtId="177" fontId="4" fillId="0" borderId="0" xfId="0" applyNumberFormat="1" applyFont="1" applyBorder="1" applyAlignment="1">
      <alignment horizontal="center"/>
    </xf>
    <xf numFmtId="8" fontId="4" fillId="0" borderId="0" xfId="4" applyNumberFormat="1" applyFont="1" applyFill="1" applyBorder="1" applyAlignment="1">
      <alignment horizontal="center"/>
    </xf>
    <xf numFmtId="8" fontId="4" fillId="0" borderId="11" xfId="4" applyNumberFormat="1" applyFont="1" applyFill="1" applyBorder="1" applyAlignment="1">
      <alignment horizontal="center"/>
    </xf>
    <xf numFmtId="8" fontId="4" fillId="0" borderId="12" xfId="4" applyNumberFormat="1" applyFont="1" applyFill="1" applyBorder="1" applyAlignment="1">
      <alignment horizontal="center"/>
    </xf>
    <xf numFmtId="8" fontId="4" fillId="0" borderId="13" xfId="4" applyNumberFormat="1" applyFont="1" applyFill="1" applyBorder="1" applyAlignment="1">
      <alignment horizontal="center"/>
    </xf>
    <xf numFmtId="8" fontId="4" fillId="0" borderId="0" xfId="4" applyNumberFormat="1" applyFont="1" applyBorder="1" applyAlignment="1">
      <alignment horizontal="center"/>
    </xf>
    <xf numFmtId="165" fontId="3" fillId="0" borderId="3" xfId="4" applyFont="1" applyBorder="1" applyAlignment="1">
      <alignment horizontal="center"/>
    </xf>
    <xf numFmtId="8" fontId="4" fillId="0" borderId="9" xfId="4" applyNumberFormat="1" applyFont="1" applyFill="1" applyBorder="1" applyAlignment="1">
      <alignment horizontal="center"/>
    </xf>
    <xf numFmtId="165" fontId="3" fillId="0" borderId="14" xfId="4" quotePrefix="1" applyFont="1" applyBorder="1" applyAlignment="1">
      <alignment horizontal="center"/>
    </xf>
    <xf numFmtId="165" fontId="4" fillId="0" borderId="11" xfId="4" applyFont="1" applyBorder="1"/>
    <xf numFmtId="8" fontId="4" fillId="0" borderId="1" xfId="4" applyNumberFormat="1" applyFont="1" applyFill="1" applyBorder="1" applyAlignment="1">
      <alignment horizontal="center"/>
    </xf>
    <xf numFmtId="166" fontId="4" fillId="0" borderId="0" xfId="4" applyNumberFormat="1" applyFont="1" applyAlignment="1">
      <alignment horizontal="center"/>
    </xf>
    <xf numFmtId="165" fontId="3" fillId="0" borderId="2" xfId="4" applyFont="1" applyBorder="1" applyAlignment="1">
      <alignment horizontal="left" vertical="top" wrapText="1"/>
    </xf>
    <xf numFmtId="168" fontId="1" fillId="0" borderId="0" xfId="4" applyNumberFormat="1" applyFill="1"/>
    <xf numFmtId="165" fontId="12" fillId="6" borderId="0" xfId="4" applyFont="1" applyFill="1" applyAlignment="1">
      <alignment horizontal="left" vertical="top"/>
    </xf>
  </cellXfs>
  <cellStyles count="19">
    <cellStyle name="Comma" xfId="17" builtinId="3"/>
    <cellStyle name="Comma 2" xfId="7"/>
    <cellStyle name="Currency 2" xfId="8"/>
    <cellStyle name="Currency No Comma" xfId="9"/>
    <cellStyle name="Input" xfId="1" builtinId="20" customBuiltin="1"/>
    <cellStyle name="MCP" xfId="10"/>
    <cellStyle name="noninput" xfId="11"/>
    <cellStyle name="Normal" xfId="0" builtinId="0" customBuiltin="1"/>
    <cellStyle name="Normal 2" xfId="4"/>
    <cellStyle name="Normal 2 2" xfId="6"/>
    <cellStyle name="Normal 3" xfId="12"/>
    <cellStyle name="Normal 5" xfId="5"/>
    <cellStyle name="Normal_T-INF-10-15-04-TEMPLATE" xfId="2"/>
    <cellStyle name="Normal_UT 2008.Q2 - Compliance - Appendix B - AC Study_2008 08 05" xfId="18"/>
    <cellStyle name="Password" xfId="13"/>
    <cellStyle name="Percent" xfId="3" builtinId="5"/>
    <cellStyle name="Unprot" xfId="14"/>
    <cellStyle name="Unprot$" xfId="15"/>
    <cellStyle name="Unprotect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C2:L31"/>
  <sheetViews>
    <sheetView tabSelected="1" view="pageBreakPreview" zoomScale="60" zoomScaleNormal="80" workbookViewId="0"/>
  </sheetViews>
  <sheetFormatPr defaultColWidth="9.140625" defaultRowHeight="12.75" x14ac:dyDescent="0.2"/>
  <cols>
    <col min="1" max="1" width="9.140625" style="72"/>
    <col min="2" max="2" width="12.28515625" style="72" customWidth="1"/>
    <col min="3" max="3" width="22" style="72" customWidth="1"/>
    <col min="4" max="4" width="9.140625" style="72"/>
    <col min="5" max="5" width="11.28515625" style="72" customWidth="1"/>
    <col min="6" max="16384" width="9.140625" style="72"/>
  </cols>
  <sheetData>
    <row r="2" spans="3:12" x14ac:dyDescent="0.2">
      <c r="C2" s="70" t="str">
        <f>LEFT(Incremental!$B$29,50)</f>
        <v xml:space="preserve">Nominal Levelized Payment at 6.880% Discount Rate </v>
      </c>
      <c r="D2" s="71"/>
      <c r="E2" s="71"/>
      <c r="F2" s="71"/>
      <c r="G2" s="71"/>
      <c r="H2" s="71"/>
      <c r="I2" s="71"/>
      <c r="J2" s="71"/>
    </row>
    <row r="3" spans="3:12" ht="15.75" customHeight="1" x14ac:dyDescent="0.2">
      <c r="C3" s="71"/>
      <c r="D3" s="73" t="str">
        <f>Incremental!B30</f>
        <v>2023 - 2037</v>
      </c>
      <c r="E3" s="73"/>
      <c r="F3" s="108" t="str">
        <f>Incremental!B31</f>
        <v>2024 - 2038</v>
      </c>
      <c r="G3" s="108"/>
      <c r="H3" s="74" t="str">
        <f>Incremental!B32</f>
        <v>2025 - 2039</v>
      </c>
      <c r="I3" s="75"/>
      <c r="J3" s="71"/>
    </row>
    <row r="4" spans="3:12" x14ac:dyDescent="0.2">
      <c r="C4" s="76" t="s">
        <v>23</v>
      </c>
      <c r="D4" s="77">
        <f>Total!$C$30</f>
        <v>40.19</v>
      </c>
      <c r="E4" s="77"/>
      <c r="F4" s="77">
        <f>Total!$C$31</f>
        <v>40.520000000000003</v>
      </c>
      <c r="G4" s="77"/>
      <c r="H4" s="77">
        <f>Total!$C$32</f>
        <v>40.14</v>
      </c>
      <c r="I4" s="77"/>
      <c r="J4" s="71"/>
    </row>
    <row r="5" spans="3:12" x14ac:dyDescent="0.2">
      <c r="C5" s="78" t="str">
        <f>Incremental!C7</f>
        <v>OFPC</v>
      </c>
      <c r="D5" s="77"/>
      <c r="E5" s="77" t="str">
        <f>TEXT(Incremental!$C$30,"$0.00")</f>
        <v>$4.68</v>
      </c>
      <c r="F5" s="77"/>
      <c r="G5" s="77" t="str">
        <f>TEXT(Incremental!$C$31,"$0.00")</f>
        <v>$4.56</v>
      </c>
      <c r="H5" s="77"/>
      <c r="I5" s="77" t="str">
        <f>TEXT(Incremental!$C$32,"$0.00")</f>
        <v>$4.33</v>
      </c>
      <c r="J5" s="71"/>
    </row>
    <row r="6" spans="3:12" ht="13.7" customHeight="1" x14ac:dyDescent="0.2">
      <c r="C6" s="78" t="str">
        <f>Incremental!D7</f>
        <v>Generic</v>
      </c>
      <c r="D6" s="77"/>
      <c r="E6" s="77" t="str">
        <f>TEXT(Incremental!$D$30,"$0.00")</f>
        <v>$2.29</v>
      </c>
      <c r="F6" s="77"/>
      <c r="G6" s="77" t="str">
        <f>TEXT(Incremental!$D$31,"$0.00")</f>
        <v>$1.70</v>
      </c>
      <c r="H6" s="77"/>
      <c r="I6" s="77" t="str">
        <f>TEXT(Incremental!$D$32,"$0.00")</f>
        <v>$1.26</v>
      </c>
      <c r="J6" s="71"/>
    </row>
    <row r="7" spans="3:12" ht="13.7" customHeight="1" x14ac:dyDescent="0.2">
      <c r="C7" s="78" t="str">
        <f>Incremental!E7</f>
        <v>Load Fcst</v>
      </c>
      <c r="D7" s="77"/>
      <c r="E7" s="77" t="str">
        <f>TEXT(Incremental!$E$30,"$0.00")</f>
        <v>$2.78</v>
      </c>
      <c r="F7" s="77"/>
      <c r="G7" s="77" t="str">
        <f>TEXT(Incremental!$E$31,"$0.00")</f>
        <v>$2.51</v>
      </c>
      <c r="H7" s="77"/>
      <c r="I7" s="77" t="str">
        <f>TEXT(Incremental!$E$32,"$0.00")</f>
        <v>$2.51</v>
      </c>
      <c r="J7" s="71"/>
    </row>
    <row r="8" spans="3:12" x14ac:dyDescent="0.2">
      <c r="C8" s="78" t="str">
        <f>Incremental!F7</f>
        <v>Queue</v>
      </c>
      <c r="D8" s="77"/>
      <c r="E8" s="77" t="str">
        <f>TEXT(Incremental!$F$30,"$0.00")</f>
        <v>-$0.05</v>
      </c>
      <c r="F8" s="77"/>
      <c r="G8" s="77" t="str">
        <f>TEXT(Incremental!$F$31,"$0.00")</f>
        <v>$0.13</v>
      </c>
      <c r="H8" s="77"/>
      <c r="I8" s="77" t="str">
        <f>TEXT(Incremental!$F$32,"$0.00")</f>
        <v>$0.14</v>
      </c>
      <c r="J8" s="71"/>
    </row>
    <row r="9" spans="3:12" x14ac:dyDescent="0.2">
      <c r="C9" s="71" t="s">
        <v>32</v>
      </c>
      <c r="D9" s="77">
        <f>Total!G30</f>
        <v>49.89</v>
      </c>
      <c r="E9" s="77"/>
      <c r="F9" s="77">
        <f>Total!G31</f>
        <v>49.42</v>
      </c>
      <c r="G9" s="77"/>
      <c r="H9" s="77">
        <f>Total!G32</f>
        <v>48.38</v>
      </c>
      <c r="I9" s="77"/>
      <c r="J9" s="71"/>
    </row>
    <row r="10" spans="3:12" x14ac:dyDescent="0.2">
      <c r="C10" s="71"/>
      <c r="D10" s="79"/>
      <c r="E10" s="79"/>
      <c r="F10" s="71"/>
      <c r="G10" s="71"/>
      <c r="H10" s="71"/>
      <c r="I10" s="71"/>
      <c r="J10" s="71"/>
    </row>
    <row r="11" spans="3:12" x14ac:dyDescent="0.2">
      <c r="C11" s="71"/>
      <c r="D11" s="79"/>
      <c r="E11" s="79"/>
      <c r="F11" s="71"/>
      <c r="G11" s="71"/>
      <c r="H11" s="71"/>
      <c r="I11" s="71"/>
      <c r="J11" s="71"/>
    </row>
    <row r="12" spans="3:12" x14ac:dyDescent="0.2">
      <c r="C12" s="80"/>
      <c r="D12" s="92"/>
      <c r="E12" s="80"/>
      <c r="F12" s="80"/>
      <c r="G12" s="80"/>
      <c r="H12" s="80"/>
      <c r="I12" s="80"/>
      <c r="J12" s="80"/>
      <c r="K12" s="80"/>
      <c r="L12" s="80"/>
    </row>
    <row r="13" spans="3:12" x14ac:dyDescent="0.2">
      <c r="C13" s="80"/>
      <c r="D13" s="107"/>
      <c r="E13" s="80"/>
      <c r="F13" s="80"/>
      <c r="G13" s="80"/>
      <c r="H13" s="80"/>
      <c r="I13" s="80"/>
      <c r="J13" s="80"/>
      <c r="K13" s="80"/>
      <c r="L13" s="80"/>
    </row>
    <row r="23" spans="3:10" x14ac:dyDescent="0.2">
      <c r="C23" s="81"/>
      <c r="D23" s="82"/>
      <c r="E23" s="82"/>
      <c r="F23" s="82"/>
      <c r="G23" s="82"/>
      <c r="H23" s="82"/>
      <c r="I23" s="82"/>
      <c r="J23" s="82"/>
    </row>
    <row r="24" spans="3:10" x14ac:dyDescent="0.2">
      <c r="C24" s="83"/>
      <c r="D24" s="83"/>
      <c r="E24" s="83"/>
      <c r="F24" s="83"/>
      <c r="G24" s="83"/>
      <c r="H24" s="83"/>
      <c r="I24" s="83"/>
      <c r="J24" s="83"/>
    </row>
    <row r="25" spans="3:10" x14ac:dyDescent="0.2">
      <c r="C25" s="84"/>
      <c r="D25" s="83"/>
      <c r="E25" s="85"/>
      <c r="F25" s="86"/>
      <c r="G25" s="86"/>
      <c r="H25" s="83"/>
      <c r="I25" s="83"/>
      <c r="J25" s="83"/>
    </row>
    <row r="26" spans="3:10" x14ac:dyDescent="0.2">
      <c r="C26" s="83"/>
      <c r="D26" s="83"/>
      <c r="E26" s="85"/>
      <c r="F26" s="85"/>
      <c r="G26" s="85"/>
      <c r="H26" s="87"/>
      <c r="I26" s="87"/>
      <c r="J26" s="87"/>
    </row>
    <row r="27" spans="3:10" x14ac:dyDescent="0.2">
      <c r="C27" s="83"/>
      <c r="D27" s="83"/>
      <c r="E27" s="85"/>
      <c r="F27" s="85"/>
      <c r="G27" s="85"/>
      <c r="H27" s="87"/>
      <c r="I27" s="87"/>
      <c r="J27" s="87"/>
    </row>
    <row r="28" spans="3:10" x14ac:dyDescent="0.2">
      <c r="C28" s="83"/>
      <c r="D28" s="83"/>
      <c r="E28" s="85"/>
      <c r="F28" s="85"/>
      <c r="G28" s="85"/>
      <c r="H28" s="87"/>
      <c r="I28" s="87"/>
      <c r="J28" s="87"/>
    </row>
    <row r="29" spans="3:10" x14ac:dyDescent="0.2">
      <c r="C29" s="83"/>
      <c r="D29" s="83"/>
      <c r="E29" s="85"/>
      <c r="F29" s="85"/>
      <c r="G29" s="85"/>
      <c r="H29" s="87"/>
      <c r="I29" s="87"/>
      <c r="J29" s="87"/>
    </row>
    <row r="30" spans="3:10" x14ac:dyDescent="0.2">
      <c r="C30" s="83"/>
      <c r="D30" s="83"/>
      <c r="E30" s="85"/>
      <c r="F30" s="85"/>
      <c r="G30" s="85"/>
      <c r="H30" s="87"/>
      <c r="I30" s="87"/>
      <c r="J30" s="87"/>
    </row>
    <row r="31" spans="3:10" x14ac:dyDescent="0.2">
      <c r="C31" s="83"/>
      <c r="D31" s="83"/>
      <c r="E31" s="85"/>
      <c r="F31" s="85"/>
      <c r="G31" s="85"/>
      <c r="H31" s="87"/>
      <c r="I31" s="87"/>
      <c r="J31" s="87"/>
    </row>
  </sheetData>
  <mergeCells count="1">
    <mergeCell ref="F3:G3"/>
  </mergeCells>
  <pageMargins left="0.7" right="0.7" top="0.75" bottom="0.75" header="0.3" footer="0.3"/>
  <pageSetup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42"/>
    <pageSetUpPr fitToPage="1"/>
  </sheetPr>
  <dimension ref="B1:J41"/>
  <sheetViews>
    <sheetView showGridLines="0" tabSelected="1" view="pageBreakPreview" zoomScale="60" zoomScaleNormal="60" workbookViewId="0">
      <pane xSplit="2" ySplit="9" topLeftCell="C10" activePane="bottomRight" state="frozen"/>
      <selection pane="topRight"/>
      <selection pane="bottomLeft"/>
      <selection pane="bottomRight"/>
    </sheetView>
  </sheetViews>
  <sheetFormatPr defaultColWidth="9.140625" defaultRowHeight="15" x14ac:dyDescent="0.2"/>
  <cols>
    <col min="1" max="1" width="1.85546875" style="1" customWidth="1"/>
    <col min="2" max="3" width="17" style="1" customWidth="1"/>
    <col min="4" max="6" width="23.42578125" style="1" bestFit="1" customWidth="1"/>
    <col min="7" max="7" width="15.5703125" style="1" customWidth="1"/>
    <col min="8" max="8" width="21.85546875" style="1" customWidth="1"/>
    <col min="9" max="9" width="11" style="1" customWidth="1"/>
    <col min="10" max="10" width="10.85546875" style="1" bestFit="1" customWidth="1"/>
    <col min="11" max="16384" width="9.140625" style="1"/>
  </cols>
  <sheetData>
    <row r="1" spans="2:10" ht="15.75" x14ac:dyDescent="0.25">
      <c r="B1" s="6" t="str">
        <f>Total!B1</f>
        <v>Appendix C</v>
      </c>
      <c r="C1" s="6"/>
      <c r="D1" s="6"/>
      <c r="E1" s="6"/>
      <c r="F1" s="6"/>
      <c r="G1" s="6"/>
    </row>
    <row r="2" spans="2:10" ht="8.25" customHeight="1" x14ac:dyDescent="0.25">
      <c r="B2" s="6"/>
      <c r="C2" s="6"/>
      <c r="D2" s="6"/>
      <c r="E2" s="6"/>
      <c r="F2" s="6"/>
      <c r="G2" s="6"/>
    </row>
    <row r="3" spans="2:10" ht="15.75" x14ac:dyDescent="0.25">
      <c r="B3" s="6" t="str">
        <f>Total!B3</f>
        <v>Utah Quarterly Compliance Filing</v>
      </c>
      <c r="C3" s="6"/>
      <c r="D3" s="6"/>
      <c r="E3" s="6"/>
      <c r="F3" s="6"/>
      <c r="G3" s="6"/>
    </row>
    <row r="4" spans="2:10" ht="15.75" x14ac:dyDescent="0.25">
      <c r="B4" s="6" t="str">
        <f>Capacity!$B$4</f>
        <v>Step Study between 2022.Q3 and 2022.Q2 Compliance Filing</v>
      </c>
      <c r="C4" s="6"/>
      <c r="D4" s="6"/>
      <c r="E4" s="6"/>
      <c r="F4" s="6"/>
      <c r="G4" s="6"/>
    </row>
    <row r="5" spans="2:10" ht="15.75" x14ac:dyDescent="0.25">
      <c r="B5" s="6" t="s">
        <v>14</v>
      </c>
      <c r="C5" s="6"/>
      <c r="D5" s="6"/>
      <c r="E5" s="6"/>
      <c r="F5" s="6"/>
      <c r="G5" s="6"/>
    </row>
    <row r="6" spans="2:10" x14ac:dyDescent="0.2">
      <c r="D6" s="9"/>
      <c r="E6" s="9"/>
      <c r="F6" s="9"/>
      <c r="G6" s="9"/>
    </row>
    <row r="7" spans="2:10" s="4" customFormat="1" ht="15.75" x14ac:dyDescent="0.25">
      <c r="B7" s="14"/>
      <c r="C7" s="11" t="str">
        <f>Energy!D7</f>
        <v>OFPC</v>
      </c>
      <c r="D7" s="11" t="str">
        <f>Energy!E7</f>
        <v>Generic</v>
      </c>
      <c r="E7" s="11" t="str">
        <f>Energy!F7</f>
        <v>Load Fcst</v>
      </c>
      <c r="F7" s="11" t="str">
        <f>Energy!G7</f>
        <v>Queue</v>
      </c>
      <c r="G7" s="11" t="s">
        <v>4</v>
      </c>
      <c r="H7" s="1"/>
    </row>
    <row r="8" spans="2:10" s="4" customFormat="1" ht="15.75" x14ac:dyDescent="0.25">
      <c r="B8" s="15" t="s">
        <v>0</v>
      </c>
      <c r="C8" s="66" t="s">
        <v>16</v>
      </c>
      <c r="D8" s="66"/>
      <c r="E8" s="66"/>
      <c r="F8" s="66"/>
      <c r="G8" s="12" t="s">
        <v>12</v>
      </c>
      <c r="H8" s="1"/>
    </row>
    <row r="9" spans="2:10" ht="4.7" customHeight="1" x14ac:dyDescent="0.2"/>
    <row r="10" spans="2:10" ht="15.75" hidden="1" x14ac:dyDescent="0.25">
      <c r="B10" s="3">
        <f>Total!B10</f>
        <v>0</v>
      </c>
      <c r="C10" s="3"/>
      <c r="D10" s="56">
        <f>ROUND(Total!E10-Total!C10,3)</f>
        <v>0</v>
      </c>
      <c r="E10" s="56">
        <f>ROUND(Total!F10-Total!D10,3)</f>
        <v>0</v>
      </c>
      <c r="F10" s="56">
        <f>ROUND(Total!G10-Total!E10,3)</f>
        <v>0</v>
      </c>
      <c r="G10" s="56">
        <f t="shared" ref="G10" si="0">SUM(D10:F10)</f>
        <v>0</v>
      </c>
      <c r="H10" s="55"/>
      <c r="I10" s="65"/>
      <c r="J10" s="19"/>
    </row>
    <row r="11" spans="2:10" ht="15.75" x14ac:dyDescent="0.25">
      <c r="B11" s="3">
        <f>Total!B11</f>
        <v>2023</v>
      </c>
      <c r="C11" s="56">
        <f>ROUND(Total!D11-Total!C11,3)</f>
        <v>3.8759999999999999</v>
      </c>
      <c r="D11" s="56">
        <f>ROUND(Total!E11-Total!D11,3)</f>
        <v>6.9859999999999998</v>
      </c>
      <c r="E11" s="56">
        <f>ROUND(Total!F11-Total!E11,3)</f>
        <v>4.3369999999999997</v>
      </c>
      <c r="F11" s="56">
        <f>ROUND(Total!G11-Total!F11,3)</f>
        <v>-1.1299999999999999</v>
      </c>
      <c r="G11" s="56">
        <f>SUM(C11:F11)</f>
        <v>14.068999999999999</v>
      </c>
      <c r="H11" s="55"/>
      <c r="I11" s="65"/>
      <c r="J11" s="19"/>
    </row>
    <row r="12" spans="2:10" ht="15.75" x14ac:dyDescent="0.25">
      <c r="B12" s="3">
        <f t="shared" ref="B12:B27" si="1">B11+1</f>
        <v>2024</v>
      </c>
      <c r="C12" s="56">
        <f>ROUND(Total!D12-Total!C12,3)</f>
        <v>4.4219999999999997</v>
      </c>
      <c r="D12" s="56">
        <f>ROUND(Total!E12-Total!D12,3)</f>
        <v>5.2880000000000003</v>
      </c>
      <c r="E12" s="56">
        <f>ROUND(Total!F12-Total!E12,3)</f>
        <v>1.9690000000000001</v>
      </c>
      <c r="F12" s="56">
        <f>ROUND(Total!G12-Total!F12,3)</f>
        <v>-0.01</v>
      </c>
      <c r="G12" s="56">
        <f t="shared" ref="G12:G27" si="2">SUM(C12:F12)</f>
        <v>11.669</v>
      </c>
      <c r="H12" s="55"/>
      <c r="I12" s="65"/>
      <c r="J12" s="19"/>
    </row>
    <row r="13" spans="2:10" ht="15.75" x14ac:dyDescent="0.25">
      <c r="B13" s="3">
        <f t="shared" si="1"/>
        <v>2025</v>
      </c>
      <c r="C13" s="56">
        <f>ROUND(Total!D13-Total!C13,3)</f>
        <v>2.5779999999999998</v>
      </c>
      <c r="D13" s="56">
        <f>ROUND(Total!E13-Total!D13,3)</f>
        <v>3.6459999999999999</v>
      </c>
      <c r="E13" s="56">
        <f>ROUND(Total!F13-Total!E13,3)</f>
        <v>4.234</v>
      </c>
      <c r="F13" s="56">
        <f>ROUND(Total!G13-Total!F13,3)</f>
        <v>0.50700000000000001</v>
      </c>
      <c r="G13" s="56">
        <f t="shared" si="2"/>
        <v>10.965</v>
      </c>
      <c r="H13" s="55"/>
      <c r="I13" s="65"/>
      <c r="J13" s="19"/>
    </row>
    <row r="14" spans="2:10" ht="15.75" x14ac:dyDescent="0.25">
      <c r="B14" s="3">
        <f t="shared" si="1"/>
        <v>2026</v>
      </c>
      <c r="C14" s="56">
        <f>ROUND(Total!D14-Total!C14,3)</f>
        <v>8.1809999999999992</v>
      </c>
      <c r="D14" s="56">
        <f>ROUND(Total!E14-Total!D14,3)</f>
        <v>3.2370000000000001</v>
      </c>
      <c r="E14" s="56">
        <f>ROUND(Total!F14-Total!E14,3)</f>
        <v>7.4089999999999998</v>
      </c>
      <c r="F14" s="56">
        <f>ROUND(Total!G14-Total!F14,3)</f>
        <v>9.1999999999999998E-2</v>
      </c>
      <c r="G14" s="56">
        <f t="shared" si="2"/>
        <v>18.918999999999997</v>
      </c>
      <c r="H14" s="55"/>
      <c r="I14" s="65"/>
      <c r="J14" s="19"/>
    </row>
    <row r="15" spans="2:10" ht="15.75" x14ac:dyDescent="0.25">
      <c r="B15" s="3">
        <f t="shared" si="1"/>
        <v>2027</v>
      </c>
      <c r="C15" s="56">
        <f>ROUND(Total!D15-Total!C15,3)</f>
        <v>8.952</v>
      </c>
      <c r="D15" s="56">
        <f>ROUND(Total!E15-Total!D15,3)</f>
        <v>2.0590000000000002</v>
      </c>
      <c r="E15" s="56">
        <f>ROUND(Total!F15-Total!E15,3)</f>
        <v>4.7720000000000002</v>
      </c>
      <c r="F15" s="56">
        <f>ROUND(Total!G15-Total!F15,3)</f>
        <v>8.1000000000000003E-2</v>
      </c>
      <c r="G15" s="56">
        <f t="shared" si="2"/>
        <v>15.863999999999999</v>
      </c>
      <c r="H15" s="55"/>
      <c r="I15" s="65"/>
      <c r="J15" s="19"/>
    </row>
    <row r="16" spans="2:10" ht="15.75" x14ac:dyDescent="0.25">
      <c r="B16" s="3">
        <f t="shared" si="1"/>
        <v>2028</v>
      </c>
      <c r="C16" s="56">
        <f>ROUND(Total!D16-Total!C16,3)</f>
        <v>7.8040000000000003</v>
      </c>
      <c r="D16" s="56">
        <f>ROUND(Total!E16-Total!D16,3)</f>
        <v>1.331</v>
      </c>
      <c r="E16" s="56">
        <f>ROUND(Total!F16-Total!E16,3)</f>
        <v>3.907</v>
      </c>
      <c r="F16" s="56">
        <f>ROUND(Total!G16-Total!F16,3)</f>
        <v>0.17499999999999999</v>
      </c>
      <c r="G16" s="56">
        <f t="shared" si="2"/>
        <v>13.217000000000001</v>
      </c>
      <c r="H16" s="55"/>
      <c r="I16" s="65"/>
      <c r="J16" s="19"/>
    </row>
    <row r="17" spans="2:10" ht="15.75" x14ac:dyDescent="0.25">
      <c r="B17" s="3">
        <f t="shared" si="1"/>
        <v>2029</v>
      </c>
      <c r="C17" s="56">
        <f>ROUND(Total!D17-Total!C17,3)</f>
        <v>7.9820000000000002</v>
      </c>
      <c r="D17" s="56">
        <f>ROUND(Total!E17-Total!D17,3)</f>
        <v>1.399</v>
      </c>
      <c r="E17" s="56">
        <f>ROUND(Total!F17-Total!E17,3)</f>
        <v>2.3919999999999999</v>
      </c>
      <c r="F17" s="56">
        <f>ROUND(Total!G17-Total!F17,3)</f>
        <v>0.19</v>
      </c>
      <c r="G17" s="56">
        <f t="shared" si="2"/>
        <v>11.962999999999999</v>
      </c>
      <c r="H17" s="55"/>
      <c r="I17" s="65"/>
      <c r="J17" s="19"/>
    </row>
    <row r="18" spans="2:10" ht="15.75" x14ac:dyDescent="0.25">
      <c r="B18" s="3">
        <f t="shared" si="1"/>
        <v>2030</v>
      </c>
      <c r="C18" s="56">
        <f>ROUND(Total!D18-Total!C18,3)</f>
        <v>6.7709999999999999</v>
      </c>
      <c r="D18" s="56">
        <f>ROUND(Total!E18-Total!D18,3)</f>
        <v>0.46800000000000003</v>
      </c>
      <c r="E18" s="56">
        <f>ROUND(Total!F18-Total!E18,3)</f>
        <v>1.389</v>
      </c>
      <c r="F18" s="56">
        <f>ROUND(Total!G18-Total!F18,3)</f>
        <v>5.2999999999999999E-2</v>
      </c>
      <c r="G18" s="56">
        <f t="shared" si="2"/>
        <v>8.6810000000000009</v>
      </c>
      <c r="H18" s="55"/>
      <c r="I18" s="65"/>
      <c r="J18" s="19"/>
    </row>
    <row r="19" spans="2:10" ht="15.75" x14ac:dyDescent="0.25">
      <c r="B19" s="3">
        <f t="shared" si="1"/>
        <v>2031</v>
      </c>
      <c r="C19" s="56">
        <f>ROUND(Total!D19-Total!C19,3)</f>
        <v>4.5309999999999997</v>
      </c>
      <c r="D19" s="56">
        <f>ROUND(Total!E19-Total!D19,3)</f>
        <v>0.33400000000000002</v>
      </c>
      <c r="E19" s="56">
        <f>ROUND(Total!F19-Total!E19,3)</f>
        <v>0.69</v>
      </c>
      <c r="F19" s="56">
        <f>ROUND(Total!G19-Total!F19,3)</f>
        <v>0.13500000000000001</v>
      </c>
      <c r="G19" s="56">
        <f t="shared" si="2"/>
        <v>5.6899999999999995</v>
      </c>
      <c r="H19" s="55"/>
      <c r="I19" s="65"/>
      <c r="J19" s="19"/>
    </row>
    <row r="20" spans="2:10" ht="15.75" x14ac:dyDescent="0.25">
      <c r="B20" s="3">
        <f t="shared" si="1"/>
        <v>2032</v>
      </c>
      <c r="C20" s="56">
        <f>ROUND(Total!D20-Total!C20,3)</f>
        <v>4.3380000000000001</v>
      </c>
      <c r="D20" s="56">
        <f>ROUND(Total!E20-Total!D20,3)</f>
        <v>0.34200000000000003</v>
      </c>
      <c r="E20" s="56">
        <f>ROUND(Total!F20-Total!E20,3)</f>
        <v>1.0209999999999999</v>
      </c>
      <c r="F20" s="56">
        <f>ROUND(Total!G20-Total!F20,3)</f>
        <v>9.0999999999999998E-2</v>
      </c>
      <c r="G20" s="56">
        <f t="shared" si="2"/>
        <v>5.7919999999999998</v>
      </c>
      <c r="H20" s="55"/>
      <c r="I20" s="65"/>
      <c r="J20" s="19"/>
    </row>
    <row r="21" spans="2:10" ht="15.75" x14ac:dyDescent="0.25">
      <c r="B21" s="3">
        <f t="shared" si="1"/>
        <v>2033</v>
      </c>
      <c r="C21" s="56">
        <f>ROUND(Total!D21-Total!C21,3)</f>
        <v>2.9039999999999999</v>
      </c>
      <c r="D21" s="56">
        <f>ROUND(Total!E21-Total!D21,3)</f>
        <v>0.127</v>
      </c>
      <c r="E21" s="56">
        <f>ROUND(Total!F21-Total!E21,3)</f>
        <v>0.91800000000000004</v>
      </c>
      <c r="F21" s="56">
        <f>ROUND(Total!G21-Total!F21,3)</f>
        <v>9.6000000000000002E-2</v>
      </c>
      <c r="G21" s="56">
        <f t="shared" si="2"/>
        <v>4.0449999999999999</v>
      </c>
      <c r="H21" s="55"/>
      <c r="I21" s="65"/>
      <c r="J21" s="19"/>
    </row>
    <row r="22" spans="2:10" ht="15.75" x14ac:dyDescent="0.25">
      <c r="B22" s="3">
        <f t="shared" si="1"/>
        <v>2034</v>
      </c>
      <c r="C22" s="56">
        <f>ROUND(Total!D22-Total!C22,3)</f>
        <v>-7.2999999999999995E-2</v>
      </c>
      <c r="D22" s="56">
        <f>ROUND(Total!E22-Total!D22,3)</f>
        <v>0.29699999999999999</v>
      </c>
      <c r="E22" s="56">
        <f>ROUND(Total!F22-Total!E22,3)</f>
        <v>0.41299999999999998</v>
      </c>
      <c r="F22" s="56">
        <f>ROUND(Total!G22-Total!F22,3)</f>
        <v>8.3000000000000004E-2</v>
      </c>
      <c r="G22" s="56">
        <f t="shared" si="2"/>
        <v>0.72</v>
      </c>
      <c r="H22" s="55"/>
      <c r="I22" s="65"/>
      <c r="J22" s="19"/>
    </row>
    <row r="23" spans="2:10" ht="15.75" x14ac:dyDescent="0.25">
      <c r="B23" s="3">
        <f t="shared" si="1"/>
        <v>2035</v>
      </c>
      <c r="C23" s="56">
        <f>ROUND(Total!D23-Total!C23,3)</f>
        <v>0.27500000000000002</v>
      </c>
      <c r="D23" s="56">
        <f>ROUND(Total!E23-Total!D23,3)</f>
        <v>0.33800000000000002</v>
      </c>
      <c r="E23" s="56">
        <f>ROUND(Total!F23-Total!E23,3)</f>
        <v>0.27500000000000002</v>
      </c>
      <c r="F23" s="56">
        <f>ROUND(Total!G23-Total!F23,3)</f>
        <v>6.2E-2</v>
      </c>
      <c r="G23" s="56">
        <f t="shared" si="2"/>
        <v>0.95</v>
      </c>
      <c r="H23" s="55"/>
      <c r="I23" s="65"/>
      <c r="J23" s="19"/>
    </row>
    <row r="24" spans="2:10" ht="15.75" x14ac:dyDescent="0.25">
      <c r="B24" s="3">
        <f t="shared" si="1"/>
        <v>2036</v>
      </c>
      <c r="C24" s="56">
        <f>ROUND(Total!D24-Total!C24,3)</f>
        <v>0.99</v>
      </c>
      <c r="D24" s="56">
        <f>ROUND(Total!E24-Total!D24,3)</f>
        <v>0.29199999999999998</v>
      </c>
      <c r="E24" s="56">
        <f>ROUND(Total!F24-Total!E24,3)</f>
        <v>0.245</v>
      </c>
      <c r="F24" s="56">
        <f>ROUND(Total!G24-Total!F24,3)</f>
        <v>0.115</v>
      </c>
      <c r="G24" s="56">
        <f t="shared" si="2"/>
        <v>1.6420000000000001</v>
      </c>
      <c r="H24" s="55"/>
      <c r="I24" s="65"/>
      <c r="J24" s="19"/>
    </row>
    <row r="25" spans="2:10" ht="15.75" x14ac:dyDescent="0.25">
      <c r="B25" s="3">
        <f t="shared" si="1"/>
        <v>2037</v>
      </c>
      <c r="C25" s="56">
        <f>ROUND(Total!D25-Total!C25,3)</f>
        <v>-0.45500000000000002</v>
      </c>
      <c r="D25" s="56">
        <f>ROUND(Total!E25-Total!D25,3)</f>
        <v>0.112</v>
      </c>
      <c r="E25" s="56">
        <f>ROUND(Total!F25-Total!E25,3)</f>
        <v>1.206</v>
      </c>
      <c r="F25" s="56">
        <f>ROUND(Total!G25-Total!F25,3)</f>
        <v>-1.141</v>
      </c>
      <c r="G25" s="56">
        <f t="shared" si="2"/>
        <v>-0.27800000000000002</v>
      </c>
      <c r="H25" s="55"/>
      <c r="I25" s="65"/>
      <c r="J25" s="19"/>
    </row>
    <row r="26" spans="2:10" ht="15.75" x14ac:dyDescent="0.25">
      <c r="B26" s="3">
        <f t="shared" si="1"/>
        <v>2038</v>
      </c>
      <c r="C26" s="56">
        <f>ROUND(Total!D26-Total!C26,3)</f>
        <v>-0.45300000000000001</v>
      </c>
      <c r="D26" s="56">
        <f>ROUND(Total!E26-Total!D26,3)</f>
        <v>0.34799999999999998</v>
      </c>
      <c r="E26" s="56">
        <f>ROUND(Total!F26-Total!E26,3)</f>
        <v>0.55600000000000005</v>
      </c>
      <c r="F26" s="56">
        <f>ROUND(Total!G26-Total!F26,3)</f>
        <v>1.2430000000000001</v>
      </c>
      <c r="G26" s="56">
        <f t="shared" si="2"/>
        <v>1.6940000000000002</v>
      </c>
      <c r="H26" s="55"/>
      <c r="I26" s="65"/>
      <c r="J26" s="19"/>
    </row>
    <row r="27" spans="2:10" ht="15.75" x14ac:dyDescent="0.25">
      <c r="B27" s="3">
        <f t="shared" si="1"/>
        <v>2039</v>
      </c>
      <c r="C27" s="56">
        <f>ROUND(Total!D27-Total!C27,3)</f>
        <v>-1.4910000000000001</v>
      </c>
      <c r="D27" s="56">
        <f>ROUND(Total!E27-Total!D27,3)</f>
        <v>0.36799999999999999</v>
      </c>
      <c r="E27" s="56">
        <f>ROUND(Total!F27-Total!E27,3)</f>
        <v>0.879</v>
      </c>
      <c r="F27" s="56">
        <f>ROUND(Total!G27-Total!F27,3)</f>
        <v>7.4999999999999997E-2</v>
      </c>
      <c r="G27" s="56">
        <f t="shared" si="2"/>
        <v>-0.16900000000000021</v>
      </c>
      <c r="H27" s="55"/>
      <c r="I27" s="65"/>
      <c r="J27" s="19"/>
    </row>
    <row r="28" spans="2:10" x14ac:dyDescent="0.2">
      <c r="C28" s="46"/>
      <c r="D28" s="46"/>
      <c r="E28" s="46"/>
      <c r="F28" s="46"/>
      <c r="G28" s="46"/>
      <c r="H28" s="55"/>
    </row>
    <row r="29" spans="2:10" x14ac:dyDescent="0.2">
      <c r="B29" s="13" t="str">
        <f>Total!B29</f>
        <v>Nominal Levelized Payment at 6.880% Discount Rate (3)</v>
      </c>
      <c r="C29" s="58"/>
      <c r="D29" s="58"/>
      <c r="E29" s="58"/>
      <c r="F29" s="58"/>
      <c r="G29" s="58"/>
      <c r="H29" s="55"/>
      <c r="I29" s="1" t="s">
        <v>15</v>
      </c>
    </row>
    <row r="30" spans="2:10" x14ac:dyDescent="0.2">
      <c r="B30" s="8" t="str">
        <f>B11&amp;" - "&amp;B25</f>
        <v>2023 - 2037</v>
      </c>
      <c r="C30" s="57">
        <f>ROUND(Total!D30-Total!C30,3)</f>
        <v>4.68</v>
      </c>
      <c r="D30" s="57">
        <f>ROUND(Total!E30-Total!D30,3)</f>
        <v>2.29</v>
      </c>
      <c r="E30" s="57">
        <f>ROUND(Total!F30-Total!E30,3)</f>
        <v>2.78</v>
      </c>
      <c r="F30" s="57">
        <f>ROUND(Total!G30-Total!F30,3)</f>
        <v>-0.05</v>
      </c>
      <c r="G30" s="57">
        <f>SUM(C30:F30)</f>
        <v>9.6999999999999993</v>
      </c>
      <c r="H30" s="55"/>
      <c r="I30" s="63">
        <f>SUM(C30:F30)-G30</f>
        <v>0</v>
      </c>
    </row>
    <row r="31" spans="2:10" x14ac:dyDescent="0.2">
      <c r="B31" s="8" t="str">
        <f>B12&amp;" - "&amp;B26</f>
        <v>2024 - 2038</v>
      </c>
      <c r="C31" s="57">
        <f>ROUND(Total!D31-Total!C31,3)</f>
        <v>4.5599999999999996</v>
      </c>
      <c r="D31" s="57">
        <f>ROUND(Total!E31-Total!D31,3)</f>
        <v>1.7</v>
      </c>
      <c r="E31" s="57">
        <f>ROUND(Total!F31-Total!E31,3)</f>
        <v>2.5099999999999998</v>
      </c>
      <c r="F31" s="57">
        <f>ROUND(Total!G31-Total!F31,3)</f>
        <v>0.13</v>
      </c>
      <c r="G31" s="57">
        <f t="shared" ref="G31:G32" si="3">SUM(C31:F31)</f>
        <v>8.9</v>
      </c>
      <c r="H31" s="55"/>
      <c r="I31" s="63">
        <f t="shared" ref="I31:I32" si="4">SUM(C31:F31)-G31</f>
        <v>0</v>
      </c>
    </row>
    <row r="32" spans="2:10" x14ac:dyDescent="0.2">
      <c r="B32" s="8" t="str">
        <f>B13&amp;" - "&amp;B27</f>
        <v>2025 - 2039</v>
      </c>
      <c r="C32" s="57">
        <f>ROUND(Total!D32-Total!C32,3)</f>
        <v>4.33</v>
      </c>
      <c r="D32" s="57">
        <f>ROUND(Total!E32-Total!D32,3)</f>
        <v>1.26</v>
      </c>
      <c r="E32" s="57">
        <f>ROUND(Total!F32-Total!E32,3)</f>
        <v>2.5099999999999998</v>
      </c>
      <c r="F32" s="57">
        <f>ROUND(Total!G32-Total!F32,3)</f>
        <v>0.14000000000000001</v>
      </c>
      <c r="G32" s="57">
        <f t="shared" si="3"/>
        <v>8.24</v>
      </c>
      <c r="H32" s="55"/>
      <c r="I32" s="63">
        <f t="shared" si="4"/>
        <v>0</v>
      </c>
    </row>
    <row r="33" spans="2:7" x14ac:dyDescent="0.2">
      <c r="D33" s="46"/>
      <c r="E33" s="46"/>
      <c r="F33" s="46"/>
      <c r="G33" s="48"/>
    </row>
    <row r="34" spans="2:7" x14ac:dyDescent="0.2">
      <c r="B34" s="1" t="str">
        <f>Total!B34</f>
        <v>(1)   Studies are sequential.  The order of the studies would affect the price impact.</v>
      </c>
      <c r="D34" s="46"/>
      <c r="E34" s="46"/>
      <c r="F34" s="46"/>
      <c r="G34" s="46"/>
    </row>
    <row r="35" spans="2:7" x14ac:dyDescent="0.2">
      <c r="B35" s="1" t="str">
        <f>Total!B35</f>
        <v>(2)   Official Forward Price Curve Dated September 2022</v>
      </c>
    </row>
    <row r="36" spans="2:7" x14ac:dyDescent="0.2">
      <c r="B36" s="1" t="str">
        <f>Total!B36</f>
        <v>(3)   Discount Rate - 2021 IRP - Calculated Annually</v>
      </c>
      <c r="D36" s="8"/>
      <c r="E36" s="8"/>
      <c r="F36" s="8"/>
    </row>
    <row r="37" spans="2:7" x14ac:dyDescent="0.2">
      <c r="B37" s="1" t="str">
        <f>Total!B37</f>
        <v>(4)   Capacity costs are allocated based on assumed 100% capacity factor.</v>
      </c>
    </row>
    <row r="38" spans="2:7" x14ac:dyDescent="0.2">
      <c r="B38" s="1" t="str">
        <f>Total!B38</f>
        <v>(5)   Avoided Capacity costs are bsed on Partial Displacement of non-emitting  Peaker in 2031 from</v>
      </c>
    </row>
    <row r="39" spans="2:7" x14ac:dyDescent="0.2">
      <c r="B39" s="1" t="str">
        <f>Total!B39</f>
        <v xml:space="preserve">       2021 IRP Update Preferred Portfolio.</v>
      </c>
    </row>
    <row r="40" spans="2:7" hidden="1" x14ac:dyDescent="0.2">
      <c r="B40" s="21" t="s">
        <v>11</v>
      </c>
      <c r="C40" s="21"/>
    </row>
    <row r="41" spans="2:7" hidden="1" x14ac:dyDescent="0.2">
      <c r="B41" s="37">
        <f>Discount_Rate</f>
        <v>6.88E-2</v>
      </c>
      <c r="C41" s="37"/>
    </row>
  </sheetData>
  <phoneticPr fontId="2" type="noConversion"/>
  <printOptions horizontalCentered="1"/>
  <pageMargins left="0.25" right="0.25" top="0.75" bottom="0.75" header="0.3" footer="0.2"/>
  <pageSetup scale="88" orientation="landscape" r:id="rId1"/>
  <headerFooter alignWithMargins="0">
    <oddFooter>&amp;L&amp;8NPC Group - &amp;F   ( &amp;A )&amp;C&amp;8Page &amp;P of &amp;N&amp;R&amp;8&amp;D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42"/>
    <pageSetUpPr fitToPage="1"/>
  </sheetPr>
  <dimension ref="B1:P45"/>
  <sheetViews>
    <sheetView tabSelected="1" view="pageBreakPreview" zoomScale="70" zoomScaleNormal="70" zoomScaleSheetLayoutView="70" workbookViewId="0">
      <pane xSplit="2" ySplit="9" topLeftCell="C22" activePane="bottomRight" state="frozen"/>
      <selection pane="topRight"/>
      <selection pane="bottomLeft"/>
      <selection pane="bottomRight"/>
    </sheetView>
  </sheetViews>
  <sheetFormatPr defaultColWidth="9.140625" defaultRowHeight="15" x14ac:dyDescent="0.2"/>
  <cols>
    <col min="1" max="1" width="1.85546875" style="1" customWidth="1"/>
    <col min="2" max="2" width="18.7109375" style="1" customWidth="1"/>
    <col min="3" max="7" width="17.7109375" style="1" customWidth="1"/>
    <col min="8" max="8" width="26.5703125" style="1" customWidth="1"/>
    <col min="9" max="9" width="11.5703125" style="1" customWidth="1"/>
    <col min="10" max="10" width="16.42578125" style="1" customWidth="1"/>
    <col min="11" max="11" width="13.85546875" style="1" customWidth="1"/>
    <col min="12" max="14" width="9.140625" style="1"/>
    <col min="15" max="15" width="10.28515625" style="1" customWidth="1"/>
    <col min="16" max="16384" width="9.140625" style="1"/>
  </cols>
  <sheetData>
    <row r="1" spans="2:16" ht="15.75" x14ac:dyDescent="0.25">
      <c r="B1" s="6" t="s">
        <v>3</v>
      </c>
      <c r="C1" s="6"/>
      <c r="D1" s="6"/>
      <c r="E1" s="6"/>
      <c r="F1" s="6"/>
      <c r="G1" s="6"/>
    </row>
    <row r="2" spans="2:16" ht="8.25" customHeight="1" x14ac:dyDescent="0.25">
      <c r="B2" s="6"/>
      <c r="C2" s="6"/>
      <c r="D2" s="6"/>
      <c r="E2" s="6"/>
      <c r="F2" s="6"/>
      <c r="G2" s="6"/>
    </row>
    <row r="3" spans="2:16" ht="15.75" x14ac:dyDescent="0.25">
      <c r="B3" s="6" t="s">
        <v>1</v>
      </c>
      <c r="C3" s="6"/>
      <c r="D3" s="6"/>
      <c r="E3" s="6"/>
      <c r="F3" s="6"/>
      <c r="G3" s="6"/>
    </row>
    <row r="4" spans="2:16" ht="15.75" x14ac:dyDescent="0.25">
      <c r="B4" s="6" t="str">
        <f>Capacity!$B$4</f>
        <v>Step Study between 2022.Q3 and 2022.Q2 Compliance Filing</v>
      </c>
      <c r="C4" s="6"/>
      <c r="D4" s="6"/>
      <c r="E4" s="6"/>
      <c r="F4" s="6"/>
      <c r="G4" s="6"/>
    </row>
    <row r="5" spans="2:16" ht="15.75" x14ac:dyDescent="0.25">
      <c r="B5" s="6" t="s">
        <v>9</v>
      </c>
      <c r="C5" s="6"/>
      <c r="D5" s="6"/>
      <c r="E5" s="6"/>
      <c r="F5" s="6"/>
      <c r="G5" s="6"/>
    </row>
    <row r="6" spans="2:16" s="18" customFormat="1" ht="15.75" x14ac:dyDescent="0.25">
      <c r="B6" s="16"/>
      <c r="C6" s="16"/>
      <c r="D6" s="16"/>
      <c r="E6" s="16"/>
      <c r="F6" s="16"/>
      <c r="G6" s="17"/>
    </row>
    <row r="7" spans="2:16" ht="17.25" customHeight="1" x14ac:dyDescent="0.25">
      <c r="B7" s="41"/>
      <c r="C7" s="42" t="str">
        <f>Energy!C7</f>
        <v>2022.Q2</v>
      </c>
      <c r="D7" s="42" t="str">
        <f>Energy!D7</f>
        <v>OFPC</v>
      </c>
      <c r="E7" s="42" t="str">
        <f>Energy!E7</f>
        <v>Generic</v>
      </c>
      <c r="F7" s="42" t="str">
        <f>Energy!F7</f>
        <v>Load Fcst</v>
      </c>
      <c r="G7" s="42" t="str">
        <f>Energy!G7</f>
        <v>Queue</v>
      </c>
    </row>
    <row r="8" spans="2:16" ht="15.75" x14ac:dyDescent="0.25">
      <c r="B8" s="7" t="s">
        <v>0</v>
      </c>
      <c r="C8" s="2" t="str">
        <f>Energy!C8</f>
        <v>As Filed</v>
      </c>
      <c r="D8" s="64" t="s">
        <v>16</v>
      </c>
      <c r="E8" s="64"/>
      <c r="F8" s="64"/>
      <c r="G8" s="64" t="s">
        <v>20</v>
      </c>
    </row>
    <row r="9" spans="2:16" ht="4.7" customHeight="1" x14ac:dyDescent="0.2"/>
    <row r="10" spans="2:16" ht="15.75" hidden="1" x14ac:dyDescent="0.25">
      <c r="B10" s="3"/>
      <c r="C10" s="60"/>
      <c r="D10" s="60"/>
      <c r="E10" s="60"/>
      <c r="F10" s="60"/>
      <c r="G10" s="60"/>
      <c r="I10" s="43"/>
      <c r="J10" s="49"/>
      <c r="K10" s="43"/>
      <c r="L10" s="43"/>
      <c r="M10" s="43"/>
      <c r="N10" s="43"/>
      <c r="O10" s="43"/>
    </row>
    <row r="11" spans="2:16" ht="15.75" x14ac:dyDescent="0.25">
      <c r="B11" s="3">
        <f>Energy!B11</f>
        <v>2023</v>
      </c>
      <c r="C11" s="60">
        <f>ROUND(Capacity!$I11+Energy!C11,3)</f>
        <v>43.677</v>
      </c>
      <c r="D11" s="60">
        <f>ROUND(Capacity!$J11+Energy!D11,3)</f>
        <v>47.552999999999997</v>
      </c>
      <c r="E11" s="60">
        <f>ROUND(Capacity!$K11+Energy!E11,3)</f>
        <v>54.539000000000001</v>
      </c>
      <c r="F11" s="60">
        <f>ROUND(Capacity!$K11+Energy!F11,3)</f>
        <v>58.875999999999998</v>
      </c>
      <c r="G11" s="60">
        <f>ROUND(Capacity!$M11+Energy!G11,3)</f>
        <v>57.746000000000002</v>
      </c>
      <c r="H11" s="63"/>
      <c r="I11" s="63"/>
      <c r="J11" s="63"/>
      <c r="K11" s="63"/>
      <c r="L11" s="43"/>
      <c r="M11" s="43"/>
      <c r="N11" s="43"/>
      <c r="O11" s="43"/>
    </row>
    <row r="12" spans="2:16" ht="15.75" x14ac:dyDescent="0.25">
      <c r="B12" s="3">
        <f t="shared" ref="B12:B27" si="0">B11+1</f>
        <v>2024</v>
      </c>
      <c r="C12" s="60">
        <f>ROUND(Capacity!$I12+Energy!C12,3)</f>
        <v>51.039000000000001</v>
      </c>
      <c r="D12" s="60">
        <f>ROUND(Capacity!$J12+Energy!D12,3)</f>
        <v>55.460999999999999</v>
      </c>
      <c r="E12" s="60">
        <f>ROUND(Capacity!$K12+Energy!E12,3)</f>
        <v>60.749000000000002</v>
      </c>
      <c r="F12" s="60">
        <f>ROUND(Capacity!$K12+Energy!F12,3)</f>
        <v>62.718000000000004</v>
      </c>
      <c r="G12" s="60">
        <f>ROUND(Capacity!$M12+Energy!G12,3)</f>
        <v>62.707999999999998</v>
      </c>
      <c r="H12" s="63"/>
      <c r="I12" s="63"/>
      <c r="J12" s="63"/>
      <c r="K12" s="63"/>
      <c r="L12" s="43"/>
      <c r="M12" s="43"/>
      <c r="N12" s="43"/>
      <c r="O12" s="43"/>
    </row>
    <row r="13" spans="2:16" ht="15.75" x14ac:dyDescent="0.25">
      <c r="B13" s="3">
        <f t="shared" si="0"/>
        <v>2025</v>
      </c>
      <c r="C13" s="60">
        <f>ROUND(Capacity!$I13+Energy!C13,3)</f>
        <v>35.982999999999997</v>
      </c>
      <c r="D13" s="60">
        <f>ROUND(Capacity!$J13+Energy!D13,3)</f>
        <v>38.561</v>
      </c>
      <c r="E13" s="60">
        <f>ROUND(Capacity!$K13+Energy!E13,3)</f>
        <v>42.207000000000001</v>
      </c>
      <c r="F13" s="60">
        <f>ROUND(Capacity!$K13+Energy!F13,3)</f>
        <v>46.441000000000003</v>
      </c>
      <c r="G13" s="60">
        <f>ROUND(Capacity!$M13+Energy!G13,3)</f>
        <v>46.948</v>
      </c>
      <c r="H13" s="63"/>
      <c r="I13" s="63"/>
      <c r="J13" s="63"/>
      <c r="K13" s="63"/>
      <c r="L13" s="43"/>
      <c r="M13" s="43"/>
      <c r="N13" s="43"/>
      <c r="O13" s="43"/>
      <c r="P13" s="5"/>
    </row>
    <row r="14" spans="2:16" ht="15.75" x14ac:dyDescent="0.25">
      <c r="B14" s="3">
        <f t="shared" si="0"/>
        <v>2026</v>
      </c>
      <c r="C14" s="60">
        <f>ROUND(Capacity!$I14+Energy!C14,3)</f>
        <v>31.233000000000001</v>
      </c>
      <c r="D14" s="60">
        <f>ROUND(Capacity!$J14+Energy!D14,3)</f>
        <v>39.414000000000001</v>
      </c>
      <c r="E14" s="60">
        <f>ROUND(Capacity!$K14+Energy!E14,3)</f>
        <v>42.651000000000003</v>
      </c>
      <c r="F14" s="60">
        <f>ROUND(Capacity!$K14+Energy!F14,3)</f>
        <v>50.06</v>
      </c>
      <c r="G14" s="60">
        <f>ROUND(Capacity!$M14+Energy!G14,3)</f>
        <v>50.152000000000001</v>
      </c>
      <c r="H14" s="63"/>
      <c r="I14" s="63"/>
      <c r="J14" s="63"/>
      <c r="K14" s="63"/>
      <c r="L14" s="43"/>
      <c r="M14" s="43"/>
      <c r="N14" s="43"/>
      <c r="O14" s="43"/>
    </row>
    <row r="15" spans="2:16" ht="15.75" x14ac:dyDescent="0.25">
      <c r="B15" s="3">
        <f t="shared" si="0"/>
        <v>2027</v>
      </c>
      <c r="C15" s="60">
        <f>ROUND(Capacity!$I15+Energy!C15,3)</f>
        <v>30.183</v>
      </c>
      <c r="D15" s="60">
        <f>ROUND(Capacity!$J15+Energy!D15,3)</f>
        <v>39.134999999999998</v>
      </c>
      <c r="E15" s="60">
        <f>ROUND(Capacity!$K15+Energy!E15,3)</f>
        <v>41.194000000000003</v>
      </c>
      <c r="F15" s="60">
        <f>ROUND(Capacity!$K15+Energy!F15,3)</f>
        <v>45.966000000000001</v>
      </c>
      <c r="G15" s="60">
        <f>ROUND(Capacity!$M15+Energy!G15,3)</f>
        <v>46.046999999999997</v>
      </c>
      <c r="H15" s="63"/>
      <c r="I15" s="63"/>
      <c r="J15" s="63"/>
      <c r="K15" s="63"/>
      <c r="L15" s="43"/>
      <c r="M15" s="43"/>
      <c r="N15" s="43"/>
      <c r="O15" s="43"/>
    </row>
    <row r="16" spans="2:16" ht="15.75" x14ac:dyDescent="0.25">
      <c r="B16" s="3">
        <f t="shared" si="0"/>
        <v>2028</v>
      </c>
      <c r="C16" s="60">
        <f>ROUND(Capacity!$I16+Energy!C16,3)</f>
        <v>31.518000000000001</v>
      </c>
      <c r="D16" s="60">
        <f>ROUND(Capacity!$J16+Energy!D16,3)</f>
        <v>39.322000000000003</v>
      </c>
      <c r="E16" s="60">
        <f>ROUND(Capacity!$K16+Energy!E16,3)</f>
        <v>40.652999999999999</v>
      </c>
      <c r="F16" s="60">
        <f>ROUND(Capacity!$K16+Energy!F16,3)</f>
        <v>44.56</v>
      </c>
      <c r="G16" s="60">
        <f>ROUND(Capacity!$M16+Energy!G16,3)</f>
        <v>44.734999999999999</v>
      </c>
      <c r="H16" s="63"/>
      <c r="I16" s="63"/>
      <c r="J16" s="63"/>
      <c r="K16" s="63"/>
      <c r="L16" s="43"/>
      <c r="M16" s="43"/>
      <c r="N16" s="43"/>
      <c r="O16" s="43"/>
    </row>
    <row r="17" spans="2:15" ht="15.75" x14ac:dyDescent="0.25">
      <c r="B17" s="3">
        <f t="shared" si="0"/>
        <v>2029</v>
      </c>
      <c r="C17" s="60">
        <f>ROUND(Capacity!$I17+Energy!C17,3)</f>
        <v>33.087000000000003</v>
      </c>
      <c r="D17" s="60">
        <f>ROUND(Capacity!$J17+Energy!D17,3)</f>
        <v>41.069000000000003</v>
      </c>
      <c r="E17" s="60">
        <f>ROUND(Capacity!$K17+Energy!E17,3)</f>
        <v>42.468000000000004</v>
      </c>
      <c r="F17" s="60">
        <f>ROUND(Capacity!$K17+Energy!F17,3)</f>
        <v>44.86</v>
      </c>
      <c r="G17" s="60">
        <f>ROUND(Capacity!$M17+Energy!G17,3)</f>
        <v>45.05</v>
      </c>
      <c r="H17" s="63"/>
      <c r="I17" s="63"/>
      <c r="J17" s="63"/>
      <c r="K17" s="63"/>
      <c r="L17" s="43"/>
      <c r="M17" s="43"/>
      <c r="N17" s="43"/>
      <c r="O17" s="43"/>
    </row>
    <row r="18" spans="2:15" ht="15.75" x14ac:dyDescent="0.25">
      <c r="B18" s="3">
        <f t="shared" si="0"/>
        <v>2030</v>
      </c>
      <c r="C18" s="60">
        <f>ROUND(Capacity!$I18+Energy!C18,3)</f>
        <v>32.573</v>
      </c>
      <c r="D18" s="60">
        <f>ROUND(Capacity!$J18+Energy!D18,3)</f>
        <v>39.344000000000001</v>
      </c>
      <c r="E18" s="60">
        <f>ROUND(Capacity!$K18+Energy!E18,3)</f>
        <v>39.811999999999998</v>
      </c>
      <c r="F18" s="60">
        <f>ROUND(Capacity!$K18+Energy!F18,3)</f>
        <v>41.201000000000001</v>
      </c>
      <c r="G18" s="60">
        <f>ROUND(Capacity!$M18+Energy!G18,3)</f>
        <v>41.253999999999998</v>
      </c>
      <c r="H18" s="63"/>
      <c r="I18" s="63"/>
      <c r="J18" s="63"/>
      <c r="K18" s="63"/>
      <c r="L18" s="43"/>
      <c r="M18" s="43"/>
      <c r="N18" s="43"/>
      <c r="O18" s="43"/>
    </row>
    <row r="19" spans="2:15" ht="15.75" x14ac:dyDescent="0.25">
      <c r="B19" s="3">
        <f t="shared" si="0"/>
        <v>2031</v>
      </c>
      <c r="C19" s="60">
        <f>ROUND(Capacity!$I19+Energy!C19,3)</f>
        <v>42.695</v>
      </c>
      <c r="D19" s="60">
        <f>ROUND(Capacity!$J19+Energy!D19,3)</f>
        <v>47.225999999999999</v>
      </c>
      <c r="E19" s="60">
        <f>ROUND(Capacity!$K19+Energy!E19,3)</f>
        <v>47.56</v>
      </c>
      <c r="F19" s="60">
        <f>ROUND(Capacity!$K19+Energy!F19,3)</f>
        <v>48.25</v>
      </c>
      <c r="G19" s="60">
        <f>ROUND(Capacity!$M19+Energy!G19,3)</f>
        <v>48.384999999999998</v>
      </c>
      <c r="H19" s="63"/>
      <c r="I19" s="63"/>
      <c r="J19" s="63"/>
      <c r="K19" s="63"/>
      <c r="L19" s="43"/>
      <c r="M19" s="43"/>
      <c r="N19" s="43"/>
      <c r="O19" s="43"/>
    </row>
    <row r="20" spans="2:15" ht="15.75" x14ac:dyDescent="0.25">
      <c r="B20" s="3">
        <f t="shared" si="0"/>
        <v>2032</v>
      </c>
      <c r="C20" s="60">
        <f>ROUND(Capacity!$I20+Energy!C20,3)</f>
        <v>41.917000000000002</v>
      </c>
      <c r="D20" s="60">
        <f>ROUND(Capacity!$J20+Energy!D20,3)</f>
        <v>46.255000000000003</v>
      </c>
      <c r="E20" s="60">
        <f>ROUND(Capacity!$K20+Energy!E20,3)</f>
        <v>46.597000000000001</v>
      </c>
      <c r="F20" s="60">
        <f>ROUND(Capacity!$K20+Energy!F20,3)</f>
        <v>47.618000000000002</v>
      </c>
      <c r="G20" s="60">
        <f>ROUND(Capacity!$M20+Energy!G20,3)</f>
        <v>47.709000000000003</v>
      </c>
      <c r="H20" s="63"/>
      <c r="I20" s="63"/>
      <c r="J20" s="63"/>
      <c r="K20" s="63"/>
      <c r="L20" s="43"/>
      <c r="M20" s="43"/>
      <c r="N20" s="43"/>
      <c r="O20" s="43"/>
    </row>
    <row r="21" spans="2:15" ht="15.75" x14ac:dyDescent="0.25">
      <c r="B21" s="3">
        <f t="shared" si="0"/>
        <v>2033</v>
      </c>
      <c r="C21" s="60">
        <f>ROUND(Capacity!$I21+Energy!C21,3)</f>
        <v>43.786000000000001</v>
      </c>
      <c r="D21" s="60">
        <f>ROUND(Capacity!$J21+Energy!D21,3)</f>
        <v>46.69</v>
      </c>
      <c r="E21" s="60">
        <f>ROUND(Capacity!$K21+Energy!E21,3)</f>
        <v>46.817</v>
      </c>
      <c r="F21" s="60">
        <f>ROUND(Capacity!$K21+Energy!F21,3)</f>
        <v>47.734999999999999</v>
      </c>
      <c r="G21" s="60">
        <f>ROUND(Capacity!$M21+Energy!G21,3)</f>
        <v>47.831000000000003</v>
      </c>
      <c r="H21" s="63"/>
      <c r="I21" s="63"/>
      <c r="J21" s="63"/>
      <c r="K21" s="63"/>
      <c r="L21" s="43"/>
      <c r="M21" s="43"/>
      <c r="N21" s="43"/>
      <c r="O21" s="43"/>
    </row>
    <row r="22" spans="2:15" ht="15.75" x14ac:dyDescent="0.25">
      <c r="B22" s="3">
        <f t="shared" si="0"/>
        <v>2034</v>
      </c>
      <c r="C22" s="60">
        <f>ROUND(Capacity!$I22+Energy!C22,3)</f>
        <v>45.628999999999998</v>
      </c>
      <c r="D22" s="60">
        <f>ROUND(Capacity!$J22+Energy!D22,3)</f>
        <v>45.555999999999997</v>
      </c>
      <c r="E22" s="60">
        <f>ROUND(Capacity!$K22+Energy!E22,3)</f>
        <v>45.853000000000002</v>
      </c>
      <c r="F22" s="60">
        <f>ROUND(Capacity!$K22+Energy!F22,3)</f>
        <v>46.265999999999998</v>
      </c>
      <c r="G22" s="60">
        <f>ROUND(Capacity!$M22+Energy!G22,3)</f>
        <v>46.348999999999997</v>
      </c>
      <c r="H22" s="63"/>
      <c r="I22" s="63"/>
      <c r="J22" s="63"/>
      <c r="K22" s="63"/>
      <c r="L22" s="43"/>
      <c r="M22" s="43"/>
      <c r="N22" s="43"/>
      <c r="O22" s="43"/>
    </row>
    <row r="23" spans="2:15" ht="15.75" x14ac:dyDescent="0.25">
      <c r="B23" s="3">
        <f t="shared" si="0"/>
        <v>2035</v>
      </c>
      <c r="C23" s="60">
        <f>ROUND(Capacity!$I23+Energy!C23,3)</f>
        <v>47.003999999999998</v>
      </c>
      <c r="D23" s="60">
        <f>ROUND(Capacity!$J23+Energy!D23,3)</f>
        <v>47.279000000000003</v>
      </c>
      <c r="E23" s="60">
        <f>ROUND(Capacity!$K23+Energy!E23,3)</f>
        <v>47.616999999999997</v>
      </c>
      <c r="F23" s="60">
        <f>ROUND(Capacity!$K23+Energy!F23,3)</f>
        <v>47.892000000000003</v>
      </c>
      <c r="G23" s="60">
        <f>ROUND(Capacity!$M23+Energy!G23,3)</f>
        <v>47.954000000000001</v>
      </c>
      <c r="H23" s="63"/>
      <c r="I23" s="63"/>
      <c r="J23" s="63"/>
      <c r="K23" s="63"/>
      <c r="L23" s="43"/>
      <c r="M23" s="43"/>
      <c r="N23" s="43"/>
      <c r="O23" s="43"/>
    </row>
    <row r="24" spans="2:15" ht="15.75" x14ac:dyDescent="0.25">
      <c r="B24" s="3">
        <f t="shared" si="0"/>
        <v>2036</v>
      </c>
      <c r="C24" s="60">
        <f>ROUND(Capacity!$I24+Energy!C24,3)</f>
        <v>48.81</v>
      </c>
      <c r="D24" s="60">
        <f>ROUND(Capacity!$J24+Energy!D24,3)</f>
        <v>49.8</v>
      </c>
      <c r="E24" s="60">
        <f>ROUND(Capacity!$K24+Energy!E24,3)</f>
        <v>50.091999999999999</v>
      </c>
      <c r="F24" s="60">
        <f>ROUND(Capacity!$K24+Energy!F24,3)</f>
        <v>50.337000000000003</v>
      </c>
      <c r="G24" s="60">
        <f>ROUND(Capacity!$M24+Energy!G24,3)</f>
        <v>50.451999999999998</v>
      </c>
      <c r="H24" s="63"/>
      <c r="I24" s="63"/>
      <c r="J24" s="63"/>
      <c r="K24" s="63"/>
      <c r="L24" s="43"/>
      <c r="M24" s="43"/>
      <c r="N24" s="43"/>
      <c r="O24" s="43"/>
    </row>
    <row r="25" spans="2:15" ht="15.75" x14ac:dyDescent="0.25">
      <c r="B25" s="3">
        <f t="shared" si="0"/>
        <v>2037</v>
      </c>
      <c r="C25" s="60">
        <f>ROUND(Capacity!$I25+Energy!C25,3)</f>
        <v>58.593000000000004</v>
      </c>
      <c r="D25" s="60">
        <f>ROUND(Capacity!$J25+Energy!D25,3)</f>
        <v>58.137999999999998</v>
      </c>
      <c r="E25" s="60">
        <f>ROUND(Capacity!$K25+Energy!E25,3)</f>
        <v>58.25</v>
      </c>
      <c r="F25" s="60">
        <f>ROUND(Capacity!$K25+Energy!F25,3)</f>
        <v>59.456000000000003</v>
      </c>
      <c r="G25" s="60">
        <f>ROUND(Capacity!$M25+Energy!G25,3)</f>
        <v>58.314999999999998</v>
      </c>
      <c r="H25" s="63"/>
      <c r="I25" s="63"/>
      <c r="J25" s="63"/>
      <c r="K25" s="63"/>
      <c r="L25" s="43"/>
      <c r="M25" s="43"/>
      <c r="N25" s="43"/>
      <c r="O25" s="43"/>
    </row>
    <row r="26" spans="2:15" ht="15.75" x14ac:dyDescent="0.25">
      <c r="B26" s="3">
        <f t="shared" si="0"/>
        <v>2038</v>
      </c>
      <c r="C26" s="60">
        <f>ROUND(Capacity!$I26+Energy!C26,3)</f>
        <v>57.738999999999997</v>
      </c>
      <c r="D26" s="60">
        <f>ROUND(Capacity!$J26+Energy!D26,3)</f>
        <v>57.286000000000001</v>
      </c>
      <c r="E26" s="60">
        <f>ROUND(Capacity!$K26+Energy!E26,3)</f>
        <v>57.634</v>
      </c>
      <c r="F26" s="60">
        <f>ROUND(Capacity!$K26+Energy!F26,3)</f>
        <v>58.19</v>
      </c>
      <c r="G26" s="60">
        <f>ROUND(Capacity!$M26+Energy!G26,3)</f>
        <v>59.433</v>
      </c>
      <c r="H26" s="63"/>
      <c r="I26" s="63"/>
      <c r="J26" s="63"/>
      <c r="K26" s="63"/>
      <c r="L26" s="43"/>
      <c r="M26" s="43"/>
      <c r="N26" s="43"/>
      <c r="O26" s="43"/>
    </row>
    <row r="27" spans="2:15" ht="15.75" x14ac:dyDescent="0.25">
      <c r="B27" s="3">
        <f t="shared" si="0"/>
        <v>2039</v>
      </c>
      <c r="C27" s="60">
        <f>ROUND(Capacity!$I27+Energy!C27,3)</f>
        <v>59.723999999999997</v>
      </c>
      <c r="D27" s="60">
        <f>ROUND(Capacity!$J27+Energy!D27,3)</f>
        <v>58.232999999999997</v>
      </c>
      <c r="E27" s="60">
        <f>ROUND(Capacity!$K27+Energy!E27,3)</f>
        <v>58.600999999999999</v>
      </c>
      <c r="F27" s="60">
        <f>ROUND(Capacity!$K27+Energy!F27,3)</f>
        <v>59.48</v>
      </c>
      <c r="G27" s="60">
        <f>ROUND(Capacity!$M27+Energy!G27,3)</f>
        <v>59.555</v>
      </c>
      <c r="H27" s="63"/>
      <c r="I27" s="63"/>
      <c r="J27" s="63"/>
      <c r="K27" s="63"/>
      <c r="L27" s="43"/>
      <c r="M27" s="43"/>
      <c r="N27" s="43"/>
      <c r="O27" s="43"/>
    </row>
    <row r="28" spans="2:15" x14ac:dyDescent="0.2">
      <c r="C28" s="61"/>
      <c r="D28" s="61"/>
      <c r="E28" s="61"/>
      <c r="F28" s="61"/>
      <c r="G28" s="61"/>
      <c r="I28" s="43"/>
      <c r="J28" s="43"/>
    </row>
    <row r="29" spans="2:15" x14ac:dyDescent="0.2">
      <c r="B29" s="4" t="str">
        <f>"Nominal Levelized Payment at "&amp;TEXT(Discount_Rate,"0.000%")&amp;" Discount Rate (3)"</f>
        <v>Nominal Levelized Payment at 6.880% Discount Rate (3)</v>
      </c>
      <c r="C29" s="61"/>
      <c r="D29" s="61"/>
      <c r="E29" s="61"/>
      <c r="F29" s="61"/>
      <c r="G29" s="61"/>
      <c r="I29" s="43"/>
      <c r="J29" s="43"/>
    </row>
    <row r="30" spans="2:15" x14ac:dyDescent="0.2">
      <c r="B30" s="8" t="str">
        <f>B11&amp;" - "&amp;B25</f>
        <v>2023 - 2037</v>
      </c>
      <c r="C30" s="62">
        <f t="shared" ref="C30:G32" si="1">ROUND(PMT(Discount_Rate,COUNT(C11:C25),-NPV(Discount_Rate,C11:C25)),2)</f>
        <v>40.19</v>
      </c>
      <c r="D30" s="62">
        <f t="shared" ref="D30" si="2">ROUND(PMT(Discount_Rate,COUNT(D11:D25),-NPV(Discount_Rate,D11:D25)),2)</f>
        <v>44.87</v>
      </c>
      <c r="E30" s="62">
        <f t="shared" si="1"/>
        <v>47.16</v>
      </c>
      <c r="F30" s="62">
        <f t="shared" ref="F30" si="3">ROUND(PMT(Discount_Rate,COUNT(F11:F25),-NPV(Discount_Rate,F11:F25)),2)</f>
        <v>49.94</v>
      </c>
      <c r="G30" s="62">
        <f t="shared" si="1"/>
        <v>49.89</v>
      </c>
      <c r="I30" s="43"/>
      <c r="J30" s="49"/>
    </row>
    <row r="31" spans="2:15" x14ac:dyDescent="0.2">
      <c r="B31" s="8" t="str">
        <f>B12&amp;" - "&amp;B26</f>
        <v>2024 - 2038</v>
      </c>
      <c r="C31" s="62">
        <f t="shared" si="1"/>
        <v>40.520000000000003</v>
      </c>
      <c r="D31" s="62">
        <f t="shared" ref="D31" si="4">ROUND(PMT(Discount_Rate,COUNT(D12:D26),-NPV(Discount_Rate,D12:D26)),2)</f>
        <v>45.08</v>
      </c>
      <c r="E31" s="62">
        <f t="shared" si="1"/>
        <v>46.78</v>
      </c>
      <c r="F31" s="62">
        <f t="shared" ref="F31" si="5">ROUND(PMT(Discount_Rate,COUNT(F12:F26),-NPV(Discount_Rate,F12:F26)),2)</f>
        <v>49.29</v>
      </c>
      <c r="G31" s="62">
        <f t="shared" si="1"/>
        <v>49.42</v>
      </c>
      <c r="I31" s="43"/>
      <c r="J31" s="49"/>
    </row>
    <row r="32" spans="2:15" x14ac:dyDescent="0.2">
      <c r="B32" s="8" t="str">
        <f>B13&amp;" - "&amp;B27</f>
        <v>2025 - 2039</v>
      </c>
      <c r="C32" s="62">
        <f t="shared" si="1"/>
        <v>40.14</v>
      </c>
      <c r="D32" s="62">
        <f t="shared" ref="D32" si="6">ROUND(PMT(Discount_Rate,COUNT(D13:D27),-NPV(Discount_Rate,D13:D27)),2)</f>
        <v>44.47</v>
      </c>
      <c r="E32" s="62">
        <f t="shared" si="1"/>
        <v>45.73</v>
      </c>
      <c r="F32" s="62">
        <f t="shared" ref="F32" si="7">ROUND(PMT(Discount_Rate,COUNT(F13:F27),-NPV(Discount_Rate,F13:F27)),2)</f>
        <v>48.24</v>
      </c>
      <c r="G32" s="62">
        <f t="shared" si="1"/>
        <v>48.38</v>
      </c>
      <c r="I32" s="43"/>
      <c r="J32" s="49"/>
    </row>
    <row r="33" spans="2:10" x14ac:dyDescent="0.2">
      <c r="E33" s="10"/>
      <c r="F33" s="10"/>
      <c r="G33" s="10"/>
      <c r="I33" s="43"/>
      <c r="J33" s="43"/>
    </row>
    <row r="34" spans="2:10" x14ac:dyDescent="0.2">
      <c r="B34" s="8" t="s">
        <v>13</v>
      </c>
      <c r="I34" s="43"/>
      <c r="J34" s="43"/>
    </row>
    <row r="35" spans="2:10" x14ac:dyDescent="0.2">
      <c r="B35" s="1" t="str">
        <f>"(2)   Official Forward Price Curve Dated "&amp;TEXT(B43,"MMMM YYYY")</f>
        <v>(2)   Official Forward Price Curve Dated September 2022</v>
      </c>
      <c r="I35" s="43"/>
      <c r="J35" s="43"/>
    </row>
    <row r="36" spans="2:10" x14ac:dyDescent="0.2">
      <c r="B36" s="1" t="str">
        <f>"(3)   "&amp;B40&amp;" - Calculated Annually"</f>
        <v>(3)   Discount Rate - 2021 IRP - Calculated Annually</v>
      </c>
    </row>
    <row r="37" spans="2:10" x14ac:dyDescent="0.2">
      <c r="B37" s="25" t="str">
        <f>"(4)   Capacity costs are allocated based on assumed "&amp;TEXT(B45,"00%")&amp;" capacity factor."</f>
        <v>(4)   Capacity costs are allocated based on assumed 100% capacity factor.</v>
      </c>
    </row>
    <row r="38" spans="2:10" x14ac:dyDescent="0.2">
      <c r="B38" s="25" t="str">
        <f>"(5)   Avoided Capacity costs are bsed on Partial Displacement of non-emitting  Peaker in 2031 from"</f>
        <v>(5)   Avoided Capacity costs are bsed on Partial Displacement of non-emitting  Peaker in 2031 from</v>
      </c>
    </row>
    <row r="39" spans="2:10" x14ac:dyDescent="0.2">
      <c r="B39" s="25" t="s">
        <v>21</v>
      </c>
    </row>
    <row r="40" spans="2:10" x14ac:dyDescent="0.2">
      <c r="B40" s="21" t="s">
        <v>27</v>
      </c>
    </row>
    <row r="41" spans="2:10" x14ac:dyDescent="0.2">
      <c r="B41" s="20">
        <v>6.88E-2</v>
      </c>
      <c r="E41" s="19"/>
      <c r="F41" s="19"/>
    </row>
    <row r="42" spans="2:10" x14ac:dyDescent="0.2">
      <c r="B42" s="1" t="s">
        <v>10</v>
      </c>
      <c r="E42" s="19"/>
      <c r="F42" s="19"/>
    </row>
    <row r="43" spans="2:10" x14ac:dyDescent="0.2">
      <c r="B43" s="22">
        <v>44834</v>
      </c>
      <c r="E43" s="19"/>
      <c r="F43" s="19"/>
      <c r="G43" s="19"/>
    </row>
    <row r="44" spans="2:10" x14ac:dyDescent="0.2">
      <c r="B44" s="25" t="s">
        <v>18</v>
      </c>
    </row>
    <row r="45" spans="2:10" x14ac:dyDescent="0.2">
      <c r="B45" s="91">
        <v>1</v>
      </c>
    </row>
  </sheetData>
  <phoneticPr fontId="2" type="noConversion"/>
  <printOptions horizontalCentered="1"/>
  <pageMargins left="0.25" right="0.25" top="0.75" bottom="0.75" header="0.3" footer="0.2"/>
  <pageSetup scale="88" orientation="landscape" r:id="rId1"/>
  <headerFooter alignWithMargins="0">
    <oddFooter>&amp;L&amp;8NPC Group - &amp;F   ( &amp;A )&amp;C&amp;8Page &amp;P of &amp;N&amp;R&amp;8&amp;D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42"/>
    <pageSetUpPr fitToPage="1"/>
  </sheetPr>
  <dimension ref="B1:J43"/>
  <sheetViews>
    <sheetView tabSelected="1" view="pageBreakPreview" zoomScale="60" zoomScaleNormal="70" workbookViewId="0">
      <pane xSplit="2" ySplit="8" topLeftCell="C22" activePane="bottomRight" state="frozen"/>
      <selection pane="topRight"/>
      <selection pane="bottomLeft"/>
      <selection pane="bottomRight"/>
    </sheetView>
  </sheetViews>
  <sheetFormatPr defaultColWidth="9.140625" defaultRowHeight="15" x14ac:dyDescent="0.2"/>
  <cols>
    <col min="1" max="1" width="1.85546875" style="25" customWidth="1"/>
    <col min="2" max="2" width="17.5703125" style="25" customWidth="1"/>
    <col min="3" max="4" width="17.7109375" style="25" customWidth="1"/>
    <col min="5" max="6" width="15.42578125" style="25" customWidth="1"/>
    <col min="7" max="7" width="17.7109375" style="25" customWidth="1"/>
    <col min="8" max="8" width="27.7109375" style="25" customWidth="1"/>
    <col min="9" max="9" width="18.85546875" style="25" customWidth="1"/>
    <col min="10" max="16384" width="9.140625" style="25"/>
  </cols>
  <sheetData>
    <row r="1" spans="2:10" ht="15.75" x14ac:dyDescent="0.25">
      <c r="B1" s="23" t="str">
        <f>Total!B1</f>
        <v>Appendix C</v>
      </c>
      <c r="C1" s="23"/>
      <c r="D1" s="23"/>
      <c r="E1" s="23"/>
      <c r="F1" s="23"/>
      <c r="G1" s="23"/>
    </row>
    <row r="2" spans="2:10" ht="8.25" customHeight="1" x14ac:dyDescent="0.25">
      <c r="B2" s="23"/>
      <c r="C2" s="23"/>
      <c r="D2" s="23"/>
      <c r="E2" s="23"/>
      <c r="F2" s="23"/>
      <c r="G2" s="23"/>
    </row>
    <row r="3" spans="2:10" ht="15.75" x14ac:dyDescent="0.25">
      <c r="B3" s="23" t="str">
        <f>Total!B3</f>
        <v>Utah Quarterly Compliance Filing</v>
      </c>
      <c r="C3" s="23"/>
      <c r="D3" s="23"/>
      <c r="E3" s="23"/>
      <c r="F3" s="23"/>
      <c r="G3" s="23"/>
    </row>
    <row r="4" spans="2:10" ht="15.75" x14ac:dyDescent="0.25">
      <c r="B4" s="23" t="str">
        <f>Capacity!$B$4</f>
        <v>Step Study between 2022.Q3 and 2022.Q2 Compliance Filing</v>
      </c>
      <c r="C4" s="23"/>
      <c r="D4" s="23"/>
      <c r="E4" s="23"/>
      <c r="F4" s="23"/>
      <c r="G4" s="23"/>
    </row>
    <row r="5" spans="2:10" ht="15.75" x14ac:dyDescent="0.25">
      <c r="B5" s="23" t="s">
        <v>5</v>
      </c>
      <c r="C5" s="23"/>
      <c r="D5" s="23"/>
      <c r="E5" s="23"/>
      <c r="F5" s="23"/>
      <c r="G5" s="23"/>
    </row>
    <row r="6" spans="2:10" ht="15.75" x14ac:dyDescent="0.25">
      <c r="B6" s="23"/>
      <c r="C6" s="45"/>
      <c r="D6" s="45"/>
      <c r="E6" s="45"/>
      <c r="F6" s="45"/>
      <c r="G6" s="45"/>
    </row>
    <row r="7" spans="2:10" ht="15.75" x14ac:dyDescent="0.25">
      <c r="B7" s="26"/>
      <c r="C7" s="100" t="str">
        <f>Capacity!Q7</f>
        <v>2022.Q2</v>
      </c>
      <c r="D7" s="44" t="s">
        <v>28</v>
      </c>
      <c r="E7" s="44" t="s">
        <v>29</v>
      </c>
      <c r="F7" s="44" t="s">
        <v>26</v>
      </c>
      <c r="G7" s="102" t="s">
        <v>30</v>
      </c>
      <c r="I7" s="52"/>
      <c r="J7" s="53"/>
    </row>
    <row r="8" spans="2:10" ht="15.75" x14ac:dyDescent="0.25">
      <c r="B8" s="28" t="s">
        <v>0</v>
      </c>
      <c r="C8" s="28" t="s">
        <v>6</v>
      </c>
      <c r="D8" s="90" t="s">
        <v>16</v>
      </c>
      <c r="E8" s="90"/>
      <c r="F8" s="90"/>
      <c r="G8" s="90" t="s">
        <v>19</v>
      </c>
      <c r="I8" s="52"/>
      <c r="J8" s="53"/>
    </row>
    <row r="9" spans="2:10" ht="4.7" customHeight="1" x14ac:dyDescent="0.2">
      <c r="B9" s="67"/>
      <c r="C9" s="67"/>
      <c r="D9" s="88"/>
      <c r="E9" s="88"/>
      <c r="F9" s="103"/>
      <c r="G9" s="103"/>
      <c r="I9" s="93"/>
      <c r="J9" s="53"/>
    </row>
    <row r="10" spans="2:10" ht="15.75" hidden="1" x14ac:dyDescent="0.25">
      <c r="B10" s="68">
        <f>Total!B10</f>
        <v>0</v>
      </c>
      <c r="C10" s="101">
        <v>27.215</v>
      </c>
      <c r="D10" s="89"/>
      <c r="E10" s="89">
        <v>27.215</v>
      </c>
      <c r="F10" s="96"/>
      <c r="G10" s="96" t="e">
        <v>#REF!</v>
      </c>
      <c r="I10" s="94"/>
      <c r="J10" s="54"/>
    </row>
    <row r="11" spans="2:10" ht="15.75" x14ac:dyDescent="0.25">
      <c r="B11" s="68">
        <v>2023</v>
      </c>
      <c r="C11" s="99">
        <v>43.677</v>
      </c>
      <c r="D11" s="89">
        <v>47.552999999999997</v>
      </c>
      <c r="E11" s="89">
        <v>54.539000000000001</v>
      </c>
      <c r="F11" s="89">
        <v>58.875999999999998</v>
      </c>
      <c r="G11" s="89">
        <v>57.746000000000002</v>
      </c>
      <c r="I11" s="94"/>
      <c r="J11" s="54"/>
    </row>
    <row r="12" spans="2:10" ht="15.75" x14ac:dyDescent="0.25">
      <c r="B12" s="68">
        <f t="shared" ref="B12:B27" si="0">B11+1</f>
        <v>2024</v>
      </c>
      <c r="C12" s="95">
        <v>51.039000000000001</v>
      </c>
      <c r="D12" s="89">
        <v>55.460999999999999</v>
      </c>
      <c r="E12" s="89">
        <v>60.749000000000002</v>
      </c>
      <c r="F12" s="96">
        <v>62.718000000000004</v>
      </c>
      <c r="G12" s="96">
        <v>62.707999999999998</v>
      </c>
      <c r="I12" s="94"/>
      <c r="J12" s="54"/>
    </row>
    <row r="13" spans="2:10" ht="15.75" x14ac:dyDescent="0.25">
      <c r="B13" s="68">
        <f t="shared" si="0"/>
        <v>2025</v>
      </c>
      <c r="C13" s="95">
        <v>35.982999999999997</v>
      </c>
      <c r="D13" s="89">
        <v>38.561</v>
      </c>
      <c r="E13" s="89">
        <v>42.207000000000001</v>
      </c>
      <c r="F13" s="96">
        <v>46.441000000000003</v>
      </c>
      <c r="G13" s="96">
        <v>46.948</v>
      </c>
      <c r="I13" s="94"/>
      <c r="J13" s="54"/>
    </row>
    <row r="14" spans="2:10" ht="15.75" x14ac:dyDescent="0.25">
      <c r="B14" s="68">
        <f t="shared" si="0"/>
        <v>2026</v>
      </c>
      <c r="C14" s="95">
        <v>31.233000000000001</v>
      </c>
      <c r="D14" s="89">
        <v>39.414000000000001</v>
      </c>
      <c r="E14" s="89">
        <v>42.651000000000003</v>
      </c>
      <c r="F14" s="96">
        <v>50.06</v>
      </c>
      <c r="G14" s="96">
        <v>50.152000000000001</v>
      </c>
      <c r="I14" s="94"/>
      <c r="J14" s="54"/>
    </row>
    <row r="15" spans="2:10" ht="15.75" x14ac:dyDescent="0.25">
      <c r="B15" s="68">
        <f t="shared" si="0"/>
        <v>2027</v>
      </c>
      <c r="C15" s="95">
        <v>30.183</v>
      </c>
      <c r="D15" s="89">
        <v>39.134999999999998</v>
      </c>
      <c r="E15" s="89">
        <v>41.194000000000003</v>
      </c>
      <c r="F15" s="96">
        <v>45.966000000000001</v>
      </c>
      <c r="G15" s="96">
        <v>46.046999999999997</v>
      </c>
      <c r="I15" s="94"/>
      <c r="J15" s="54"/>
    </row>
    <row r="16" spans="2:10" ht="15.75" x14ac:dyDescent="0.25">
      <c r="B16" s="68">
        <f t="shared" si="0"/>
        <v>2028</v>
      </c>
      <c r="C16" s="95">
        <v>31.518000000000001</v>
      </c>
      <c r="D16" s="89">
        <v>39.322000000000003</v>
      </c>
      <c r="E16" s="89">
        <v>40.652999999999999</v>
      </c>
      <c r="F16" s="96">
        <v>44.56</v>
      </c>
      <c r="G16" s="96">
        <v>44.734999999999999</v>
      </c>
      <c r="I16" s="94"/>
      <c r="J16" s="54"/>
    </row>
    <row r="17" spans="2:10" ht="15.75" x14ac:dyDescent="0.25">
      <c r="B17" s="68">
        <f t="shared" si="0"/>
        <v>2029</v>
      </c>
      <c r="C17" s="95">
        <v>33.087000000000003</v>
      </c>
      <c r="D17" s="89">
        <v>41.069000000000003</v>
      </c>
      <c r="E17" s="89">
        <v>42.468000000000004</v>
      </c>
      <c r="F17" s="96">
        <v>44.86</v>
      </c>
      <c r="G17" s="96">
        <v>45.05</v>
      </c>
      <c r="I17" s="94"/>
      <c r="J17" s="54"/>
    </row>
    <row r="18" spans="2:10" ht="15.75" x14ac:dyDescent="0.25">
      <c r="B18" s="68">
        <f t="shared" si="0"/>
        <v>2030</v>
      </c>
      <c r="C18" s="95">
        <v>32.573</v>
      </c>
      <c r="D18" s="89">
        <v>39.344000000000001</v>
      </c>
      <c r="E18" s="89">
        <v>39.811999999999998</v>
      </c>
      <c r="F18" s="96">
        <v>41.201000000000001</v>
      </c>
      <c r="G18" s="96">
        <v>41.253999999999998</v>
      </c>
      <c r="I18" s="94"/>
      <c r="J18" s="54"/>
    </row>
    <row r="19" spans="2:10" ht="15.75" x14ac:dyDescent="0.25">
      <c r="B19" s="68">
        <f t="shared" si="0"/>
        <v>2031</v>
      </c>
      <c r="C19" s="95">
        <v>29.077999999999999</v>
      </c>
      <c r="D19" s="89">
        <v>33.609000000000002</v>
      </c>
      <c r="E19" s="89">
        <v>33.942999999999998</v>
      </c>
      <c r="F19" s="96">
        <v>34.633000000000003</v>
      </c>
      <c r="G19" s="96">
        <v>34.768000000000001</v>
      </c>
      <c r="I19" s="94"/>
      <c r="J19" s="54"/>
    </row>
    <row r="20" spans="2:10" ht="15.75" x14ac:dyDescent="0.25">
      <c r="B20" s="68">
        <f t="shared" si="0"/>
        <v>2032</v>
      </c>
      <c r="C20" s="95">
        <v>28.045000000000002</v>
      </c>
      <c r="D20" s="89">
        <v>32.383000000000003</v>
      </c>
      <c r="E20" s="89">
        <v>32.725000000000001</v>
      </c>
      <c r="F20" s="96">
        <v>33.746000000000002</v>
      </c>
      <c r="G20" s="96">
        <v>33.837000000000003</v>
      </c>
      <c r="I20" s="94"/>
      <c r="J20" s="54"/>
    </row>
    <row r="21" spans="2:10" ht="15.75" x14ac:dyDescent="0.25">
      <c r="B21" s="68">
        <f t="shared" si="0"/>
        <v>2033</v>
      </c>
      <c r="C21" s="95">
        <v>29.576000000000001</v>
      </c>
      <c r="D21" s="89">
        <v>32.479999999999997</v>
      </c>
      <c r="E21" s="89">
        <v>32.606999999999999</v>
      </c>
      <c r="F21" s="96">
        <v>33.524999999999999</v>
      </c>
      <c r="G21" s="96">
        <v>33.621000000000002</v>
      </c>
      <c r="I21" s="94"/>
      <c r="J21" s="54"/>
    </row>
    <row r="22" spans="2:10" ht="15.75" x14ac:dyDescent="0.25">
      <c r="B22" s="68">
        <f t="shared" si="0"/>
        <v>2034</v>
      </c>
      <c r="C22" s="95">
        <v>31.113</v>
      </c>
      <c r="D22" s="89">
        <v>31.04</v>
      </c>
      <c r="E22" s="89">
        <v>31.337</v>
      </c>
      <c r="F22" s="96">
        <v>31.75</v>
      </c>
      <c r="G22" s="96">
        <v>31.832999999999998</v>
      </c>
      <c r="I22" s="94"/>
      <c r="J22" s="54"/>
    </row>
    <row r="23" spans="2:10" ht="15.75" x14ac:dyDescent="0.25">
      <c r="B23" s="68">
        <f t="shared" si="0"/>
        <v>2035</v>
      </c>
      <c r="C23" s="95">
        <v>32.174999999999997</v>
      </c>
      <c r="D23" s="89">
        <v>32.450000000000003</v>
      </c>
      <c r="E23" s="89">
        <v>32.787999999999997</v>
      </c>
      <c r="F23" s="96">
        <v>33.063000000000002</v>
      </c>
      <c r="G23" s="96">
        <v>33.125</v>
      </c>
      <c r="I23" s="94"/>
      <c r="J23" s="54"/>
    </row>
    <row r="24" spans="2:10" ht="15.75" x14ac:dyDescent="0.25">
      <c r="B24" s="68">
        <f t="shared" si="0"/>
        <v>2036</v>
      </c>
      <c r="C24" s="95">
        <v>33.703000000000003</v>
      </c>
      <c r="D24" s="89">
        <v>34.692999999999998</v>
      </c>
      <c r="E24" s="89">
        <v>34.984999999999999</v>
      </c>
      <c r="F24" s="96">
        <v>35.229999999999997</v>
      </c>
      <c r="G24" s="96">
        <v>35.344999999999999</v>
      </c>
      <c r="I24" s="94"/>
      <c r="J24" s="54"/>
    </row>
    <row r="25" spans="2:10" ht="15.75" x14ac:dyDescent="0.25">
      <c r="B25" s="68">
        <f t="shared" si="0"/>
        <v>2037</v>
      </c>
      <c r="C25" s="95">
        <v>43.118000000000002</v>
      </c>
      <c r="D25" s="89">
        <v>42.662999999999997</v>
      </c>
      <c r="E25" s="89">
        <v>42.774999999999999</v>
      </c>
      <c r="F25" s="96">
        <v>43.981000000000002</v>
      </c>
      <c r="G25" s="96">
        <v>42.84</v>
      </c>
      <c r="I25" s="94"/>
      <c r="J25" s="54"/>
    </row>
    <row r="26" spans="2:10" ht="15.75" x14ac:dyDescent="0.25">
      <c r="B26" s="68">
        <f t="shared" si="0"/>
        <v>2038</v>
      </c>
      <c r="C26" s="95">
        <v>41.932000000000002</v>
      </c>
      <c r="D26" s="89">
        <v>41.478999999999999</v>
      </c>
      <c r="E26" s="89">
        <v>41.826999999999998</v>
      </c>
      <c r="F26" s="96">
        <v>42.383000000000003</v>
      </c>
      <c r="G26" s="96">
        <v>43.625999999999998</v>
      </c>
      <c r="I26" s="94"/>
      <c r="J26" s="54"/>
    </row>
    <row r="27" spans="2:10" ht="15.75" x14ac:dyDescent="0.25">
      <c r="B27" s="69">
        <f t="shared" si="0"/>
        <v>2039</v>
      </c>
      <c r="C27" s="97">
        <v>43.576000000000001</v>
      </c>
      <c r="D27" s="104">
        <v>42.085000000000001</v>
      </c>
      <c r="E27" s="104">
        <v>42.453000000000003</v>
      </c>
      <c r="F27" s="98">
        <v>43.332000000000001</v>
      </c>
      <c r="G27" s="98">
        <v>43.406999999999996</v>
      </c>
      <c r="I27" s="94"/>
      <c r="J27" s="54"/>
    </row>
    <row r="28" spans="2:10" x14ac:dyDescent="0.2">
      <c r="C28" s="39"/>
      <c r="D28" s="39"/>
      <c r="E28" s="39"/>
      <c r="F28" s="39"/>
      <c r="G28" s="39"/>
      <c r="I28" s="94"/>
      <c r="J28" s="54"/>
    </row>
    <row r="29" spans="2:10" x14ac:dyDescent="0.2">
      <c r="B29" s="33" t="str">
        <f>"Nominal Levelized Payment at "&amp;TEXT($B$40,"0.00%")&amp;" Discount Rate (3)"</f>
        <v>Nominal Levelized Payment at 6.88% Discount Rate (3)</v>
      </c>
      <c r="C29" s="39"/>
      <c r="D29" s="39"/>
      <c r="E29" s="39"/>
      <c r="F29" s="39"/>
      <c r="G29" s="39"/>
      <c r="I29" s="94"/>
      <c r="J29" s="54"/>
    </row>
    <row r="30" spans="2:10" x14ac:dyDescent="0.2">
      <c r="B30" s="34" t="str">
        <f>B11&amp;" - "&amp;B25</f>
        <v>2023 - 2037</v>
      </c>
      <c r="C30" s="59">
        <f t="shared" ref="C30:D32" si="1">ROUND(PMT($B$40,COUNT(C11:C25),-NPV($B$40,C11:C25)),3)</f>
        <v>35.192</v>
      </c>
      <c r="D30" s="59">
        <f t="shared" si="1"/>
        <v>39.871000000000002</v>
      </c>
      <c r="E30" s="59">
        <f t="shared" ref="E30:G30" si="2">ROUND(PMT($B$40,COUNT(E11:E25),-NPV($B$40,E11:E25)),3)</f>
        <v>42.16</v>
      </c>
      <c r="F30" s="59">
        <f t="shared" ref="F30" si="3">ROUND(PMT($B$40,COUNT(F11:F25),-NPV($B$40,F11:F25)),3)</f>
        <v>44.936</v>
      </c>
      <c r="G30" s="59">
        <f t="shared" si="2"/>
        <v>44.893000000000001</v>
      </c>
      <c r="I30" s="94"/>
      <c r="J30" s="54"/>
    </row>
    <row r="31" spans="2:10" x14ac:dyDescent="0.2">
      <c r="B31" s="34" t="str">
        <f>B12&amp;" - "&amp;B26</f>
        <v>2024 - 2038</v>
      </c>
      <c r="C31" s="59">
        <f t="shared" si="1"/>
        <v>34.539000000000001</v>
      </c>
      <c r="D31" s="59">
        <f t="shared" si="1"/>
        <v>39.098999999999997</v>
      </c>
      <c r="E31" s="59">
        <f t="shared" ref="E31:G31" si="4">ROUND(PMT($B$40,COUNT(E12:E26),-NPV($B$40,E12:E26)),3)</f>
        <v>40.798000000000002</v>
      </c>
      <c r="F31" s="59">
        <f t="shared" ref="F31" si="5">ROUND(PMT($B$40,COUNT(F12:F26),-NPV($B$40,F12:F26)),3)</f>
        <v>43.314999999999998</v>
      </c>
      <c r="G31" s="59">
        <f t="shared" si="4"/>
        <v>43.441000000000003</v>
      </c>
      <c r="I31" s="94"/>
      <c r="J31" s="54"/>
    </row>
    <row r="32" spans="2:10" x14ac:dyDescent="0.2">
      <c r="B32" s="34" t="str">
        <f>B13&amp;" - "&amp;B27</f>
        <v>2025 - 2039</v>
      </c>
      <c r="C32" s="59">
        <f t="shared" si="1"/>
        <v>33.103999999999999</v>
      </c>
      <c r="D32" s="59">
        <f t="shared" si="1"/>
        <v>37.436</v>
      </c>
      <c r="E32" s="59">
        <f t="shared" ref="E32:G32" si="6">ROUND(PMT($B$40,COUNT(E13:E27),-NPV($B$40,E13:E27)),3)</f>
        <v>38.691000000000003</v>
      </c>
      <c r="F32" s="59">
        <f t="shared" ref="F32" si="7">ROUND(PMT($B$40,COUNT(F13:F27),-NPV($B$40,F13:F27)),3)</f>
        <v>41.201000000000001</v>
      </c>
      <c r="G32" s="59">
        <f t="shared" si="6"/>
        <v>41.341000000000001</v>
      </c>
      <c r="I32" s="94"/>
      <c r="J32" s="54"/>
    </row>
    <row r="33" spans="2:7" x14ac:dyDescent="0.2">
      <c r="B33" s="34"/>
      <c r="C33" s="32"/>
      <c r="D33" s="32"/>
      <c r="E33" s="32"/>
      <c r="F33" s="32"/>
      <c r="G33" s="32"/>
    </row>
    <row r="34" spans="2:7" x14ac:dyDescent="0.2">
      <c r="B34" s="34" t="str">
        <f>Total!B34</f>
        <v>(1)   Studies are sequential.  The order of the studies would affect the price impact.</v>
      </c>
    </row>
    <row r="35" spans="2:7" x14ac:dyDescent="0.2">
      <c r="B35" s="1" t="str">
        <f>"(2)   Official Forward Price Curve Dated "&amp;TEXT(B42,"MMMM YYYY")</f>
        <v>(2)   Official Forward Price Curve Dated September 2022</v>
      </c>
    </row>
    <row r="36" spans="2:7" x14ac:dyDescent="0.2">
      <c r="B36" s="34" t="str">
        <f>Total!B36</f>
        <v>(3)   Discount Rate - 2021 IRP - Calculated Annually</v>
      </c>
    </row>
    <row r="37" spans="2:7" x14ac:dyDescent="0.2">
      <c r="B37" s="34"/>
    </row>
    <row r="39" spans="2:7" x14ac:dyDescent="0.2">
      <c r="B39" s="21" t="str">
        <f>Total!B40</f>
        <v>Discount Rate - 2021 IRP</v>
      </c>
    </row>
    <row r="40" spans="2:7" x14ac:dyDescent="0.2">
      <c r="B40" s="38">
        <f>Discount_Rate</f>
        <v>6.88E-2</v>
      </c>
    </row>
    <row r="41" spans="2:7" x14ac:dyDescent="0.2">
      <c r="B41" s="1" t="s">
        <v>10</v>
      </c>
    </row>
    <row r="42" spans="2:7" x14ac:dyDescent="0.2">
      <c r="B42" s="22">
        <v>44834</v>
      </c>
    </row>
    <row r="43" spans="2:7" x14ac:dyDescent="0.2">
      <c r="B43"/>
      <c r="C43"/>
      <c r="D43"/>
      <c r="E43"/>
      <c r="F43"/>
      <c r="G43"/>
    </row>
  </sheetData>
  <printOptions horizontalCentered="1"/>
  <pageMargins left="0.25" right="0.25" top="0.75" bottom="0.75" header="0.3" footer="0.2"/>
  <pageSetup scale="96" orientation="landscape" r:id="rId1"/>
  <headerFooter alignWithMargins="0">
    <oddFooter>&amp;L&amp;8NPC Group - &amp;F   ( &amp;A )&amp;C&amp;8Page &amp;P of &amp;N&amp;R&amp;8&amp;D 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indexed="42"/>
    <pageSetUpPr fitToPage="1"/>
  </sheetPr>
  <dimension ref="B1:Q42"/>
  <sheetViews>
    <sheetView tabSelected="1" view="pageBreakPreview" zoomScale="60" zoomScaleNormal="60" workbookViewId="0">
      <pane xSplit="2" ySplit="9" topLeftCell="C10" activePane="bottomRight" state="frozen"/>
      <selection pane="topRight"/>
      <selection pane="bottomLeft"/>
      <selection pane="bottomRight"/>
    </sheetView>
  </sheetViews>
  <sheetFormatPr defaultColWidth="9.140625" defaultRowHeight="15" x14ac:dyDescent="0.2"/>
  <cols>
    <col min="1" max="1" width="1.85546875" style="25" customWidth="1"/>
    <col min="2" max="2" width="13.85546875" style="25" customWidth="1"/>
    <col min="3" max="4" width="19.140625" style="25" customWidth="1"/>
    <col min="5" max="6" width="12.7109375" style="25" customWidth="1"/>
    <col min="7" max="7" width="19.140625" style="25" customWidth="1"/>
    <col min="8" max="8" width="1.140625" style="25" customWidth="1"/>
    <col min="9" max="13" width="19.140625" style="25" customWidth="1"/>
    <col min="14" max="14" width="21.5703125" style="25" customWidth="1"/>
    <col min="15" max="16" width="2.140625" customWidth="1"/>
    <col min="17" max="17" width="9.140625" style="25" customWidth="1"/>
    <col min="18" max="16384" width="9.140625" style="25"/>
  </cols>
  <sheetData>
    <row r="1" spans="2:17" ht="15.75" x14ac:dyDescent="0.25">
      <c r="B1" s="23" t="s">
        <v>3</v>
      </c>
      <c r="C1" s="23"/>
      <c r="D1" s="23"/>
      <c r="E1" s="23"/>
      <c r="F1" s="23"/>
      <c r="G1" s="23"/>
      <c r="H1" s="24"/>
      <c r="I1" s="23"/>
      <c r="J1" s="23"/>
      <c r="K1" s="23"/>
      <c r="L1" s="23"/>
      <c r="M1" s="23"/>
      <c r="N1" s="50"/>
      <c r="O1" s="51"/>
    </row>
    <row r="2" spans="2:17" ht="8.25" customHeight="1" x14ac:dyDescent="0.25">
      <c r="B2" s="23"/>
      <c r="C2" s="23"/>
      <c r="D2" s="23"/>
      <c r="E2" s="23"/>
      <c r="F2" s="23"/>
      <c r="G2" s="23"/>
      <c r="H2" s="24"/>
      <c r="I2" s="23"/>
      <c r="J2" s="23"/>
      <c r="K2" s="23"/>
      <c r="L2" s="23"/>
      <c r="M2" s="23"/>
      <c r="N2" s="50"/>
      <c r="O2" s="51"/>
    </row>
    <row r="3" spans="2:17" ht="15.75" x14ac:dyDescent="0.25">
      <c r="B3" s="23" t="s">
        <v>1</v>
      </c>
      <c r="C3" s="23"/>
      <c r="D3" s="23"/>
      <c r="E3" s="23"/>
      <c r="F3" s="23"/>
      <c r="G3" s="23"/>
      <c r="H3" s="24"/>
      <c r="I3" s="23"/>
      <c r="J3" s="23"/>
      <c r="K3" s="23"/>
      <c r="L3" s="23"/>
      <c r="M3" s="23"/>
      <c r="N3" s="50"/>
      <c r="O3" s="51"/>
    </row>
    <row r="4" spans="2:17" ht="15.75" x14ac:dyDescent="0.25">
      <c r="B4" s="23" t="str">
        <f>"Step Study between "&amp;Q8&amp;" and "&amp;Q7&amp;" Compliance Filing"</f>
        <v>Step Study between 2022.Q3 and 2022.Q2 Compliance Filing</v>
      </c>
      <c r="C4" s="23"/>
      <c r="D4" s="23"/>
      <c r="E4" s="23"/>
      <c r="F4" s="23"/>
      <c r="G4" s="23"/>
      <c r="H4" s="24"/>
      <c r="I4" s="23"/>
      <c r="J4" s="23"/>
      <c r="K4" s="23"/>
      <c r="L4" s="23"/>
      <c r="M4" s="23"/>
      <c r="N4" s="50"/>
      <c r="O4" s="51"/>
    </row>
    <row r="5" spans="2:17" ht="15.75" x14ac:dyDescent="0.25">
      <c r="B5" s="23" t="s">
        <v>8</v>
      </c>
      <c r="C5" s="23"/>
      <c r="D5" s="23"/>
      <c r="E5" s="23"/>
      <c r="F5" s="23"/>
      <c r="G5" s="23"/>
      <c r="H5" s="24"/>
      <c r="I5" s="23"/>
      <c r="J5" s="23"/>
      <c r="K5" s="23"/>
      <c r="L5" s="23"/>
      <c r="M5" s="23"/>
      <c r="N5" s="50"/>
      <c r="O5" s="51"/>
    </row>
    <row r="6" spans="2:17" ht="15.75" x14ac:dyDescent="0.25">
      <c r="B6" s="23"/>
      <c r="C6" s="23"/>
      <c r="D6" s="23"/>
      <c r="E6" s="23"/>
      <c r="F6" s="23"/>
      <c r="G6" s="23"/>
      <c r="I6" s="23"/>
      <c r="J6" s="23"/>
      <c r="K6" s="23"/>
      <c r="L6" s="23"/>
      <c r="M6" s="23"/>
      <c r="N6" s="50"/>
      <c r="O6" s="51"/>
    </row>
    <row r="7" spans="2:17" ht="15.75" x14ac:dyDescent="0.25">
      <c r="B7" s="26"/>
      <c r="C7" s="27" t="s">
        <v>2</v>
      </c>
      <c r="D7" s="27"/>
      <c r="E7" s="27"/>
      <c r="F7" s="27"/>
      <c r="G7" s="27"/>
      <c r="I7" s="27" t="s">
        <v>7</v>
      </c>
      <c r="J7" s="27"/>
      <c r="K7" s="27"/>
      <c r="L7" s="27"/>
      <c r="M7" s="40"/>
      <c r="N7" s="50"/>
      <c r="O7" s="51"/>
      <c r="Q7" s="29" t="s">
        <v>22</v>
      </c>
    </row>
    <row r="8" spans="2:17" ht="60.75" customHeight="1" x14ac:dyDescent="0.25">
      <c r="B8" s="28" t="s">
        <v>0</v>
      </c>
      <c r="C8" s="47" t="s">
        <v>22</v>
      </c>
      <c r="D8" s="47" t="s">
        <v>28</v>
      </c>
      <c r="E8" s="106" t="s">
        <v>25</v>
      </c>
      <c r="F8" s="106" t="s">
        <v>26</v>
      </c>
      <c r="G8" s="47" t="str">
        <f>Q8&amp;" "</f>
        <v xml:space="preserve">2022.Q3 </v>
      </c>
      <c r="I8" s="29" t="str">
        <f>C8</f>
        <v>2022.Q2</v>
      </c>
      <c r="J8" s="29" t="str">
        <f>D8</f>
        <v>OFPC</v>
      </c>
      <c r="K8" s="29" t="str">
        <f>E8</f>
        <v>Forced_Outage</v>
      </c>
      <c r="L8" s="29" t="str">
        <f>F8</f>
        <v>Load Fcst</v>
      </c>
      <c r="M8" s="47" t="str">
        <f>G8</f>
        <v xml:space="preserve">2022.Q3 </v>
      </c>
      <c r="Q8" s="29" t="s">
        <v>24</v>
      </c>
    </row>
    <row r="9" spans="2:17" ht="4.7" customHeight="1" x14ac:dyDescent="0.2"/>
    <row r="10" spans="2:17" ht="15.75" hidden="1" x14ac:dyDescent="0.25">
      <c r="B10" s="30">
        <v>2019</v>
      </c>
      <c r="C10" s="31">
        <v>0</v>
      </c>
      <c r="D10" s="31"/>
      <c r="E10" s="31"/>
      <c r="F10" s="31"/>
      <c r="G10" s="31" t="e">
        <v>#N/A</v>
      </c>
      <c r="I10" s="31">
        <f>C10*1000/(IF(MOD($B10,4)=0,8784,8760)*0.85)</f>
        <v>0</v>
      </c>
      <c r="J10" s="31">
        <f>D10*1000/(IF(MOD($B10,4)=0,8784,8760)*0.85)</f>
        <v>0</v>
      </c>
      <c r="K10" s="31">
        <f>E10*1000/(IF(MOD($B10,4)=0,8784,8760)*0.85)</f>
        <v>0</v>
      </c>
      <c r="L10" s="31">
        <f>F10*1000/(IF(MOD($B10,4)=0,8784,8760)*0.85)</f>
        <v>0</v>
      </c>
      <c r="M10" s="31" t="e">
        <f t="shared" ref="M10" si="0">G10*1000/(IF(MOD($B10,4)=0,8784,8760)*0.85)</f>
        <v>#N/A</v>
      </c>
    </row>
    <row r="11" spans="2:17" ht="15.75" x14ac:dyDescent="0.25">
      <c r="B11" s="30">
        <v>2023</v>
      </c>
      <c r="C11" s="105">
        <v>0</v>
      </c>
      <c r="D11" s="105">
        <v>0</v>
      </c>
      <c r="E11" s="105">
        <v>0</v>
      </c>
      <c r="F11" s="105">
        <v>0</v>
      </c>
      <c r="G11" s="105">
        <v>0</v>
      </c>
      <c r="I11" s="31">
        <f>C11*1000/(IF(MOD($B11,4)=0,8784,8760)*1)</f>
        <v>0</v>
      </c>
      <c r="J11" s="31">
        <f>D11*1000/(IF(MOD($B11,4)=0,8784,8760)*1)</f>
        <v>0</v>
      </c>
      <c r="K11" s="31">
        <f>E11*1000/(IF(MOD($B11,4)=0,8784,8760)*1)</f>
        <v>0</v>
      </c>
      <c r="L11" s="31">
        <f>F11*1000/(IF(MOD($B11,4)=0,8784,8760)*1)</f>
        <v>0</v>
      </c>
      <c r="M11" s="31">
        <f>G11*1000/(IF(MOD($B11,4)=0,8784,8760)*1)</f>
        <v>0</v>
      </c>
    </row>
    <row r="12" spans="2:17" ht="15.75" x14ac:dyDescent="0.25">
      <c r="B12" s="30">
        <f t="shared" ref="B12:B27" si="1">B11+1</f>
        <v>2024</v>
      </c>
      <c r="C12" s="105">
        <v>0</v>
      </c>
      <c r="D12" s="105">
        <v>0</v>
      </c>
      <c r="E12" s="105">
        <v>0</v>
      </c>
      <c r="F12" s="105">
        <v>0</v>
      </c>
      <c r="G12" s="105">
        <v>0</v>
      </c>
      <c r="I12" s="31">
        <f t="shared" ref="I12:I27" si="2">C12*1000/(IF(MOD($B12,4)=0,8784,8760)*1)</f>
        <v>0</v>
      </c>
      <c r="J12" s="31">
        <f t="shared" ref="J12:J27" si="3">D12*1000/(IF(MOD($B12,4)=0,8784,8760)*1)</f>
        <v>0</v>
      </c>
      <c r="K12" s="31">
        <f t="shared" ref="K12:L27" si="4">E12*1000/(IF(MOD($B12,4)=0,8784,8760)*1)</f>
        <v>0</v>
      </c>
      <c r="L12" s="31">
        <f t="shared" si="4"/>
        <v>0</v>
      </c>
      <c r="M12" s="31">
        <f t="shared" ref="M12:M27" si="5">G12*1000/(IF(MOD($B12,4)=0,8784,8760)*1)</f>
        <v>0</v>
      </c>
    </row>
    <row r="13" spans="2:17" ht="15.75" x14ac:dyDescent="0.25">
      <c r="B13" s="30">
        <f t="shared" si="1"/>
        <v>2025</v>
      </c>
      <c r="C13" s="105">
        <v>0</v>
      </c>
      <c r="D13" s="105">
        <v>0</v>
      </c>
      <c r="E13" s="105">
        <v>0</v>
      </c>
      <c r="F13" s="105">
        <v>0</v>
      </c>
      <c r="G13" s="105">
        <v>0</v>
      </c>
      <c r="I13" s="31">
        <f t="shared" si="2"/>
        <v>0</v>
      </c>
      <c r="J13" s="31">
        <f t="shared" si="3"/>
        <v>0</v>
      </c>
      <c r="K13" s="31">
        <f t="shared" si="4"/>
        <v>0</v>
      </c>
      <c r="L13" s="31">
        <f t="shared" si="4"/>
        <v>0</v>
      </c>
      <c r="M13" s="31">
        <f t="shared" si="5"/>
        <v>0</v>
      </c>
    </row>
    <row r="14" spans="2:17" ht="15.75" x14ac:dyDescent="0.25">
      <c r="B14" s="30">
        <f t="shared" si="1"/>
        <v>2026</v>
      </c>
      <c r="C14" s="105">
        <v>0</v>
      </c>
      <c r="D14" s="105">
        <v>0</v>
      </c>
      <c r="E14" s="105">
        <v>0</v>
      </c>
      <c r="F14" s="105">
        <v>0</v>
      </c>
      <c r="G14" s="105">
        <v>0</v>
      </c>
      <c r="I14" s="31">
        <f t="shared" si="2"/>
        <v>0</v>
      </c>
      <c r="J14" s="31">
        <f t="shared" si="3"/>
        <v>0</v>
      </c>
      <c r="K14" s="31">
        <f t="shared" si="4"/>
        <v>0</v>
      </c>
      <c r="L14" s="31">
        <f t="shared" si="4"/>
        <v>0</v>
      </c>
      <c r="M14" s="31">
        <f t="shared" si="5"/>
        <v>0</v>
      </c>
    </row>
    <row r="15" spans="2:17" ht="15.75" x14ac:dyDescent="0.25">
      <c r="B15" s="30">
        <f t="shared" si="1"/>
        <v>2027</v>
      </c>
      <c r="C15" s="105">
        <v>0</v>
      </c>
      <c r="D15" s="105">
        <v>0</v>
      </c>
      <c r="E15" s="105">
        <v>0</v>
      </c>
      <c r="F15" s="105">
        <v>0</v>
      </c>
      <c r="G15" s="105">
        <v>0</v>
      </c>
      <c r="I15" s="31">
        <f t="shared" si="2"/>
        <v>0</v>
      </c>
      <c r="J15" s="31">
        <f t="shared" si="3"/>
        <v>0</v>
      </c>
      <c r="K15" s="31">
        <f t="shared" si="4"/>
        <v>0</v>
      </c>
      <c r="L15" s="31">
        <f t="shared" si="4"/>
        <v>0</v>
      </c>
      <c r="M15" s="31">
        <f t="shared" si="5"/>
        <v>0</v>
      </c>
    </row>
    <row r="16" spans="2:17" ht="15.75" x14ac:dyDescent="0.25">
      <c r="B16" s="30">
        <f t="shared" si="1"/>
        <v>2028</v>
      </c>
      <c r="C16" s="105">
        <v>0</v>
      </c>
      <c r="D16" s="105">
        <v>0</v>
      </c>
      <c r="E16" s="105">
        <v>0</v>
      </c>
      <c r="F16" s="105">
        <v>0</v>
      </c>
      <c r="G16" s="105">
        <v>0</v>
      </c>
      <c r="I16" s="31">
        <f t="shared" si="2"/>
        <v>0</v>
      </c>
      <c r="J16" s="31">
        <f t="shared" si="3"/>
        <v>0</v>
      </c>
      <c r="K16" s="31">
        <f t="shared" si="4"/>
        <v>0</v>
      </c>
      <c r="L16" s="31">
        <f t="shared" si="4"/>
        <v>0</v>
      </c>
      <c r="M16" s="31">
        <f t="shared" si="5"/>
        <v>0</v>
      </c>
    </row>
    <row r="17" spans="2:13" ht="15.75" x14ac:dyDescent="0.25">
      <c r="B17" s="30">
        <f t="shared" si="1"/>
        <v>2029</v>
      </c>
      <c r="C17" s="105">
        <v>0</v>
      </c>
      <c r="D17" s="105">
        <v>0</v>
      </c>
      <c r="E17" s="105">
        <v>0</v>
      </c>
      <c r="F17" s="105">
        <v>0</v>
      </c>
      <c r="G17" s="105">
        <v>0</v>
      </c>
      <c r="I17" s="31">
        <f t="shared" si="2"/>
        <v>0</v>
      </c>
      <c r="J17" s="31">
        <f t="shared" si="3"/>
        <v>0</v>
      </c>
      <c r="K17" s="31">
        <f t="shared" si="4"/>
        <v>0</v>
      </c>
      <c r="L17" s="31">
        <f t="shared" si="4"/>
        <v>0</v>
      </c>
      <c r="M17" s="31">
        <f t="shared" si="5"/>
        <v>0</v>
      </c>
    </row>
    <row r="18" spans="2:13" ht="15.75" x14ac:dyDescent="0.25">
      <c r="B18" s="30">
        <f t="shared" si="1"/>
        <v>2030</v>
      </c>
      <c r="C18" s="105">
        <v>0</v>
      </c>
      <c r="D18" s="105">
        <v>0</v>
      </c>
      <c r="E18" s="105">
        <v>0</v>
      </c>
      <c r="F18" s="105">
        <v>0</v>
      </c>
      <c r="G18" s="105">
        <v>0</v>
      </c>
      <c r="I18" s="31">
        <f t="shared" si="2"/>
        <v>0</v>
      </c>
      <c r="J18" s="31">
        <f t="shared" si="3"/>
        <v>0</v>
      </c>
      <c r="K18" s="31">
        <f t="shared" si="4"/>
        <v>0</v>
      </c>
      <c r="L18" s="31">
        <f t="shared" si="4"/>
        <v>0</v>
      </c>
      <c r="M18" s="31">
        <f t="shared" si="5"/>
        <v>0</v>
      </c>
    </row>
    <row r="19" spans="2:13" ht="15.75" x14ac:dyDescent="0.25">
      <c r="B19" s="30">
        <f t="shared" si="1"/>
        <v>2031</v>
      </c>
      <c r="C19" s="105">
        <v>119.28815572074085</v>
      </c>
      <c r="D19" s="105">
        <v>119.28815572074085</v>
      </c>
      <c r="E19" s="105">
        <v>119.28815572074085</v>
      </c>
      <c r="F19" s="105">
        <v>119.28815572074085</v>
      </c>
      <c r="G19" s="105">
        <v>119.28815572074085</v>
      </c>
      <c r="I19" s="31">
        <f t="shared" si="2"/>
        <v>13.617369374513796</v>
      </c>
      <c r="J19" s="31">
        <f t="shared" si="3"/>
        <v>13.617369374513796</v>
      </c>
      <c r="K19" s="31">
        <f t="shared" si="4"/>
        <v>13.617369374513796</v>
      </c>
      <c r="L19" s="31">
        <f t="shared" si="4"/>
        <v>13.617369374513796</v>
      </c>
      <c r="M19" s="31">
        <f t="shared" si="5"/>
        <v>13.617369374513796</v>
      </c>
    </row>
    <row r="20" spans="2:13" ht="15.75" x14ac:dyDescent="0.25">
      <c r="B20" s="30">
        <f t="shared" si="1"/>
        <v>2032</v>
      </c>
      <c r="C20" s="105">
        <v>121.85224839400429</v>
      </c>
      <c r="D20" s="105">
        <v>121.85224839400429</v>
      </c>
      <c r="E20" s="105">
        <v>121.85224839400429</v>
      </c>
      <c r="F20" s="105">
        <v>121.85224839400429</v>
      </c>
      <c r="G20" s="105">
        <v>121.85224839400429</v>
      </c>
      <c r="I20" s="31">
        <f t="shared" si="2"/>
        <v>13.872068350865698</v>
      </c>
      <c r="J20" s="31">
        <f t="shared" si="3"/>
        <v>13.872068350865698</v>
      </c>
      <c r="K20" s="31">
        <f t="shared" si="4"/>
        <v>13.872068350865698</v>
      </c>
      <c r="L20" s="31">
        <f t="shared" si="4"/>
        <v>13.872068350865698</v>
      </c>
      <c r="M20" s="31">
        <f t="shared" si="5"/>
        <v>13.872068350865698</v>
      </c>
    </row>
    <row r="21" spans="2:13" ht="15.75" x14ac:dyDescent="0.25">
      <c r="B21" s="30">
        <f t="shared" si="1"/>
        <v>2033</v>
      </c>
      <c r="C21" s="105">
        <v>124.47537473233405</v>
      </c>
      <c r="D21" s="105">
        <v>124.47537473233405</v>
      </c>
      <c r="E21" s="105">
        <v>124.47537473233405</v>
      </c>
      <c r="F21" s="105">
        <v>124.47537473233405</v>
      </c>
      <c r="G21" s="105">
        <v>124.47537473233405</v>
      </c>
      <c r="I21" s="31">
        <f t="shared" si="2"/>
        <v>14.209517663508453</v>
      </c>
      <c r="J21" s="31">
        <f t="shared" si="3"/>
        <v>14.209517663508453</v>
      </c>
      <c r="K21" s="31">
        <f t="shared" si="4"/>
        <v>14.209517663508453</v>
      </c>
      <c r="L21" s="31">
        <f t="shared" si="4"/>
        <v>14.209517663508453</v>
      </c>
      <c r="M21" s="31">
        <f t="shared" si="5"/>
        <v>14.209517663508453</v>
      </c>
    </row>
    <row r="22" spans="2:13" ht="15.75" x14ac:dyDescent="0.25">
      <c r="B22" s="30">
        <f t="shared" si="1"/>
        <v>2034</v>
      </c>
      <c r="C22" s="105">
        <v>127.1627408993576</v>
      </c>
      <c r="D22" s="105">
        <v>127.1627408993576</v>
      </c>
      <c r="E22" s="105">
        <v>127.1627408993576</v>
      </c>
      <c r="F22" s="105">
        <v>127.1627408993576</v>
      </c>
      <c r="G22" s="105">
        <v>127.1627408993576</v>
      </c>
      <c r="I22" s="31">
        <f t="shared" si="2"/>
        <v>14.516294623214337</v>
      </c>
      <c r="J22" s="31">
        <f t="shared" si="3"/>
        <v>14.516294623214337</v>
      </c>
      <c r="K22" s="31">
        <f t="shared" si="4"/>
        <v>14.516294623214337</v>
      </c>
      <c r="L22" s="31">
        <f t="shared" si="4"/>
        <v>14.516294623214337</v>
      </c>
      <c r="M22" s="31">
        <f t="shared" si="5"/>
        <v>14.516294623214337</v>
      </c>
    </row>
    <row r="23" spans="2:13" ht="15.75" x14ac:dyDescent="0.25">
      <c r="B23" s="30">
        <f t="shared" si="1"/>
        <v>2035</v>
      </c>
      <c r="C23" s="105">
        <v>129.90364025695931</v>
      </c>
      <c r="D23" s="105">
        <v>129.90364025695931</v>
      </c>
      <c r="E23" s="105">
        <v>129.90364025695931</v>
      </c>
      <c r="F23" s="105">
        <v>129.90364025695931</v>
      </c>
      <c r="G23" s="105">
        <v>129.90364025695931</v>
      </c>
      <c r="I23" s="31">
        <f t="shared" si="2"/>
        <v>14.82918267773508</v>
      </c>
      <c r="J23" s="31">
        <f t="shared" si="3"/>
        <v>14.82918267773508</v>
      </c>
      <c r="K23" s="31">
        <f t="shared" si="4"/>
        <v>14.82918267773508</v>
      </c>
      <c r="L23" s="31">
        <f t="shared" si="4"/>
        <v>14.82918267773508</v>
      </c>
      <c r="M23" s="31">
        <f t="shared" si="5"/>
        <v>14.82918267773508</v>
      </c>
    </row>
    <row r="24" spans="2:13" ht="15.75" x14ac:dyDescent="0.25">
      <c r="B24" s="30">
        <f t="shared" si="1"/>
        <v>2036</v>
      </c>
      <c r="C24" s="105">
        <v>132.69807280513919</v>
      </c>
      <c r="D24" s="105">
        <v>132.69807280513919</v>
      </c>
      <c r="E24" s="105">
        <v>132.69807280513919</v>
      </c>
      <c r="F24" s="105">
        <v>132.69807280513919</v>
      </c>
      <c r="G24" s="105">
        <v>132.69807280513919</v>
      </c>
      <c r="I24" s="31">
        <f t="shared" si="2"/>
        <v>15.10679335213333</v>
      </c>
      <c r="J24" s="31">
        <f t="shared" si="3"/>
        <v>15.10679335213333</v>
      </c>
      <c r="K24" s="31">
        <f t="shared" si="4"/>
        <v>15.10679335213333</v>
      </c>
      <c r="L24" s="31">
        <f t="shared" si="4"/>
        <v>15.10679335213333</v>
      </c>
      <c r="M24" s="31">
        <f t="shared" si="5"/>
        <v>15.10679335213333</v>
      </c>
    </row>
    <row r="25" spans="2:13" ht="15.75" x14ac:dyDescent="0.25">
      <c r="B25" s="30">
        <f t="shared" si="1"/>
        <v>2037</v>
      </c>
      <c r="C25" s="105">
        <v>135.55674518201286</v>
      </c>
      <c r="D25" s="105">
        <v>135.55674518201286</v>
      </c>
      <c r="E25" s="105">
        <v>135.55674518201286</v>
      </c>
      <c r="F25" s="105">
        <v>135.55674518201286</v>
      </c>
      <c r="G25" s="105">
        <v>135.55674518201286</v>
      </c>
      <c r="I25" s="31">
        <f t="shared" si="2"/>
        <v>15.474514290184116</v>
      </c>
      <c r="J25" s="31">
        <f t="shared" si="3"/>
        <v>15.474514290184116</v>
      </c>
      <c r="K25" s="31">
        <f t="shared" si="4"/>
        <v>15.474514290184116</v>
      </c>
      <c r="L25" s="31">
        <f t="shared" si="4"/>
        <v>15.474514290184116</v>
      </c>
      <c r="M25" s="31">
        <f t="shared" si="5"/>
        <v>15.474514290184116</v>
      </c>
    </row>
    <row r="26" spans="2:13" ht="15.75" x14ac:dyDescent="0.25">
      <c r="B26" s="30">
        <f t="shared" si="1"/>
        <v>2038</v>
      </c>
      <c r="C26" s="105">
        <v>138.46895074946465</v>
      </c>
      <c r="D26" s="105">
        <v>138.46895074946465</v>
      </c>
      <c r="E26" s="105">
        <v>138.46895074946465</v>
      </c>
      <c r="F26" s="105">
        <v>138.46895074946465</v>
      </c>
      <c r="G26" s="105">
        <v>138.46895074946465</v>
      </c>
      <c r="I26" s="31">
        <f t="shared" si="2"/>
        <v>15.806957848112404</v>
      </c>
      <c r="J26" s="31">
        <f t="shared" si="3"/>
        <v>15.806957848112404</v>
      </c>
      <c r="K26" s="31">
        <f t="shared" si="4"/>
        <v>15.806957848112404</v>
      </c>
      <c r="L26" s="31">
        <f t="shared" si="4"/>
        <v>15.806957848112404</v>
      </c>
      <c r="M26" s="31">
        <f t="shared" si="5"/>
        <v>15.806957848112404</v>
      </c>
    </row>
    <row r="27" spans="2:13" ht="15.75" x14ac:dyDescent="0.25">
      <c r="B27" s="30">
        <f t="shared" si="1"/>
        <v>2039</v>
      </c>
      <c r="C27" s="105">
        <v>141.45610278372592</v>
      </c>
      <c r="D27" s="105">
        <v>141.45610278372592</v>
      </c>
      <c r="E27" s="105">
        <v>141.45610278372592</v>
      </c>
      <c r="F27" s="105">
        <v>141.45610278372592</v>
      </c>
      <c r="G27" s="105">
        <v>141.45610278372592</v>
      </c>
      <c r="I27" s="31">
        <f t="shared" si="2"/>
        <v>16.147956938781498</v>
      </c>
      <c r="J27" s="31">
        <f t="shared" si="3"/>
        <v>16.147956938781498</v>
      </c>
      <c r="K27" s="31">
        <f t="shared" si="4"/>
        <v>16.147956938781498</v>
      </c>
      <c r="L27" s="31">
        <f t="shared" si="4"/>
        <v>16.147956938781498</v>
      </c>
      <c r="M27" s="31">
        <f t="shared" si="5"/>
        <v>16.147956938781498</v>
      </c>
    </row>
    <row r="28" spans="2:13" ht="15.75" x14ac:dyDescent="0.25">
      <c r="B28" s="30"/>
      <c r="C28" s="32"/>
      <c r="D28" s="32"/>
      <c r="E28" s="32"/>
      <c r="F28" s="32"/>
      <c r="G28" s="32"/>
      <c r="I28" s="32"/>
      <c r="J28" s="32"/>
      <c r="K28" s="32"/>
      <c r="L28" s="32"/>
    </row>
    <row r="29" spans="2:13" x14ac:dyDescent="0.2">
      <c r="B29" s="33" t="str">
        <f>"Nominal Levelized Payment at "&amp;TEXT($B$40,"0.000%")&amp;" Discount Rate (2)"</f>
        <v>Nominal Levelized Payment at 6.880% Discount Rate (2)</v>
      </c>
    </row>
    <row r="30" spans="2:13" x14ac:dyDescent="0.2">
      <c r="B30" s="34" t="str">
        <f>$B$11&amp;" - "&amp;B25</f>
        <v>2023 - 2037</v>
      </c>
      <c r="C30" s="35">
        <f t="shared" ref="C30:G32" si="6">PMT($B$40,COUNT(C11:C25),-NPV($B$40,C11:C25))</f>
        <v>43.828111400541637</v>
      </c>
      <c r="D30" s="35">
        <f t="shared" ref="D30:E30" si="7">PMT($B$40,COUNT(D11:D25),-NPV($B$40,D11:D25))</f>
        <v>43.828111400541637</v>
      </c>
      <c r="E30" s="35">
        <f t="shared" si="7"/>
        <v>43.828111400541637</v>
      </c>
      <c r="F30" s="35">
        <f t="shared" ref="F30" si="8">PMT($B$40,COUNT(F11:F25),-NPV($B$40,F11:F25))</f>
        <v>43.828111400541637</v>
      </c>
      <c r="G30" s="35">
        <f t="shared" si="6"/>
        <v>43.828111400541637</v>
      </c>
      <c r="I30" s="35">
        <f t="shared" ref="I30:M32" si="9">PMT($B$40,COUNT(I11:I25),-NPV($B$40,I11:I25))</f>
        <v>4.9993034175334472</v>
      </c>
      <c r="J30" s="35">
        <f t="shared" ref="J30:K30" si="10">PMT($B$40,COUNT(J11:J25),-NPV($B$40,J11:J25))</f>
        <v>4.9993034175334472</v>
      </c>
      <c r="K30" s="35">
        <f t="shared" si="10"/>
        <v>4.9993034175334472</v>
      </c>
      <c r="L30" s="35">
        <f t="shared" ref="L30" si="11">PMT($B$40,COUNT(L11:L25),-NPV($B$40,L11:L25))</f>
        <v>4.9993034175334472</v>
      </c>
      <c r="M30" s="35">
        <f t="shared" si="9"/>
        <v>4.9993034175334472</v>
      </c>
    </row>
    <row r="31" spans="2:13" x14ac:dyDescent="0.2">
      <c r="B31" s="34" t="str">
        <f>$B$12&amp;" - "&amp;B26</f>
        <v>2024 - 2038</v>
      </c>
      <c r="C31" s="35">
        <f t="shared" si="6"/>
        <v>52.404940277769462</v>
      </c>
      <c r="D31" s="35">
        <f t="shared" ref="D31:E31" si="12">PMT($B$40,COUNT(D12:D26),-NPV($B$40,D12:D26))</f>
        <v>52.404940277769462</v>
      </c>
      <c r="E31" s="35">
        <f t="shared" si="12"/>
        <v>52.404940277769462</v>
      </c>
      <c r="F31" s="35">
        <f t="shared" ref="F31" si="13">PMT($B$40,COUNT(F12:F26),-NPV($B$40,F12:F26))</f>
        <v>52.404940277769462</v>
      </c>
      <c r="G31" s="35">
        <f t="shared" si="6"/>
        <v>52.404940277769462</v>
      </c>
      <c r="I31" s="35">
        <f t="shared" si="9"/>
        <v>5.9781247635353818</v>
      </c>
      <c r="J31" s="35">
        <f t="shared" ref="J31:K31" si="14">PMT($B$40,COUNT(J12:J26),-NPV($B$40,J12:J26))</f>
        <v>5.9781247635353818</v>
      </c>
      <c r="K31" s="35">
        <f t="shared" si="14"/>
        <v>5.9781247635353818</v>
      </c>
      <c r="L31" s="35">
        <f t="shared" ref="L31" si="15">PMT($B$40,COUNT(L12:L26),-NPV($B$40,L12:L26))</f>
        <v>5.9781247635353818</v>
      </c>
      <c r="M31" s="35">
        <f t="shared" si="9"/>
        <v>5.9781247635353818</v>
      </c>
    </row>
    <row r="32" spans="2:13" x14ac:dyDescent="0.2">
      <c r="B32" s="34" t="str">
        <f>$B$13&amp;" - "&amp;B27</f>
        <v>2025 - 2039</v>
      </c>
      <c r="C32" s="35">
        <f t="shared" si="6"/>
        <v>61.691830694484707</v>
      </c>
      <c r="D32" s="35">
        <f t="shared" ref="D32:E32" si="16">PMT($B$40,COUNT(D13:D27),-NPV($B$40,D13:D27))</f>
        <v>61.691830694484707</v>
      </c>
      <c r="E32" s="35">
        <f t="shared" si="16"/>
        <v>61.691830694484707</v>
      </c>
      <c r="F32" s="35">
        <f t="shared" ref="F32" si="17">PMT($B$40,COUNT(F13:F27),-NPV($B$40,F13:F27))</f>
        <v>61.691830694484707</v>
      </c>
      <c r="G32" s="35">
        <f t="shared" si="6"/>
        <v>61.691830694484707</v>
      </c>
      <c r="I32" s="35">
        <f t="shared" si="9"/>
        <v>7.0379848757603058</v>
      </c>
      <c r="J32" s="35">
        <f t="shared" ref="J32:K32" si="18">PMT($B$40,COUNT(J13:J27),-NPV($B$40,J13:J27))</f>
        <v>7.0379848757603058</v>
      </c>
      <c r="K32" s="35">
        <f t="shared" si="18"/>
        <v>7.0379848757603058</v>
      </c>
      <c r="L32" s="35">
        <f t="shared" ref="L32" si="19">PMT($B$40,COUNT(L13:L27),-NPV($B$40,L13:L27))</f>
        <v>7.0379848757603058</v>
      </c>
      <c r="M32" s="35">
        <f t="shared" si="9"/>
        <v>7.0379848757603058</v>
      </c>
    </row>
    <row r="34" spans="2:16" x14ac:dyDescent="0.2">
      <c r="B34" s="25" t="str">
        <f>"(1)   Capacity costs are allocated based on assumed "&amp;TEXT(B42,"00%")&amp;" capacity factor."</f>
        <v>(1)   Capacity costs are allocated based on assumed 100% capacity factor.</v>
      </c>
    </row>
    <row r="35" spans="2:16" s="1" customFormat="1" x14ac:dyDescent="0.2">
      <c r="B35" s="25" t="s">
        <v>31</v>
      </c>
      <c r="C35" s="25"/>
      <c r="D35" s="25"/>
      <c r="E35" s="25"/>
      <c r="F35" s="25"/>
      <c r="G35" s="25"/>
      <c r="H35" s="25"/>
      <c r="I35" s="25"/>
      <c r="J35" s="25"/>
      <c r="K35" s="25"/>
      <c r="L35" s="25"/>
      <c r="O35"/>
      <c r="P35"/>
    </row>
    <row r="36" spans="2:16" x14ac:dyDescent="0.2">
      <c r="B36" s="25" t="s">
        <v>17</v>
      </c>
    </row>
    <row r="39" spans="2:16" x14ac:dyDescent="0.2">
      <c r="B39" s="50" t="s">
        <v>27</v>
      </c>
    </row>
    <row r="40" spans="2:16" x14ac:dyDescent="0.2">
      <c r="B40" s="36">
        <f>Discount_Rate</f>
        <v>6.88E-2</v>
      </c>
    </row>
    <row r="41" spans="2:16" x14ac:dyDescent="0.2">
      <c r="B41" s="25" t="s">
        <v>18</v>
      </c>
    </row>
    <row r="42" spans="2:16" x14ac:dyDescent="0.2">
      <c r="B42" s="91">
        <v>1</v>
      </c>
    </row>
  </sheetData>
  <printOptions horizontalCentered="1"/>
  <pageMargins left="0.25" right="0.25" top="0.75" bottom="0.75" header="0.3" footer="0.2"/>
  <pageSetup scale="63" orientation="landscape" r:id="rId1"/>
  <headerFooter alignWithMargins="0">
    <oddFooter>&amp;L&amp;8NPC Group - &amp;F   ( &amp;A )&amp;C&amp;8Page &amp;P of &amp;N&amp;R&amp;8&amp;D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Summary</vt:lpstr>
      <vt:lpstr>Incremental</vt:lpstr>
      <vt:lpstr>Total</vt:lpstr>
      <vt:lpstr>Energy</vt:lpstr>
      <vt:lpstr>Capacity</vt:lpstr>
      <vt:lpstr>Summary!Discount_Rate</vt:lpstr>
      <vt:lpstr>Discount_Rate</vt:lpstr>
      <vt:lpstr>Capacity!Print_Area</vt:lpstr>
      <vt:lpstr>Energy!Print_Area</vt:lpstr>
      <vt:lpstr>Incremental!Print_Area</vt:lpstr>
      <vt:lpstr>Total!Print_Area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Farmer</dc:creator>
  <cp:lastModifiedBy>Fred Nass</cp:lastModifiedBy>
  <cp:lastPrinted>2022-12-22T20:29:21Z</cp:lastPrinted>
  <dcterms:created xsi:type="dcterms:W3CDTF">2006-07-10T20:43:15Z</dcterms:created>
  <dcterms:modified xsi:type="dcterms:W3CDTF">2022-12-27T23:42:25Z</dcterms:modified>
</cp:coreProperties>
</file>