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36\"/>
    </mc:Choice>
  </mc:AlternateContent>
  <xr:revisionPtr revIDLastSave="0" documentId="8_{677881D0-025F-48E8-8393-E6AAC12C6EAF}" xr6:coauthVersionLast="47" xr6:coauthVersionMax="47" xr10:uidLastSave="{00000000-0000-0000-0000-000000000000}"/>
  <bookViews>
    <workbookView xWindow="1470" yWindow="1470" windowWidth="19365" windowHeight="13770" xr2:uid="{00000000-000D-0000-FFFF-FFFF00000000}"/>
  </bookViews>
  <sheets>
    <sheet name="Appendix B.3" sheetId="96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TransCost" sheetId="47" state="hidden" r:id="rId7"/>
    <sheet name="Table 3 PV wS Borah_2026" sheetId="67" state="hidden" r:id="rId8"/>
    <sheet name="Table 3 StdBat  DJ_2029" sheetId="94" state="hidden" r:id="rId9"/>
    <sheet name="Table 3 PNC Wind_2026" sheetId="83" r:id="rId10"/>
    <sheet name="Table 3 PNC Wind_2038" sheetId="92" state="hidden" r:id="rId11"/>
    <sheet name="Table 3 WV Wind_2026" sheetId="84" state="hidden" r:id="rId12"/>
    <sheet name="Table 3 YK WindwS_2029" sheetId="95" state="hidden" r:id="rId13"/>
    <sheet name="Table 3 WYE Wind_2029" sheetId="43" state="hidden" r:id="rId14"/>
    <sheet name="Table 3 WYE_DJ Wind_2028" sheetId="82" state="hidden" r:id="rId15"/>
    <sheet name="Table 3 PV wS SOR_2028" sheetId="87" state="hidden" r:id="rId16"/>
    <sheet name="Table 3 PV wS SOR_2030" sheetId="88" state="hidden" r:id="rId17"/>
    <sheet name="Table 3 PV wS YK_2029" sheetId="89" state="hidden" r:id="rId18"/>
    <sheet name="Table 3 PV wS UTN_2031" sheetId="90" state="hidden" r:id="rId19"/>
    <sheet name="Table 3 PV wS UTS_2032" sheetId="91" state="hidden" r:id="rId20"/>
    <sheet name="Table 3 SmNuc 345MW (NTN) 2028" sheetId="86" state="hidden" r:id="rId21"/>
    <sheet name="Table 3 NonE 206MW (UTN) 2031" sheetId="68" state="hidden" r:id="rId22"/>
    <sheet name="Table 3 NonE 206MW (Hgtn)" sheetId="85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30_Geo_West" localSheetId="0">'[1]Table 1'!$I$17</definedName>
    <definedName name="_30_Geo_West">'[2]Table 1'!$I$17</definedName>
    <definedName name="_436_CCCT_WestMain" localSheetId="0">'[1]Table 1'!$I$18</definedName>
    <definedName name="_436_CCCT_WestMain">'[2]Table 1'!$I$18</definedName>
    <definedName name="_477_CCCT_WestMain" localSheetId="0">'[3]Table 1'!$I$18</definedName>
    <definedName name="_477_CCCT_WestMain">'[4]Table 1'!$I$18</definedName>
    <definedName name="_635_CCCT_UtahS" localSheetId="0">'[3]Table 1'!$I$19</definedName>
    <definedName name="_635_CCCT_UtahS">'[4]Table 1'!$I$19</definedName>
    <definedName name="_635_CCCT_WyoNE" localSheetId="0">'[3]Table 1'!$I$17</definedName>
    <definedName name="_635_CCCT_WyoNE">'[4]Table 1'!$I$17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>'[5]Table 1'!#REF!</definedName>
    <definedName name="dateTable" localSheetId="0">'[6]on off peak hours'!$C$15:$ED$15</definedName>
    <definedName name="dateTable">'[6]on off peak hours'!$C$15:$ED$15</definedName>
    <definedName name="Discount_Rate" localSheetId="0">'[7]Table 1'!$I$43</definedName>
    <definedName name="Discount_Rate">'Table 1'!$I$43</definedName>
    <definedName name="Discount_Rate_2015_IRP" localSheetId="0">'[8]Table 7 to 8'!$AE$43</definedName>
    <definedName name="Discount_Rate_2015_IRP">'[9]Table 7 to 8'!$AE$43</definedName>
    <definedName name="DispatchSum">"GRID Thermal Generation!R2C1:R4C2"</definedName>
    <definedName name="FixedSolar_Capacity_Contr" localSheetId="0">'[9]Exhibit 3- Std FixedSolar QF'!$G$53</definedName>
    <definedName name="FixedSolar_Capacity_Contr">'[9]Exhibit 3- Std FixedSolar QF'!$G$53</definedName>
    <definedName name="HoursHoliday" localSheetId="0">'[6]on off peak hours'!$C$16:$ED$20</definedName>
    <definedName name="HoursHoliday">'[6]on off peak hours'!$C$16:$ED$20</definedName>
    <definedName name="IRP21_Infl_Rate" localSheetId="0">'[7]Table 1'!$K$47</definedName>
    <definedName name="IRP21_Infl_Rate">'Table 1'!$K$47</definedName>
    <definedName name="Market" localSheetId="0">'[9]OFPC Source'!$J$8:$M$295</definedName>
    <definedName name="Market">'[9]OFPC Source'!$J$8:$M$295</definedName>
    <definedName name="MidC_Flat" localSheetId="0">[10]Market_Price!#REF!</definedName>
    <definedName name="MidC_Flat">[10]Market_Price!#REF!</definedName>
    <definedName name="OR_AC_price" localSheetId="0">#REF!</definedName>
    <definedName name="OR_AC_price">#REF!</definedName>
    <definedName name="_xlnm.Print_Area" localSheetId="0">'Appendix B.3'!$A$1:$L$34</definedName>
    <definedName name="_xlnm.Print_Area" localSheetId="1">'Table 1'!$A$1:$G$58</definedName>
    <definedName name="_xlnm.Print_Area" localSheetId="2">'Table 2'!$B$1:$P$36</definedName>
    <definedName name="_xlnm.Print_Area" localSheetId="22">'Table 3 NonE 206MW (Hgtn)'!$A$1:$M$74</definedName>
    <definedName name="_xlnm.Print_Area" localSheetId="21">'Table 3 NonE 206MW (UTN) 2031'!$A$1:$M$75</definedName>
    <definedName name="_xlnm.Print_Area" localSheetId="9">'Table 3 PNC Wind_2026'!$A$1:$Q$64</definedName>
    <definedName name="_xlnm.Print_Area" localSheetId="10">'Table 3 PNC Wind_2038'!$A$1:$Q$64</definedName>
    <definedName name="_xlnm.Print_Area" localSheetId="7">'Table 3 PV wS Borah_2026'!$A$1:$P$64</definedName>
    <definedName name="_xlnm.Print_Area" localSheetId="15">'Table 3 PV wS SOR_2028'!$A$1:$P$74</definedName>
    <definedName name="_xlnm.Print_Area" localSheetId="16">'Table 3 PV wS SOR_2030'!$A$1:$P$64</definedName>
    <definedName name="_xlnm.Print_Area" localSheetId="18">'Table 3 PV wS UTN_2031'!$A$1:$P$64</definedName>
    <definedName name="_xlnm.Print_Area" localSheetId="19">'Table 3 PV wS UTS_2032'!$A$1:$P$64</definedName>
    <definedName name="_xlnm.Print_Area" localSheetId="17">'Table 3 PV wS YK_2029'!$A$1:$P$64</definedName>
    <definedName name="_xlnm.Print_Area" localSheetId="20">'Table 3 SmNuc 345MW (NTN) 2028'!$A$1:$L$83</definedName>
    <definedName name="_xlnm.Print_Area" localSheetId="8">'Table 3 StdBat  DJ_2029'!$A$1:$P$64</definedName>
    <definedName name="_xlnm.Print_Area" localSheetId="6">'Table 3 TransCost'!$A$1:$BD$50</definedName>
    <definedName name="_xlnm.Print_Area" localSheetId="11">'Table 3 WV Wind_2026'!$A$1:$Q$64</definedName>
    <definedName name="_xlnm.Print_Area" localSheetId="13">'Table 3 WYE Wind_2029'!$A$1:$Q$64</definedName>
    <definedName name="_xlnm.Print_Area" localSheetId="14">'Table 3 WYE_DJ Wind_2028'!$A$1:$Q$64</definedName>
    <definedName name="_xlnm.Print_Area" localSheetId="12">'Table 3 YK WindwS_2029'!$A$1:$Q$64</definedName>
    <definedName name="_xlnm.Print_Area" localSheetId="3">'Table 4'!$A$1:$F$44</definedName>
    <definedName name="_xlnm.Print_Area" localSheetId="4">Table3ACsummary!$A$1:$M$50</definedName>
    <definedName name="_xlnm.Print_Titles" localSheetId="2">'Table 2'!$1:$9</definedName>
    <definedName name="_xlnm.Print_Titles" localSheetId="22">'Table 3 NonE 206MW (Hgtn)'!$1:$6</definedName>
    <definedName name="_xlnm.Print_Titles" localSheetId="21">'Table 3 NonE 206MW (UTN) 2031'!$1:$6</definedName>
    <definedName name="_xlnm.Print_Titles" localSheetId="20">'Table 3 SmNuc 345MW (NTN) 2028'!$1:$6</definedName>
    <definedName name="RenewableMarketShape" localSheetId="0">'[9]OFPC Source'!$P$5:$U$33</definedName>
    <definedName name="RenewableMarketShape">'[9]OFPC Source'!$P$5:$U$33</definedName>
    <definedName name="RevenueSum">"GRID Thermal Revenue!R2C1:R4C2"</definedName>
    <definedName name="Solar_Fixed_integr_cost" localSheetId="0">'[11]Table 10'!$B$46</definedName>
    <definedName name="Solar_Fixed_integr_cost">'[11]Table 10'!$B$46</definedName>
    <definedName name="Solar_HLH" localSheetId="0">'[9]OFPC Source'!$U$48</definedName>
    <definedName name="Solar_HLH">'[9]OFPC Source'!$U$48</definedName>
    <definedName name="Solar_LLH" localSheetId="0">'[9]OFPC Source'!$V$48</definedName>
    <definedName name="Solar_LLH">'[9]OFPC Source'!$V$48</definedName>
    <definedName name="Solar_Tracking_integr_cost" localSheetId="0">'[11]Table 10'!$B$45</definedName>
    <definedName name="Solar_Tracking_integr_cost">'[11]Table 10'!$B$45</definedName>
    <definedName name="Study_Cap_Adj" localSheetId="0">'[3]Table 1'!$I$8</definedName>
    <definedName name="Study_Cap_Adj" localSheetId="2">'Table 1'!$I$8</definedName>
    <definedName name="Study_Cap_Adj" localSheetId="22">'Table 1'!$I$8</definedName>
    <definedName name="Study_Cap_Adj" localSheetId="21">'Table 1'!$I$8</definedName>
    <definedName name="Study_Cap_Adj" localSheetId="20">'Table 1'!$I$8</definedName>
    <definedName name="Study_Cap_Adj" localSheetId="6">'Table 1'!$I$8</definedName>
    <definedName name="Study_Cap_Adj">'Table 1'!$I$8</definedName>
    <definedName name="Study_CF" localSheetId="0">'[7]Table 5'!$M$7</definedName>
    <definedName name="Study_CF">'Table 5'!$M$7</definedName>
    <definedName name="Study_MW" localSheetId="0">'[7]Table 5'!$M$6</definedName>
    <definedName name="Study_MW">'Table 5'!$M$6</definedName>
    <definedName name="ValuationDate" localSheetId="0">#REF!</definedName>
    <definedName name="ValuationDate">#REF!</definedName>
    <definedName name="Wind_Capacity_Contr" localSheetId="0">'[9]Exhibit 2- Std Wind QF '!$E$57</definedName>
    <definedName name="Wind_Capacity_Contr">'[9]Exhibit 2- Std Wind QF '!$E$57</definedName>
    <definedName name="Wind_Integration_Charge" localSheetId="0">'[9]Exhibit 2- Std Wind QF '!$E$45</definedName>
    <definedName name="Wind_Integration_Charge">'[9]Exhibit 2- Std Wind QF '!$E$45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96" l="1"/>
  <c r="H26" i="96"/>
  <c r="G26" i="96"/>
  <c r="F26" i="96"/>
  <c r="B11" i="96"/>
  <c r="H10" i="96"/>
  <c r="B10" i="96"/>
  <c r="G10" i="96" s="1"/>
  <c r="H9" i="96"/>
  <c r="G9" i="96"/>
  <c r="F9" i="96"/>
  <c r="G11" i="96" l="1"/>
  <c r="F10" i="96"/>
  <c r="H11" i="96"/>
  <c r="B12" i="96"/>
  <c r="F11" i="96"/>
  <c r="G12" i="96" l="1"/>
  <c r="H12" i="96"/>
  <c r="F12" i="96"/>
  <c r="B13" i="96"/>
  <c r="B14" i="96" l="1"/>
  <c r="H13" i="96"/>
  <c r="G13" i="96"/>
  <c r="F13" i="96"/>
  <c r="G14" i="96" l="1"/>
  <c r="H14" i="96"/>
  <c r="F14" i="96"/>
  <c r="B15" i="96"/>
  <c r="F15" i="96" l="1"/>
  <c r="B16" i="96"/>
  <c r="H15" i="96"/>
  <c r="G15" i="96"/>
  <c r="G16" i="96" l="1"/>
  <c r="B17" i="96"/>
  <c r="F16" i="96"/>
  <c r="H16" i="96"/>
  <c r="B18" i="96" l="1"/>
  <c r="H17" i="96"/>
  <c r="G17" i="96"/>
  <c r="F17" i="96"/>
  <c r="G18" i="96" l="1"/>
  <c r="B19" i="96"/>
  <c r="H18" i="96"/>
  <c r="F18" i="96"/>
  <c r="B20" i="96" l="1"/>
  <c r="H19" i="96"/>
  <c r="G19" i="96"/>
  <c r="F19" i="96"/>
  <c r="G20" i="96" l="1"/>
  <c r="B21" i="96"/>
  <c r="F20" i="96"/>
  <c r="H20" i="96"/>
  <c r="G21" i="96" l="1"/>
  <c r="B22" i="96"/>
  <c r="H21" i="96"/>
  <c r="F21" i="96"/>
  <c r="G22" i="96" l="1"/>
  <c r="F22" i="96"/>
  <c r="B23" i="96"/>
  <c r="H22" i="96"/>
  <c r="B33" i="96" l="1"/>
  <c r="G23" i="96"/>
  <c r="H23" i="96"/>
  <c r="F23" i="96"/>
  <c r="D9" i="96" l="1"/>
  <c r="J9" i="96" s="1"/>
  <c r="D15" i="96"/>
  <c r="J15" i="96" s="1"/>
  <c r="D13" i="96"/>
  <c r="J13" i="96" s="1"/>
  <c r="D17" i="96" l="1"/>
  <c r="J17" i="96" s="1"/>
  <c r="D11" i="96"/>
  <c r="J11" i="96" s="1"/>
  <c r="D12" i="96"/>
  <c r="J12" i="96" s="1"/>
  <c r="D10" i="96"/>
  <c r="J10" i="96" s="1"/>
  <c r="D18" i="96"/>
  <c r="J18" i="96" s="1"/>
  <c r="D16" i="96"/>
  <c r="J16" i="96" s="1"/>
  <c r="D14" i="96"/>
  <c r="J14" i="96" s="1"/>
  <c r="D23" i="96" l="1"/>
  <c r="J23" i="96" s="1"/>
  <c r="D19" i="96"/>
  <c r="J19" i="96" s="1"/>
  <c r="D22" i="96" l="1"/>
  <c r="J22" i="96" s="1"/>
  <c r="D20" i="96"/>
  <c r="J20" i="96" s="1"/>
  <c r="D21" i="96"/>
  <c r="J21" i="96" s="1"/>
  <c r="D26" i="96"/>
  <c r="J26" i="96" s="1"/>
  <c r="J27" i="96" s="1"/>
  <c r="AA9" i="47" l="1"/>
  <c r="AF9" i="47"/>
  <c r="M240" i="3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E32" i="92" l="1"/>
  <c r="C32" i="92"/>
  <c r="E27" i="91"/>
  <c r="E26" i="91"/>
  <c r="C56" i="91"/>
  <c r="C55" i="91"/>
  <c r="C56" i="90" l="1"/>
  <c r="C55" i="90"/>
  <c r="E23" i="89"/>
  <c r="E24" i="89" s="1"/>
  <c r="C56" i="89"/>
  <c r="C55" i="89"/>
  <c r="H22" i="82"/>
  <c r="H23" i="82" s="1"/>
  <c r="H24" i="82" s="1"/>
  <c r="E22" i="82"/>
  <c r="E23" i="82"/>
  <c r="E24" i="82" s="1"/>
  <c r="C56" i="82"/>
  <c r="C55" i="82"/>
  <c r="H24" i="43"/>
  <c r="E23" i="43"/>
  <c r="E24" i="43" s="1"/>
  <c r="C56" i="43"/>
  <c r="C55" i="43"/>
  <c r="BJ17" i="47"/>
  <c r="E23" i="95"/>
  <c r="E24" i="95"/>
  <c r="C56" i="95"/>
  <c r="C55" i="95"/>
  <c r="C55" i="84"/>
  <c r="C56" i="84"/>
  <c r="C56" i="92"/>
  <c r="C55" i="92"/>
  <c r="C55" i="83"/>
  <c r="E31" i="85" l="1"/>
  <c r="C31" i="85"/>
  <c r="F26" i="68" l="1"/>
  <c r="F27" i="68" s="1"/>
  <c r="C25" i="68"/>
  <c r="C64" i="85" l="1"/>
  <c r="A56" i="25" l="1"/>
  <c r="A52" i="25"/>
  <c r="R5" i="31"/>
  <c r="Q5" i="31" s="1"/>
  <c r="P5" i="31" s="1"/>
  <c r="D23" i="95" l="1"/>
  <c r="D24" i="95" s="1"/>
  <c r="B60" i="95"/>
  <c r="D49" i="95"/>
  <c r="C49" i="95"/>
  <c r="D48" i="95"/>
  <c r="C48" i="95"/>
  <c r="D47" i="95"/>
  <c r="C47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D46" i="95" l="1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7" i="94"/>
  <c r="D46" i="94"/>
  <c r="D22" i="82"/>
  <c r="D23" i="43"/>
  <c r="D32" i="92"/>
  <c r="D26" i="91"/>
  <c r="D23" i="89"/>
  <c r="E23" i="94"/>
  <c r="F23" i="94"/>
  <c r="D49" i="94"/>
  <c r="C49" i="94"/>
  <c r="D48" i="94"/>
  <c r="C48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D27" i="91" l="1"/>
  <c r="D24" i="43"/>
  <c r="G22" i="82"/>
  <c r="J22" i="82" s="1"/>
  <c r="K22" i="82" s="1"/>
  <c r="D23" i="82"/>
  <c r="L22" i="82"/>
  <c r="D24" i="89"/>
  <c r="B3" i="94"/>
  <c r="C52" i="94" s="1"/>
  <c r="B9" i="94" s="1"/>
  <c r="B22" i="95"/>
  <c r="D23" i="94"/>
  <c r="D24" i="94" s="1"/>
  <c r="D25" i="94" s="1"/>
  <c r="K25" i="94" s="1"/>
  <c r="G23" i="82" l="1"/>
  <c r="J23" i="82" s="1"/>
  <c r="K23" i="82" s="1"/>
  <c r="L23" i="82"/>
  <c r="D24" i="82"/>
  <c r="K23" i="94"/>
  <c r="G24" i="94"/>
  <c r="I24" i="94" s="1"/>
  <c r="J24" i="94" s="1"/>
  <c r="G25" i="94"/>
  <c r="I25" i="94" s="1"/>
  <c r="J25" i="94" s="1"/>
  <c r="K24" i="94"/>
  <c r="D26" i="94"/>
  <c r="G23" i="94"/>
  <c r="I23" i="94" s="1"/>
  <c r="J23" i="94" s="1"/>
  <c r="B23" i="95"/>
  <c r="G24" i="82" l="1"/>
  <c r="J24" i="82" s="1"/>
  <c r="K24" i="82" s="1"/>
  <c r="L24" i="82"/>
  <c r="D27" i="94"/>
  <c r="G26" i="94"/>
  <c r="I26" i="94" s="1"/>
  <c r="J26" i="94" s="1"/>
  <c r="K26" i="94"/>
  <c r="B24" i="95"/>
  <c r="K27" i="94" l="1"/>
  <c r="D28" i="94"/>
  <c r="G27" i="94"/>
  <c r="I27" i="94" s="1"/>
  <c r="J27" i="94" s="1"/>
  <c r="B25" i="95"/>
  <c r="D25" i="95"/>
  <c r="K28" i="94" l="1"/>
  <c r="D29" i="94"/>
  <c r="G28" i="94"/>
  <c r="I28" i="94" s="1"/>
  <c r="J28" i="94" s="1"/>
  <c r="D26" i="95"/>
  <c r="B26" i="95"/>
  <c r="K29" i="94" l="1"/>
  <c r="D30" i="94"/>
  <c r="G29" i="94"/>
  <c r="I29" i="94" s="1"/>
  <c r="J29" i="94" s="1"/>
  <c r="D27" i="95"/>
  <c r="B27" i="95"/>
  <c r="D31" i="94" l="1"/>
  <c r="G30" i="94"/>
  <c r="I30" i="94" s="1"/>
  <c r="J30" i="94" s="1"/>
  <c r="K30" i="94"/>
  <c r="B28" i="95"/>
  <c r="D28" i="95"/>
  <c r="G31" i="94" l="1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D34" i="94"/>
  <c r="G33" i="94"/>
  <c r="I33" i="94" s="1"/>
  <c r="J33" i="94" s="1"/>
  <c r="D31" i="95"/>
  <c r="G34" i="94" l="1"/>
  <c r="I34" i="94" s="1"/>
  <c r="J34" i="94" s="1"/>
  <c r="K34" i="94"/>
  <c r="D35" i="94"/>
  <c r="D32" i="95"/>
  <c r="G35" i="94" l="1"/>
  <c r="I35" i="94" s="1"/>
  <c r="J35" i="94" s="1"/>
  <c r="D36" i="94"/>
  <c r="K35" i="94"/>
  <c r="D33" i="95"/>
  <c r="C56" i="88"/>
  <c r="C55" i="88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33" i="92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D25" i="90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B26" i="92"/>
  <c r="D28" i="91"/>
  <c r="D27" i="90"/>
  <c r="D27" i="89"/>
  <c r="D25" i="88"/>
  <c r="B19" i="91" l="1"/>
  <c r="B27" i="92"/>
  <c r="D29" i="91"/>
  <c r="D28" i="90"/>
  <c r="D28" i="89"/>
  <c r="D26" i="88"/>
  <c r="B20" i="91" l="1"/>
  <c r="B28" i="92"/>
  <c r="D30" i="91"/>
  <c r="D29" i="90"/>
  <c r="D29" i="89"/>
  <c r="D27" i="88"/>
  <c r="B21" i="91" l="1"/>
  <c r="B29" i="92"/>
  <c r="D31" i="91"/>
  <c r="D30" i="90"/>
  <c r="D30" i="89"/>
  <c r="D28" i="88"/>
  <c r="B22" i="91" l="1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32" i="85" l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E25" i="82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5" i="43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D41" i="85" l="1"/>
  <c r="D31" i="85"/>
  <c r="D32" i="85" s="1"/>
  <c r="D33" i="85" s="1"/>
  <c r="D34" i="85" s="1"/>
  <c r="D35" i="85" s="1"/>
  <c r="D36" i="85" s="1"/>
  <c r="J27" i="85"/>
  <c r="J28" i="85" s="1"/>
  <c r="J29" i="85" s="1"/>
  <c r="J30" i="85" s="1"/>
  <c r="J31" i="85" s="1"/>
  <c r="J32" i="85" s="1"/>
  <c r="J33" i="85" s="1"/>
  <c r="J34" i="85" s="1"/>
  <c r="J35" i="85" s="1"/>
  <c r="J36" i="85" s="1"/>
  <c r="M22" i="86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H59" i="85"/>
  <c r="D42" i="85" s="1"/>
  <c r="D72" i="85"/>
  <c r="K59" i="85" l="1"/>
  <c r="C82" i="86"/>
  <c r="J58" i="86"/>
  <c r="L59" i="86" s="1"/>
  <c r="K59" i="86"/>
  <c r="J59" i="86"/>
  <c r="L59" i="85"/>
  <c r="D45" i="85" s="1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H23" i="86" l="1"/>
  <c r="I23" i="86" s="1"/>
  <c r="L23" i="86" s="1"/>
  <c r="K28" i="86"/>
  <c r="H24" i="86" l="1"/>
  <c r="I24" i="86" s="1"/>
  <c r="L24" i="86" s="1"/>
  <c r="K29" i="86"/>
  <c r="H25" i="86" l="1"/>
  <c r="I25" i="86" s="1"/>
  <c r="L25" i="86" s="1"/>
  <c r="K30" i="86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D25" i="68"/>
  <c r="D26" i="68" s="1"/>
  <c r="D27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l="1"/>
  <c r="H25" i="68"/>
  <c r="B12" i="83"/>
  <c r="B13" i="83" s="1"/>
  <c r="B14" i="83" s="1"/>
  <c r="B15" i="83" s="1"/>
  <c r="B16" i="83" s="1"/>
  <c r="B17" i="83" s="1"/>
  <c r="B18" i="83" s="1"/>
  <c r="B19" i="83" s="1"/>
  <c r="B20" i="83" s="1"/>
  <c r="B21" i="83"/>
  <c r="G27" i="68" l="1"/>
  <c r="G28" i="68" s="1"/>
  <c r="G29" i="68" s="1"/>
  <c r="G30" i="68" s="1"/>
  <c r="G31" i="68" s="1"/>
  <c r="G32" i="68" s="1"/>
  <c r="G33" i="68" s="1"/>
  <c r="G34" i="68" s="1"/>
  <c r="G35" i="68" s="1"/>
  <c r="G36" i="68" s="1"/>
  <c r="H26" i="68"/>
  <c r="B22" i="83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5" i="82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J10" i="47"/>
  <c r="BJ11" i="47" s="1"/>
  <c r="BJ12" i="47" s="1"/>
  <c r="BJ9" i="47"/>
  <c r="BE11" i="47"/>
  <c r="AZ16" i="47"/>
  <c r="AU24" i="47"/>
  <c r="AP24" i="47"/>
  <c r="AF17" i="47"/>
  <c r="V11" i="47"/>
  <c r="V9" i="47"/>
  <c r="M13" i="47" l="1"/>
  <c r="M12" i="47"/>
  <c r="M11" i="47"/>
  <c r="M18" i="47"/>
  <c r="M10" i="47"/>
  <c r="M17" i="47"/>
  <c r="M16" i="47"/>
  <c r="M15" i="47"/>
  <c r="M14" i="47"/>
  <c r="AL12" i="47"/>
  <c r="AL11" i="47"/>
  <c r="AL10" i="47"/>
  <c r="AB12" i="47"/>
  <c r="AB11" i="47"/>
  <c r="AB10" i="47"/>
  <c r="BK11" i="47"/>
  <c r="BM11" i="47" s="1"/>
  <c r="BK10" i="47"/>
  <c r="BM10" i="47" s="1"/>
  <c r="BK15" i="47"/>
  <c r="BK14" i="47"/>
  <c r="BK13" i="47"/>
  <c r="BK12" i="47"/>
  <c r="BM12" i="47" s="1"/>
  <c r="BF12" i="47"/>
  <c r="BF11" i="47"/>
  <c r="BF10" i="47"/>
  <c r="W19" i="47"/>
  <c r="W11" i="47"/>
  <c r="W26" i="47"/>
  <c r="W18" i="47"/>
  <c r="W10" i="47"/>
  <c r="W25" i="47"/>
  <c r="W17" i="47"/>
  <c r="W24" i="47"/>
  <c r="W16" i="47"/>
  <c r="W23" i="47"/>
  <c r="W15" i="47"/>
  <c r="W22" i="47"/>
  <c r="W14" i="47"/>
  <c r="W21" i="47"/>
  <c r="W13" i="47"/>
  <c r="W20" i="47"/>
  <c r="W12" i="47"/>
  <c r="AQ14" i="47"/>
  <c r="AQ13" i="47"/>
  <c r="AQ12" i="47"/>
  <c r="AQ11" i="47"/>
  <c r="AQ10" i="47"/>
  <c r="R19" i="47"/>
  <c r="R11" i="47"/>
  <c r="R18" i="47"/>
  <c r="R10" i="47"/>
  <c r="R17" i="47"/>
  <c r="R16" i="47"/>
  <c r="R23" i="47"/>
  <c r="R15" i="47"/>
  <c r="R22" i="47"/>
  <c r="R14" i="47"/>
  <c r="R21" i="47"/>
  <c r="R13" i="47"/>
  <c r="R20" i="47"/>
  <c r="R12" i="47"/>
  <c r="BA10" i="47"/>
  <c r="AV10" i="47"/>
  <c r="AV17" i="47"/>
  <c r="AV16" i="47"/>
  <c r="AV15" i="47"/>
  <c r="AV14" i="47"/>
  <c r="AV13" i="47"/>
  <c r="AV12" i="47"/>
  <c r="AV11" i="47"/>
  <c r="AG20" i="47"/>
  <c r="AG12" i="47"/>
  <c r="AG19" i="47"/>
  <c r="AG11" i="47"/>
  <c r="AG18" i="47"/>
  <c r="AG10" i="47"/>
  <c r="AG17" i="47"/>
  <c r="AG16" i="47"/>
  <c r="AG23" i="47"/>
  <c r="AG15" i="47"/>
  <c r="AG22" i="47"/>
  <c r="AG14" i="47"/>
  <c r="AG21" i="47"/>
  <c r="AG13" i="47"/>
  <c r="B22" i="82"/>
  <c r="B23" i="82" s="1"/>
  <c r="B24" i="82" s="1"/>
  <c r="B25" i="82" s="1"/>
  <c r="BL39" i="47"/>
  <c r="BK16" i="47" s="1"/>
  <c r="BK17" i="47" s="1"/>
  <c r="BK18" i="47" s="1"/>
  <c r="BK19" i="47" s="1"/>
  <c r="BK20" i="47" s="1"/>
  <c r="BK21" i="47" s="1"/>
  <c r="BK22" i="47" s="1"/>
  <c r="BK23" i="47" s="1"/>
  <c r="BK24" i="47" s="1"/>
  <c r="BK25" i="47" s="1"/>
  <c r="BK26" i="47" s="1"/>
  <c r="BK27" i="47" s="1"/>
  <c r="BK28" i="47" s="1"/>
  <c r="BK29" i="47" s="1"/>
  <c r="BK30" i="47" s="1"/>
  <c r="BK31" i="47" s="1"/>
  <c r="BK32" i="47" s="1"/>
  <c r="BJ14" i="47"/>
  <c r="BJ15" i="47" s="1"/>
  <c r="BJ16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C60" i="89" l="1"/>
  <c r="F23" i="89" s="1"/>
  <c r="C60" i="95"/>
  <c r="F23" i="95" s="1"/>
  <c r="B26" i="82"/>
  <c r="BM13" i="47"/>
  <c r="H16" i="47" l="1"/>
  <c r="H15" i="47"/>
  <c r="H14" i="47"/>
  <c r="H13" i="47"/>
  <c r="H12" i="47"/>
  <c r="H19" i="47"/>
  <c r="H11" i="47"/>
  <c r="H18" i="47"/>
  <c r="H10" i="47"/>
  <c r="H17" i="47"/>
  <c r="F24" i="89"/>
  <c r="F25" i="89" s="1"/>
  <c r="K25" i="89" s="1"/>
  <c r="K23" i="89"/>
  <c r="G23" i="89"/>
  <c r="I23" i="89" s="1"/>
  <c r="J23" i="89" s="1"/>
  <c r="F24" i="95"/>
  <c r="F25" i="95" s="1"/>
  <c r="G23" i="95"/>
  <c r="J23" i="95" s="1"/>
  <c r="K23" i="95" s="1"/>
  <c r="L23" i="95"/>
  <c r="B27" i="82"/>
  <c r="BM14" i="47"/>
  <c r="C11" i="47" l="1"/>
  <c r="C10" i="47"/>
  <c r="K24" i="89"/>
  <c r="G24" i="89"/>
  <c r="I24" i="89" s="1"/>
  <c r="J24" i="89" s="1"/>
  <c r="G25" i="89"/>
  <c r="I25" i="89" s="1"/>
  <c r="J25" i="89" s="1"/>
  <c r="F26" i="89"/>
  <c r="F27" i="89" s="1"/>
  <c r="L24" i="95"/>
  <c r="G24" i="95"/>
  <c r="J24" i="95" s="1"/>
  <c r="K24" i="95" s="1"/>
  <c r="F26" i="95"/>
  <c r="L25" i="95"/>
  <c r="G25" i="95"/>
  <c r="J25" i="95" s="1"/>
  <c r="K25" i="95" s="1"/>
  <c r="B28" i="82"/>
  <c r="BM15" i="47"/>
  <c r="K26" i="89" l="1"/>
  <c r="G26" i="89"/>
  <c r="I26" i="89" s="1"/>
  <c r="J26" i="89" s="1"/>
  <c r="F27" i="95"/>
  <c r="L26" i="95"/>
  <c r="G26" i="95"/>
  <c r="J26" i="95" s="1"/>
  <c r="K26" i="95" s="1"/>
  <c r="F28" i="89"/>
  <c r="G27" i="89"/>
  <c r="I27" i="89" s="1"/>
  <c r="J27" i="89" s="1"/>
  <c r="K27" i="89"/>
  <c r="B29" i="82"/>
  <c r="BM16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8" i="95" l="1"/>
  <c r="L27" i="95"/>
  <c r="G27" i="95"/>
  <c r="J27" i="95" s="1"/>
  <c r="K27" i="95" s="1"/>
  <c r="F29" i="89"/>
  <c r="K28" i="89"/>
  <c r="G28" i="89"/>
  <c r="I28" i="89" s="1"/>
  <c r="J28" i="89" s="1"/>
  <c r="B30" i="82"/>
  <c r="BM17" i="47"/>
  <c r="D25" i="43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9" i="95" l="1"/>
  <c r="G28" i="95"/>
  <c r="J28" i="95" s="1"/>
  <c r="K28" i="95" s="1"/>
  <c r="L28" i="95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30" i="95" l="1"/>
  <c r="L29" i="95"/>
  <c r="G29" i="95"/>
  <c r="J29" i="95" s="1"/>
  <c r="K29" i="95" s="1"/>
  <c r="F31" i="89"/>
  <c r="K30" i="89"/>
  <c r="G30" i="89"/>
  <c r="I30" i="89" s="1"/>
  <c r="J30" i="89" s="1"/>
  <c r="B32" i="82"/>
  <c r="F31" i="95" l="1"/>
  <c r="G30" i="95"/>
  <c r="J30" i="95" s="1"/>
  <c r="K30" i="95" s="1"/>
  <c r="L30" i="95"/>
  <c r="F32" i="89"/>
  <c r="G31" i="89"/>
  <c r="I31" i="89" s="1"/>
  <c r="J31" i="89" s="1"/>
  <c r="K31" i="89"/>
  <c r="B33" i="82"/>
  <c r="F32" i="95" l="1"/>
  <c r="G31" i="95"/>
  <c r="J31" i="95" s="1"/>
  <c r="K31" i="95" s="1"/>
  <c r="L31" i="95"/>
  <c r="F33" i="89"/>
  <c r="G32" i="89"/>
  <c r="I32" i="89" s="1"/>
  <c r="J32" i="89" s="1"/>
  <c r="K32" i="89"/>
  <c r="C65" i="87"/>
  <c r="C76" i="86"/>
  <c r="B34" i="82"/>
  <c r="F33" i="95" l="1"/>
  <c r="G32" i="95"/>
  <c r="J32" i="95" s="1"/>
  <c r="K32" i="95" s="1"/>
  <c r="L32" i="95"/>
  <c r="F34" i="89"/>
  <c r="G33" i="89"/>
  <c r="I33" i="89" s="1"/>
  <c r="J33" i="89" s="1"/>
  <c r="K33" i="89"/>
  <c r="B35" i="82"/>
  <c r="B36" i="82" s="1"/>
  <c r="B37" i="82" s="1"/>
  <c r="S6" i="31"/>
  <c r="F34" i="95" l="1"/>
  <c r="G33" i="95"/>
  <c r="J33" i="95" s="1"/>
  <c r="K33" i="95" s="1"/>
  <c r="L33" i="95"/>
  <c r="F35" i="89"/>
  <c r="G34" i="89"/>
  <c r="I34" i="89" s="1"/>
  <c r="J34" i="89" s="1"/>
  <c r="K34" i="89"/>
  <c r="A9" i="31"/>
  <c r="R6" i="31"/>
  <c r="Q6" i="31"/>
  <c r="P6" i="31"/>
  <c r="F35" i="95" l="1"/>
  <c r="L34" i="95"/>
  <c r="G34" i="95"/>
  <c r="J34" i="95" s="1"/>
  <c r="K34" i="95" s="1"/>
  <c r="F36" i="89"/>
  <c r="G35" i="89"/>
  <c r="I35" i="89" s="1"/>
  <c r="J35" i="89" s="1"/>
  <c r="K35" i="89"/>
  <c r="CX34" i="25"/>
  <c r="CW34" i="25"/>
  <c r="CV34" i="25"/>
  <c r="CX33" i="25"/>
  <c r="CW33" i="25"/>
  <c r="CV33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AX32" i="25"/>
  <c r="AT32" i="25"/>
  <c r="AP32" i="25"/>
  <c r="AL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F36" i="95" l="1"/>
  <c r="G35" i="95"/>
  <c r="J35" i="95" s="1"/>
  <c r="K35" i="95" s="1"/>
  <c r="L35" i="95"/>
  <c r="F37" i="89"/>
  <c r="G36" i="89"/>
  <c r="I36" i="89" s="1"/>
  <c r="J36" i="89" s="1"/>
  <c r="K36" i="89"/>
  <c r="CE9" i="25"/>
  <c r="AM9" i="25"/>
  <c r="F37" i="95" l="1"/>
  <c r="G36" i="95"/>
  <c r="J36" i="95" s="1"/>
  <c r="K36" i="95" s="1"/>
  <c r="L36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5" i="82"/>
  <c r="G37" i="95" l="1"/>
  <c r="J37" i="95" s="1"/>
  <c r="K37" i="95" s="1"/>
  <c r="L37" i="95"/>
  <c r="G27" i="82"/>
  <c r="J27" i="82" s="1"/>
  <c r="K27" i="82" s="1"/>
  <c r="L27" i="82"/>
  <c r="G28" i="82" l="1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D28" i="68" l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A11" i="47" s="1"/>
  <c r="BA12" i="47" s="1"/>
  <c r="BA13" i="47" s="1"/>
  <c r="BA14" i="47" s="1"/>
  <c r="BA15" i="47" s="1"/>
  <c r="BA16" i="47" s="1"/>
  <c r="BA17" i="47" s="1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BA32" i="47" s="1"/>
  <c r="BG39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60" i="84" l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BF13" i="47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F32" i="47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AS10" i="47"/>
  <c r="BC10" i="47"/>
  <c r="O10" i="47"/>
  <c r="AX10" i="47"/>
  <c r="AW39" i="47"/>
  <c r="AV18" i="47" s="1"/>
  <c r="AV19" i="47" s="1"/>
  <c r="AV20" i="47" s="1"/>
  <c r="AV21" i="47" s="1"/>
  <c r="AV22" i="47" s="1"/>
  <c r="AV23" i="47" s="1"/>
  <c r="AV24" i="47" s="1"/>
  <c r="AV25" i="47" s="1"/>
  <c r="AV26" i="47" s="1"/>
  <c r="AV27" i="47" s="1"/>
  <c r="AV28" i="47" s="1"/>
  <c r="AV29" i="47" s="1"/>
  <c r="AV30" i="47" s="1"/>
  <c r="AV31" i="47" s="1"/>
  <c r="AV32" i="47" s="1"/>
  <c r="AR39" i="47"/>
  <c r="AQ15" i="47" s="1"/>
  <c r="AQ16" i="47" s="1"/>
  <c r="AQ17" i="47" s="1"/>
  <c r="AQ18" i="47" s="1"/>
  <c r="AQ19" i="47" s="1"/>
  <c r="AQ20" i="47" s="1"/>
  <c r="AQ21" i="47" s="1"/>
  <c r="AQ22" i="47" s="1"/>
  <c r="AQ23" i="47" s="1"/>
  <c r="AQ24" i="47" s="1"/>
  <c r="AQ25" i="47" s="1"/>
  <c r="AQ26" i="47" s="1"/>
  <c r="AQ27" i="47" s="1"/>
  <c r="AQ28" i="47" s="1"/>
  <c r="AQ29" i="47" s="1"/>
  <c r="AQ30" i="47" s="1"/>
  <c r="AQ31" i="47" s="1"/>
  <c r="AQ32" i="47" s="1"/>
  <c r="N39" i="47"/>
  <c r="M19" i="47" s="1"/>
  <c r="M20" i="47" s="1"/>
  <c r="M21" i="47" s="1"/>
  <c r="M22" i="47" s="1"/>
  <c r="M23" i="47" s="1"/>
  <c r="M24" i="47" s="1"/>
  <c r="M25" i="47" s="1"/>
  <c r="M26" i="47" s="1"/>
  <c r="M27" i="47" s="1"/>
  <c r="M28" i="47" s="1"/>
  <c r="M29" i="47" s="1"/>
  <c r="M30" i="47" s="1"/>
  <c r="M31" i="47" s="1"/>
  <c r="M32" i="47" s="1"/>
  <c r="AM39" i="47"/>
  <c r="AL13" i="47" s="1"/>
  <c r="AL14" i="47" s="1"/>
  <c r="AL15" i="47" s="1"/>
  <c r="AL16" i="47" s="1"/>
  <c r="AL17" i="47" s="1"/>
  <c r="AL18" i="47" s="1"/>
  <c r="AL19" i="47" s="1"/>
  <c r="AL20" i="47" s="1"/>
  <c r="AL21" i="47" s="1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L32" i="47" s="1"/>
  <c r="G20" i="84" l="1"/>
  <c r="J20" i="84" s="1"/>
  <c r="K20" i="84" s="1"/>
  <c r="L20" i="84"/>
  <c r="C60" i="88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C73" i="68"/>
  <c r="E25" i="68" s="1"/>
  <c r="M25" i="68" s="1"/>
  <c r="E32" i="85"/>
  <c r="E33" i="85" s="1"/>
  <c r="E34" i="85" s="1"/>
  <c r="E35" i="85" s="1"/>
  <c r="E36" i="85" s="1"/>
  <c r="L21" i="84"/>
  <c r="G21" i="84"/>
  <c r="J21" i="84" s="1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E26" i="68" l="1"/>
  <c r="M26" i="68" s="1"/>
  <c r="I25" i="68"/>
  <c r="G20" i="83"/>
  <c r="J20" i="83" s="1"/>
  <c r="K20" i="83" s="1"/>
  <c r="L20" i="83"/>
  <c r="F26" i="90"/>
  <c r="K25" i="90"/>
  <c r="G25" i="90"/>
  <c r="I25" i="90" s="1"/>
  <c r="J25" i="90" s="1"/>
  <c r="F27" i="92"/>
  <c r="F22" i="87"/>
  <c r="F25" i="88"/>
  <c r="G24" i="88"/>
  <c r="I24" i="88" s="1"/>
  <c r="J24" i="88" s="1"/>
  <c r="K24" i="88"/>
  <c r="K21" i="84"/>
  <c r="M27" i="86"/>
  <c r="I27" i="86"/>
  <c r="L27" i="86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Y10" i="47"/>
  <c r="J10" i="47"/>
  <c r="X39" i="47"/>
  <c r="W27" i="47" s="1"/>
  <c r="W28" i="47" s="1"/>
  <c r="W29" i="47" s="1"/>
  <c r="W30" i="47" s="1"/>
  <c r="W31" i="47" s="1"/>
  <c r="W32" i="47" s="1"/>
  <c r="AH39" i="47"/>
  <c r="AG24" i="47" s="1"/>
  <c r="AG25" i="47" s="1"/>
  <c r="AG26" i="47" s="1"/>
  <c r="AG27" i="47" s="1"/>
  <c r="AG28" i="47" s="1"/>
  <c r="AG29" i="47" s="1"/>
  <c r="AG30" i="47" s="1"/>
  <c r="AG31" i="47" s="1"/>
  <c r="AG32" i="47" s="1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R24" i="47" s="1"/>
  <c r="R25" i="47" s="1"/>
  <c r="R26" i="47" s="1"/>
  <c r="R27" i="47" s="1"/>
  <c r="R28" i="47" s="1"/>
  <c r="R29" i="47" s="1"/>
  <c r="R30" i="47" s="1"/>
  <c r="R31" i="47" s="1"/>
  <c r="R32" i="47" s="1"/>
  <c r="AC39" i="47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B32" i="47" s="1"/>
  <c r="I39" i="47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l="1"/>
  <c r="F19" i="43" s="1"/>
  <c r="F20" i="43" s="1"/>
  <c r="F21" i="43" s="1"/>
  <c r="F22" i="43" s="1"/>
  <c r="F23" i="43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60" i="91"/>
  <c r="F26" i="91" s="1"/>
  <c r="H20" i="47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H32" i="47" s="1"/>
  <c r="F24" i="43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G23" i="43"/>
  <c r="J23" i="43" s="1"/>
  <c r="K23" i="43" s="1"/>
  <c r="L23" i="43"/>
  <c r="E27" i="68"/>
  <c r="E28" i="68" s="1"/>
  <c r="E29" i="68" s="1"/>
  <c r="E30" i="68" s="1"/>
  <c r="E31" i="68" s="1"/>
  <c r="E32" i="68" s="1"/>
  <c r="E33" i="68" s="1"/>
  <c r="E34" i="68" s="1"/>
  <c r="E35" i="68" s="1"/>
  <c r="E36" i="68" s="1"/>
  <c r="I26" i="68"/>
  <c r="F26" i="88"/>
  <c r="G25" i="88"/>
  <c r="I25" i="88" s="1"/>
  <c r="J25" i="88" s="1"/>
  <c r="K25" i="88"/>
  <c r="G22" i="87"/>
  <c r="I22" i="87" s="1"/>
  <c r="J22" i="87" s="1"/>
  <c r="K22" i="87"/>
  <c r="F28" i="92"/>
  <c r="F23" i="87"/>
  <c r="F27" i="90"/>
  <c r="G26" i="90"/>
  <c r="I26" i="90" s="1"/>
  <c r="J26" i="90" s="1"/>
  <c r="K26" i="90"/>
  <c r="K22" i="84"/>
  <c r="K21" i="83"/>
  <c r="I28" i="86"/>
  <c r="L28" i="86" s="1"/>
  <c r="M28" i="86"/>
  <c r="L23" i="84"/>
  <c r="G23" i="84"/>
  <c r="J23" i="84" s="1"/>
  <c r="L22" i="83"/>
  <c r="G22" i="83"/>
  <c r="J22" i="83" s="1"/>
  <c r="AD10" i="47"/>
  <c r="C60" i="6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7" i="91" l="1"/>
  <c r="K26" i="91"/>
  <c r="G26" i="91"/>
  <c r="I26" i="91" s="1"/>
  <c r="J26" i="91" s="1"/>
  <c r="F28" i="90"/>
  <c r="K27" i="90"/>
  <c r="G27" i="90"/>
  <c r="I27" i="90" s="1"/>
  <c r="J27" i="90" s="1"/>
  <c r="F29" i="92"/>
  <c r="F24" i="87"/>
  <c r="G23" i="87"/>
  <c r="I23" i="87" s="1"/>
  <c r="J23" i="87" s="1"/>
  <c r="K23" i="87"/>
  <c r="F27" i="88"/>
  <c r="G26" i="88"/>
  <c r="I26" i="88" s="1"/>
  <c r="J26" i="88" s="1"/>
  <c r="K26" i="88"/>
  <c r="K23" i="84"/>
  <c r="K22" i="83"/>
  <c r="M29" i="86"/>
  <c r="I29" i="86"/>
  <c r="L29" i="86" s="1"/>
  <c r="L23" i="83"/>
  <c r="G23" i="83"/>
  <c r="J23" i="83" s="1"/>
  <c r="L24" i="84"/>
  <c r="G24" i="84"/>
  <c r="J24" i="84" s="1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91" l="1"/>
  <c r="K27" i="91"/>
  <c r="G27" i="91"/>
  <c r="I27" i="91" s="1"/>
  <c r="J27" i="91" s="1"/>
  <c r="F28" i="88"/>
  <c r="G27" i="88"/>
  <c r="I27" i="88" s="1"/>
  <c r="J27" i="88" s="1"/>
  <c r="K27" i="88"/>
  <c r="F30" i="92"/>
  <c r="F25" i="87"/>
  <c r="G24" i="87"/>
  <c r="I24" i="87" s="1"/>
  <c r="J24" i="87" s="1"/>
  <c r="K24" i="87"/>
  <c r="F29" i="90"/>
  <c r="G28" i="90"/>
  <c r="I28" i="90" s="1"/>
  <c r="J28" i="90" s="1"/>
  <c r="K28" i="90"/>
  <c r="K24" i="84"/>
  <c r="K23" i="83"/>
  <c r="M30" i="86"/>
  <c r="I30" i="86"/>
  <c r="L30" i="86" s="1"/>
  <c r="L25" i="84"/>
  <c r="G25" i="84"/>
  <c r="J25" i="84" s="1"/>
  <c r="G24" i="83"/>
  <c r="J24" i="83" s="1"/>
  <c r="L24" i="83"/>
  <c r="F29" i="91" l="1"/>
  <c r="K28" i="91"/>
  <c r="G28" i="91"/>
  <c r="I28" i="91" s="1"/>
  <c r="J28" i="91" s="1"/>
  <c r="F30" i="90"/>
  <c r="G29" i="90"/>
  <c r="I29" i="90" s="1"/>
  <c r="J29" i="90" s="1"/>
  <c r="K29" i="90"/>
  <c r="F31" i="92"/>
  <c r="F26" i="87"/>
  <c r="G25" i="87"/>
  <c r="I25" i="87" s="1"/>
  <c r="J25" i="87" s="1"/>
  <c r="K25" i="87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F30" i="91" l="1"/>
  <c r="G29" i="91"/>
  <c r="I29" i="91" s="1"/>
  <c r="J29" i="91" s="1"/>
  <c r="K29" i="91"/>
  <c r="F30" i="88"/>
  <c r="G29" i="88"/>
  <c r="I29" i="88" s="1"/>
  <c r="J29" i="88" s="1"/>
  <c r="K29" i="88"/>
  <c r="F32" i="92"/>
  <c r="F27" i="87"/>
  <c r="K26" i="87"/>
  <c r="G26" i="87"/>
  <c r="I26" i="87" s="1"/>
  <c r="J26" i="87" s="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1" i="91" l="1"/>
  <c r="G30" i="91"/>
  <c r="I30" i="91" s="1"/>
  <c r="J30" i="91" s="1"/>
  <c r="K30" i="91"/>
  <c r="F32" i="90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91" l="1"/>
  <c r="G31" i="91"/>
  <c r="I31" i="91" s="1"/>
  <c r="J31" i="91" s="1"/>
  <c r="K31" i="91"/>
  <c r="F32" i="88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G32" i="91" l="1"/>
  <c r="I32" i="91" s="1"/>
  <c r="J32" i="91" s="1"/>
  <c r="K32" i="91"/>
  <c r="F33" i="91"/>
  <c r="F34" i="90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91" l="1"/>
  <c r="K33" i="91"/>
  <c r="G33" i="91"/>
  <c r="I33" i="91" s="1"/>
  <c r="J33" i="91" s="1"/>
  <c r="F34" i="88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5" i="91" l="1"/>
  <c r="K34" i="91"/>
  <c r="G34" i="91"/>
  <c r="I34" i="91" s="1"/>
  <c r="J34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K35" i="91" l="1"/>
  <c r="F36" i="91"/>
  <c r="G35" i="91"/>
  <c r="I35" i="91" s="1"/>
  <c r="J35" i="91" s="1"/>
  <c r="G37" i="92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K32" i="84"/>
  <c r="K31" i="83"/>
  <c r="L33" i="84"/>
  <c r="G33" i="84"/>
  <c r="J33" i="84" s="1"/>
  <c r="G32" i="83"/>
  <c r="J32" i="83" s="1"/>
  <c r="L32" i="83"/>
  <c r="F37" i="91" l="1"/>
  <c r="K36" i="91"/>
  <c r="G36" i="91"/>
  <c r="I36" i="91" s="1"/>
  <c r="J36" i="91" s="1"/>
  <c r="G37" i="90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G37" i="91" l="1"/>
  <c r="I37" i="91" s="1"/>
  <c r="J37" i="91" s="1"/>
  <c r="K37" i="91"/>
  <c r="F35" i="87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K25" i="68" l="1"/>
  <c r="L25" i="68" s="1"/>
  <c r="K26" i="68"/>
  <c r="L26" i="68" s="1"/>
  <c r="B17" i="68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X11" i="47" l="1"/>
  <c r="BC11" i="47"/>
  <c r="BH11" i="47"/>
  <c r="AS11" i="47"/>
  <c r="O11" i="47"/>
  <c r="J11" i="47"/>
  <c r="B12" i="47"/>
  <c r="O12" i="47" l="1"/>
  <c r="AX12" i="47"/>
  <c r="BC12" i="47"/>
  <c r="AS12" i="47"/>
  <c r="B13" i="47"/>
  <c r="E10" i="47"/>
  <c r="AX13" i="47" l="1"/>
  <c r="O13" i="47"/>
  <c r="AS13" i="47"/>
  <c r="BC13" i="47"/>
  <c r="B14" i="47"/>
  <c r="BC14" i="47" l="1"/>
  <c r="AS14" i="47"/>
  <c r="O14" i="47"/>
  <c r="AX14" i="47"/>
  <c r="B15" i="47"/>
  <c r="AS15" i="47" l="1"/>
  <c r="AX15" i="47"/>
  <c r="O15" i="47"/>
  <c r="B16" i="47"/>
  <c r="C10" i="25"/>
  <c r="O16" i="47" l="1"/>
  <c r="AX16" i="47"/>
  <c r="B17" i="47"/>
  <c r="AX17" i="47" l="1"/>
  <c r="O17" i="47"/>
  <c r="B18" i="47"/>
  <c r="AX18" i="47" l="1"/>
  <c r="B19" i="47"/>
  <c r="AI11" i="47"/>
  <c r="AS16" i="47" l="1"/>
  <c r="BC15" i="47"/>
  <c r="BC16" i="47"/>
  <c r="B20" i="47"/>
  <c r="AN11" i="47"/>
  <c r="AI12" i="47"/>
  <c r="Y11" i="47"/>
  <c r="D46" i="43"/>
  <c r="C49" i="43"/>
  <c r="C48" i="43"/>
  <c r="C47" i="43"/>
  <c r="C46" i="43"/>
  <c r="C45" i="43"/>
  <c r="AS17" i="47" l="1"/>
  <c r="B21" i="47"/>
  <c r="AN12" i="47"/>
  <c r="AI13" i="47"/>
  <c r="J12" i="47"/>
  <c r="D47" i="43"/>
  <c r="B3" i="43"/>
  <c r="C52" i="43" s="1"/>
  <c r="B9" i="43" s="1"/>
  <c r="BM18" i="47" l="1"/>
  <c r="B22" i="47"/>
  <c r="AN13" i="47"/>
  <c r="AI14" i="47"/>
  <c r="J13" i="47"/>
  <c r="AS18" i="47" l="1"/>
  <c r="B23" i="47"/>
  <c r="AN14" i="47"/>
  <c r="AI15" i="47"/>
  <c r="J14" i="47"/>
  <c r="B14" i="43"/>
  <c r="AS19" i="47" l="1"/>
  <c r="B24" i="47"/>
  <c r="AN15" i="47"/>
  <c r="AI16" i="47"/>
  <c r="J15" i="47"/>
  <c r="B15" i="43"/>
  <c r="AS20" i="47" l="1"/>
  <c r="BM19" i="47"/>
  <c r="AX19" i="47"/>
  <c r="B25" i="47"/>
  <c r="O18" i="47"/>
  <c r="AN16" i="47"/>
  <c r="AI17" i="47"/>
  <c r="J16" i="47"/>
  <c r="B16" i="43"/>
  <c r="BM20" i="47" l="1"/>
  <c r="AX20" i="47"/>
  <c r="B26" i="47"/>
  <c r="O19" i="47"/>
  <c r="AN17" i="47"/>
  <c r="J17" i="47"/>
  <c r="B17" i="43"/>
  <c r="BM21" i="47" l="1"/>
  <c r="AX21" i="47"/>
  <c r="B27" i="47"/>
  <c r="AN18" i="47"/>
  <c r="B18" i="43"/>
  <c r="AX22" i="47" l="1"/>
  <c r="BM22" i="47"/>
  <c r="B28" i="47"/>
  <c r="AN19" i="47"/>
  <c r="B19" i="43"/>
  <c r="BM23" i="47" l="1"/>
  <c r="AX23" i="47"/>
  <c r="AX24" i="47"/>
  <c r="B29" i="47"/>
  <c r="AS21" i="47"/>
  <c r="AN20" i="47"/>
  <c r="B20" i="43"/>
  <c r="BM24" i="47" l="1"/>
  <c r="B30" i="47"/>
  <c r="AS22" i="47"/>
  <c r="B21" i="43"/>
  <c r="BM25" i="47" l="1"/>
  <c r="B31" i="47"/>
  <c r="AS23" i="47"/>
  <c r="B22" i="43"/>
  <c r="BM26" i="47" l="1"/>
  <c r="B32" i="47"/>
  <c r="B23" i="43"/>
  <c r="BM27" i="47" l="1"/>
  <c r="AS24" i="47"/>
  <c r="B24" i="43"/>
  <c r="BM28" i="47" l="1"/>
  <c r="B25" i="43"/>
  <c r="BM29" i="47" l="1"/>
  <c r="B26" i="43"/>
  <c r="BM30" i="47" l="1"/>
  <c r="AN31" i="47"/>
  <c r="AD31" i="47"/>
  <c r="E11" i="47"/>
  <c r="B27" i="43"/>
  <c r="BM31" i="47" l="1"/>
  <c r="BM32" i="47"/>
  <c r="O20" i="47"/>
  <c r="AD32" i="47"/>
  <c r="AI18" i="47"/>
  <c r="AN32" i="47"/>
  <c r="AI31" i="47"/>
  <c r="AI32" i="47"/>
  <c r="BH31" i="47"/>
  <c r="BH32" i="47"/>
  <c r="AX31" i="47"/>
  <c r="AX32" i="47"/>
  <c r="AS31" i="47"/>
  <c r="AS32" i="47"/>
  <c r="BC31" i="47"/>
  <c r="BC32" i="47"/>
  <c r="BC17" i="47"/>
  <c r="BH12" i="47"/>
  <c r="AN21" i="47"/>
  <c r="AS25" i="47"/>
  <c r="AX25" i="47"/>
  <c r="AI19" i="47"/>
  <c r="Y12" i="47"/>
  <c r="J18" i="47"/>
  <c r="T11" i="47"/>
  <c r="AD11" i="47"/>
  <c r="B28" i="43"/>
  <c r="O21" i="47" l="1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O22" i="47" l="1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O23" i="47" l="1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O24" i="47" l="1"/>
  <c r="BC21" i="47"/>
  <c r="BH16" i="47"/>
  <c r="AN25" i="47"/>
  <c r="AX29" i="47"/>
  <c r="AS29" i="47"/>
  <c r="AI23" i="47"/>
  <c r="Y16" i="47"/>
  <c r="J22" i="47"/>
  <c r="T15" i="47"/>
  <c r="AD15" i="47"/>
  <c r="E16" i="47"/>
  <c r="O25" i="47" l="1"/>
  <c r="BH17" i="47"/>
  <c r="BC22" i="47"/>
  <c r="AN26" i="47"/>
  <c r="AS30" i="47"/>
  <c r="AX30" i="47"/>
  <c r="AI24" i="47"/>
  <c r="J23" i="47"/>
  <c r="Y17" i="47"/>
  <c r="AD16" i="47"/>
  <c r="T16" i="47"/>
  <c r="E17" i="47"/>
  <c r="O26" i="47" l="1"/>
  <c r="BC23" i="47"/>
  <c r="BH18" i="47"/>
  <c r="AN27" i="47"/>
  <c r="AI25" i="47"/>
  <c r="Y18" i="47"/>
  <c r="J24" i="47"/>
  <c r="T17" i="47"/>
  <c r="AD17" i="47"/>
  <c r="E18" i="47"/>
  <c r="O27" i="47" l="1"/>
  <c r="BH19" i="47"/>
  <c r="BC24" i="47"/>
  <c r="AN28" i="47"/>
  <c r="AI26" i="47"/>
  <c r="J25" i="47"/>
  <c r="Y19" i="47"/>
  <c r="AD18" i="47"/>
  <c r="T18" i="47"/>
  <c r="E19" i="47"/>
  <c r="O28" i="47" l="1"/>
  <c r="BC25" i="47"/>
  <c r="BH20" i="47"/>
  <c r="AN29" i="47"/>
  <c r="AI27" i="47"/>
  <c r="J26" i="47"/>
  <c r="Y20" i="47"/>
  <c r="T19" i="47"/>
  <c r="AD19" i="47"/>
  <c r="E20" i="47"/>
  <c r="O29" i="47" l="1"/>
  <c r="BH21" i="47"/>
  <c r="BC26" i="47"/>
  <c r="AN30" i="47"/>
  <c r="AI28" i="47"/>
  <c r="Y21" i="47"/>
  <c r="J27" i="47"/>
  <c r="T20" i="47"/>
  <c r="AD20" i="47"/>
  <c r="E21" i="47"/>
  <c r="O30" i="47" l="1"/>
  <c r="BC27" i="47"/>
  <c r="BH22" i="47"/>
  <c r="AI29" i="47"/>
  <c r="J28" i="47"/>
  <c r="Y22" i="47"/>
  <c r="T21" i="47"/>
  <c r="AD21" i="47"/>
  <c r="E22" i="47"/>
  <c r="O32" i="47" l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" i="31"/>
  <c r="I14" i="31"/>
  <c r="K9" i="31"/>
  <c r="I134" i="31" l="1"/>
  <c r="I145" i="31"/>
  <c r="I26" i="31"/>
  <c r="I15" i="31"/>
  <c r="I37" i="31"/>
  <c r="I157" i="31" l="1"/>
  <c r="I49" i="31"/>
  <c r="I146" i="31"/>
  <c r="I38" i="31"/>
  <c r="I135" i="31"/>
  <c r="I27" i="31"/>
  <c r="I16" i="31"/>
  <c r="I147" i="31" l="1"/>
  <c r="I39" i="31"/>
  <c r="I169" i="31"/>
  <c r="I61" i="31"/>
  <c r="I136" i="31"/>
  <c r="I17" i="31"/>
  <c r="I28" i="31"/>
  <c r="I158" i="31"/>
  <c r="I50" i="31"/>
  <c r="I170" i="31" l="1"/>
  <c r="I62" i="31"/>
  <c r="I148" i="31"/>
  <c r="I40" i="31"/>
  <c r="I159" i="31"/>
  <c r="I51" i="31"/>
  <c r="I137" i="31"/>
  <c r="I29" i="31"/>
  <c r="I18" i="31"/>
  <c r="I181" i="31"/>
  <c r="I73" i="31"/>
  <c r="I193" i="31" l="1"/>
  <c r="I138" i="31"/>
  <c r="I19" i="31"/>
  <c r="I30" i="31"/>
  <c r="I182" i="31"/>
  <c r="I74" i="31"/>
  <c r="I85" i="31"/>
  <c r="I149" i="3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42" i="31"/>
  <c r="I183" i="31"/>
  <c r="I75" i="31"/>
  <c r="I86" i="31"/>
  <c r="I139" i="31"/>
  <c r="I31" i="31"/>
  <c r="I20" i="31"/>
  <c r="I206" i="31" l="1"/>
  <c r="I217" i="31"/>
  <c r="I195" i="31"/>
  <c r="I151" i="31"/>
  <c r="I43" i="31"/>
  <c r="I87" i="31"/>
  <c r="I162" i="31"/>
  <c r="I54" i="31"/>
  <c r="I109" i="31"/>
  <c r="I184" i="31"/>
  <c r="I76" i="31"/>
  <c r="I140" i="31"/>
  <c r="I21" i="31"/>
  <c r="I32" i="31"/>
  <c r="I98" i="31"/>
  <c r="I173" i="31"/>
  <c r="I65" i="31"/>
  <c r="I229" i="31" l="1"/>
  <c r="I218" i="31"/>
  <c r="I196" i="31"/>
  <c r="I207" i="31"/>
  <c r="I152" i="31"/>
  <c r="I44" i="31"/>
  <c r="I174" i="31"/>
  <c r="I66" i="31"/>
  <c r="I185" i="31"/>
  <c r="I77" i="31"/>
  <c r="I110" i="31"/>
  <c r="I141" i="31"/>
  <c r="I33" i="31"/>
  <c r="I22" i="31"/>
  <c r="I88" i="31"/>
  <c r="I121" i="31"/>
  <c r="I99" i="31"/>
  <c r="I163" i="31"/>
  <c r="I55" i="31"/>
  <c r="I208" i="31" l="1"/>
  <c r="I230" i="31"/>
  <c r="I197" i="31"/>
  <c r="I219" i="31"/>
  <c r="I175" i="31"/>
  <c r="I67" i="31"/>
  <c r="I100" i="31"/>
  <c r="I153" i="31"/>
  <c r="I45" i="31"/>
  <c r="I122" i="31"/>
  <c r="I164" i="31"/>
  <c r="I56" i="31"/>
  <c r="I111" i="31"/>
  <c r="I142" i="31"/>
  <c r="I23" i="31"/>
  <c r="I34" i="31"/>
  <c r="I89" i="31"/>
  <c r="I186" i="31"/>
  <c r="I78" i="31"/>
  <c r="I209" i="31" l="1"/>
  <c r="I231" i="31"/>
  <c r="I220" i="31"/>
  <c r="I198" i="31"/>
  <c r="I90" i="31"/>
  <c r="I143" i="31"/>
  <c r="I35" i="31"/>
  <c r="I24" i="31"/>
  <c r="I123" i="31"/>
  <c r="I187" i="31"/>
  <c r="I79" i="31"/>
  <c r="I101" i="31"/>
  <c r="I154" i="31"/>
  <c r="I46" i="31"/>
  <c r="I176" i="31"/>
  <c r="I68" i="31"/>
  <c r="I165" i="31"/>
  <c r="I57" i="31"/>
  <c r="I112" i="31"/>
  <c r="I210" i="31" l="1"/>
  <c r="I221" i="31"/>
  <c r="I232" i="31"/>
  <c r="I199" i="31"/>
  <c r="I177" i="31"/>
  <c r="I69" i="31"/>
  <c r="I188" i="31"/>
  <c r="I80" i="31"/>
  <c r="I113" i="31"/>
  <c r="I91" i="31"/>
  <c r="I155" i="31"/>
  <c r="I47" i="31"/>
  <c r="I124" i="31"/>
  <c r="I166" i="31"/>
  <c r="I58" i="31"/>
  <c r="I144" i="31"/>
  <c r="I36" i="31"/>
  <c r="I102" i="31"/>
  <c r="I233" i="31" l="1"/>
  <c r="I200" i="31"/>
  <c r="I222" i="31"/>
  <c r="I211" i="31"/>
  <c r="I114" i="31"/>
  <c r="I103" i="31"/>
  <c r="I189" i="31"/>
  <c r="I81" i="31"/>
  <c r="I156" i="31"/>
  <c r="I48" i="31"/>
  <c r="I178" i="31"/>
  <c r="I70" i="31"/>
  <c r="I167" i="31"/>
  <c r="I59" i="31"/>
  <c r="I125" i="31"/>
  <c r="I92" i="31"/>
  <c r="I223" i="31" l="1"/>
  <c r="I234" i="31"/>
  <c r="I201" i="31"/>
  <c r="I212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117" i="31"/>
  <c r="I95" i="31"/>
  <c r="I128" i="31"/>
  <c r="I192" i="31"/>
  <c r="I84" i="31"/>
  <c r="I106" i="31"/>
  <c r="I204" i="31" l="1"/>
  <c r="I237" i="31"/>
  <c r="I226" i="31"/>
  <c r="I215" i="31"/>
  <c r="I118" i="31"/>
  <c r="I107" i="31"/>
  <c r="I96" i="31"/>
  <c r="I129" i="31"/>
  <c r="I227" i="31" l="1"/>
  <c r="I238" i="31"/>
  <c r="I216" i="31"/>
  <c r="I119" i="31"/>
  <c r="I108" i="31"/>
  <c r="I130" i="31"/>
  <c r="I228" i="31" l="1"/>
  <c r="I239" i="31"/>
  <c r="I131" i="31"/>
  <c r="I120" i="31"/>
  <c r="I240" i="31" l="1"/>
  <c r="I132" i="3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O29" i="25"/>
  <c r="DA28" i="25"/>
  <c r="DB28" i="25" s="1"/>
  <c r="B31" i="31"/>
  <c r="J30" i="31"/>
  <c r="BM29" i="25" l="1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B31" i="25"/>
  <c r="BM30" i="25" l="1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O31" i="25"/>
  <c r="B32" i="25"/>
  <c r="DA30" i="25"/>
  <c r="DB30" i="25" s="1"/>
  <c r="J32" i="31"/>
  <c r="B33" i="31"/>
  <c r="AN31" i="25" l="1"/>
  <c r="AL31" i="25"/>
  <c r="AQ31" i="25"/>
  <c r="AM31" i="25"/>
  <c r="BM31" i="25"/>
  <c r="BV31" i="25"/>
  <c r="BQ31" i="25"/>
  <c r="BL31" i="25"/>
  <c r="BX31" i="25"/>
  <c r="BI31" i="25"/>
  <c r="BS31" i="25"/>
  <c r="BR31" i="25"/>
  <c r="BP31" i="25"/>
  <c r="BJ31" i="25"/>
  <c r="BH31" i="25"/>
  <c r="BW31" i="25"/>
  <c r="BN31" i="25"/>
  <c r="DA31" i="25"/>
  <c r="DB31" i="25" s="1"/>
  <c r="BG31" i="25"/>
  <c r="B33" i="25"/>
  <c r="O32" i="25"/>
  <c r="B34" i="31"/>
  <c r="J33" i="31"/>
  <c r="BB32" i="25" l="1"/>
  <c r="AZ32" i="25"/>
  <c r="BA32" i="25"/>
  <c r="BM32" i="25"/>
  <c r="BV32" i="25"/>
  <c r="BQ32" i="25"/>
  <c r="BL32" i="25"/>
  <c r="BX32" i="25"/>
  <c r="BS32" i="25"/>
  <c r="BI32" i="25"/>
  <c r="BR32" i="25"/>
  <c r="BP32" i="25"/>
  <c r="BJ32" i="25"/>
  <c r="BH32" i="25"/>
  <c r="BW32" i="25"/>
  <c r="BN32" i="25"/>
  <c r="DA32" i="25"/>
  <c r="DB32" i="25" s="1"/>
  <c r="BG32" i="25"/>
  <c r="B34" i="25"/>
  <c r="O33" i="25"/>
  <c r="B35" i="31"/>
  <c r="J34" i="31"/>
  <c r="BA33" i="25" l="1"/>
  <c r="BB33" i="25"/>
  <c r="AZ33" i="25"/>
  <c r="BM33" i="25"/>
  <c r="BV33" i="25"/>
  <c r="BQ33" i="25"/>
  <c r="BL33" i="25"/>
  <c r="BX33" i="25"/>
  <c r="BS33" i="25"/>
  <c r="BI33" i="25"/>
  <c r="BR33" i="25"/>
  <c r="BP33" i="25"/>
  <c r="BJ33" i="25"/>
  <c r="BH33" i="25"/>
  <c r="BW33" i="25"/>
  <c r="BN33" i="25"/>
  <c r="DA33" i="25"/>
  <c r="DB33" i="25" s="1"/>
  <c r="BG33" i="25"/>
  <c r="O34" i="25"/>
  <c r="J35" i="31"/>
  <c r="B36" i="31"/>
  <c r="BA34" i="25" l="1"/>
  <c r="BB34" i="25"/>
  <c r="AZ34" i="25"/>
  <c r="BM34" i="25"/>
  <c r="BV34" i="25"/>
  <c r="BX34" i="25"/>
  <c r="BQ34" i="25"/>
  <c r="BL34" i="25"/>
  <c r="BI34" i="25"/>
  <c r="BS34" i="25"/>
  <c r="BR34" i="25"/>
  <c r="BP34" i="25"/>
  <c r="BJ34" i="25"/>
  <c r="BH34" i="25"/>
  <c r="BW34" i="25"/>
  <c r="BN34" i="25"/>
  <c r="BG34" i="25"/>
  <c r="DA34" i="25"/>
  <c r="DB34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CX13" i="25" l="1"/>
  <c r="CX14" i="25" l="1"/>
  <c r="CX15" i="25" l="1"/>
  <c r="CX16" i="25" l="1"/>
  <c r="CX17" i="25"/>
  <c r="CX19" i="25" l="1"/>
  <c r="CX18" i="25"/>
  <c r="CX20" i="25"/>
  <c r="CX21" i="25" l="1"/>
  <c r="CX22" i="25" l="1"/>
  <c r="CX23" i="25"/>
  <c r="CX27" i="25" l="1"/>
  <c r="CX25" i="25"/>
  <c r="CX24" i="25"/>
  <c r="CX26" i="25"/>
  <c r="CV28" i="25" l="1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CX29" i="25" l="1"/>
  <c r="CV29" i="25"/>
  <c r="CX28" i="25"/>
  <c r="CW29" i="25" l="1"/>
  <c r="CV30" i="25" l="1"/>
  <c r="CW30" i="25"/>
  <c r="CX30" i="25"/>
  <c r="L24" i="43" l="1"/>
  <c r="L25" i="43" l="1"/>
  <c r="G24" i="43"/>
  <c r="L26" i="43" l="1"/>
  <c r="G25" i="43"/>
  <c r="BK21" i="25" l="1"/>
  <c r="L27" i="43"/>
  <c r="G26" i="43"/>
  <c r="L28" i="43" l="1"/>
  <c r="BK22" i="25" s="1"/>
  <c r="G27" i="43"/>
  <c r="L29" i="43" l="1"/>
  <c r="BK23" i="25" s="1"/>
  <c r="G28" i="43"/>
  <c r="J28" i="43" s="1"/>
  <c r="L30" i="43" l="1"/>
  <c r="BK24" i="25" s="1"/>
  <c r="G29" i="43"/>
  <c r="J29" i="43" s="1"/>
  <c r="B21" i="77"/>
  <c r="K28" i="43"/>
  <c r="L31" i="43" l="1"/>
  <c r="BK25" i="25" s="1"/>
  <c r="G30" i="43"/>
  <c r="J30" i="43" s="1"/>
  <c r="B22" i="77"/>
  <c r="K29" i="43"/>
  <c r="L32" i="43" l="1"/>
  <c r="BK26" i="25" s="1"/>
  <c r="G31" i="43"/>
  <c r="J31" i="43" s="1"/>
  <c r="B23" i="77"/>
  <c r="K30" i="43"/>
  <c r="BK27" i="25" l="1"/>
  <c r="L33" i="43"/>
  <c r="G32" i="43"/>
  <c r="J32" i="43" s="1"/>
  <c r="B24" i="77"/>
  <c r="K31" i="43"/>
  <c r="G33" i="43" l="1"/>
  <c r="L34" i="43"/>
  <c r="BK28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L35" i="43"/>
  <c r="BK29" i="25" s="1"/>
  <c r="J34" i="43" l="1"/>
  <c r="K34" i="43" s="1"/>
  <c r="G35" i="43"/>
  <c r="L36" i="43"/>
  <c r="BK30" i="25" s="1"/>
  <c r="J35" i="43" l="1"/>
  <c r="K35" i="43" s="1"/>
  <c r="G36" i="43"/>
  <c r="L37" i="43"/>
  <c r="BK32" i="25" s="1"/>
  <c r="BK31" i="25" l="1"/>
  <c r="BK33" i="25"/>
  <c r="BK34" i="25"/>
  <c r="BK15" i="25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29" i="25" l="1"/>
  <c r="CE31" i="25"/>
  <c r="CE34" i="25"/>
  <c r="CE30" i="25"/>
  <c r="CE32" i="25"/>
  <c r="CE33" i="25"/>
  <c r="CE28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25" i="25"/>
  <c r="DC24" i="25"/>
  <c r="DC33" i="25"/>
  <c r="DC17" i="25"/>
  <c r="DC30" i="25"/>
  <c r="DC18" i="25"/>
  <c r="DC32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CL15" i="25" s="1"/>
  <c r="AR15" i="25"/>
  <c r="AR16" i="25"/>
  <c r="AN18" i="25"/>
  <c r="AQ18" i="25"/>
  <c r="AL18" i="25"/>
  <c r="AQ17" i="25"/>
  <c r="AN17" i="25"/>
  <c r="CJ16" i="25" l="1"/>
  <c r="AO14" i="25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31" i="25"/>
  <c r="CK15" i="25"/>
  <c r="CK14" i="25"/>
  <c r="CK25" i="25"/>
  <c r="CK33" i="25"/>
  <c r="CK13" i="25"/>
  <c r="CK34" i="25"/>
  <c r="CK32" i="25"/>
  <c r="CG31" i="25"/>
  <c r="CG33" i="25"/>
  <c r="CG29" i="25"/>
  <c r="CG30" i="25"/>
  <c r="CG34" i="25"/>
  <c r="CG32" i="25"/>
  <c r="CN27" i="25"/>
  <c r="CN26" i="25"/>
  <c r="CH27" i="25"/>
  <c r="CH33" i="25"/>
  <c r="CH25" i="25"/>
  <c r="CH28" i="25"/>
  <c r="CH32" i="25"/>
  <c r="CH24" i="25"/>
  <c r="CH31" i="25"/>
  <c r="CH29" i="25"/>
  <c r="CH23" i="25"/>
  <c r="CH16" i="25"/>
  <c r="CH19" i="25"/>
  <c r="CH13" i="25"/>
  <c r="CH17" i="25"/>
  <c r="CH34" i="25"/>
  <c r="CH26" i="25"/>
  <c r="CH14" i="25"/>
  <c r="CH30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N28" i="25"/>
  <c r="CM28" i="25" l="1"/>
  <c r="CM32" i="25"/>
  <c r="CM31" i="25"/>
  <c r="CM27" i="25"/>
  <c r="CI28" i="25"/>
  <c r="CI30" i="25"/>
  <c r="CI34" i="25"/>
  <c r="CI33" i="25"/>
  <c r="CI32" i="25"/>
  <c r="CI29" i="25"/>
  <c r="CI31" i="25"/>
  <c r="CL30" i="25"/>
  <c r="CL33" i="25"/>
  <c r="CL34" i="25"/>
  <c r="CL31" i="25"/>
  <c r="CL32" i="25"/>
  <c r="CL29" i="25"/>
  <c r="CL27" i="25"/>
  <c r="AW25" i="25"/>
  <c r="CO25" i="25" s="1"/>
  <c r="AX25" i="25"/>
  <c r="CL28" i="25"/>
  <c r="CM29" i="25"/>
  <c r="CM34" i="25"/>
  <c r="CN29" i="25"/>
  <c r="CN32" i="25"/>
  <c r="CN31" i="25"/>
  <c r="CN33" i="25"/>
  <c r="CN30" i="25"/>
  <c r="CN34" i="25"/>
  <c r="AZ26" i="25"/>
  <c r="BA26" i="25"/>
  <c r="AW26" i="25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CM33" i="25"/>
  <c r="CO28" i="25" l="1"/>
  <c r="CO26" i="25"/>
  <c r="CP26" i="25"/>
  <c r="CP27" i="25"/>
  <c r="CO32" i="25"/>
  <c r="CO33" i="25"/>
  <c r="CO29" i="25"/>
  <c r="AZ25" i="25"/>
  <c r="BA25" i="25"/>
  <c r="CF28" i="25"/>
  <c r="CF29" i="25"/>
  <c r="CF33" i="25"/>
  <c r="CF32" i="25"/>
  <c r="CF34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33" i="25"/>
  <c r="CP31" i="25"/>
  <c r="CP29" i="25"/>
  <c r="CP34" i="25"/>
  <c r="CP32" i="25"/>
  <c r="CP25" i="25"/>
  <c r="CP28" i="25"/>
  <c r="CO34" i="25"/>
  <c r="CR26" i="25" l="1"/>
  <c r="CQ33" i="25"/>
  <c r="CQ14" i="25"/>
  <c r="CQ22" i="25"/>
  <c r="CQ30" i="25"/>
  <c r="CQ29" i="25"/>
  <c r="CQ25" i="25"/>
  <c r="CQ32" i="25"/>
  <c r="CQ16" i="25"/>
  <c r="CQ17" i="25"/>
  <c r="CQ34" i="25"/>
  <c r="CQ15" i="25"/>
  <c r="CQ26" i="25"/>
  <c r="CQ27" i="25"/>
  <c r="CQ20" i="25"/>
  <c r="CQ28" i="25"/>
  <c r="CQ24" i="25"/>
  <c r="CQ31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CU19" i="25" l="1"/>
  <c r="CY19" i="25" s="1"/>
  <c r="C19" i="25" s="1"/>
  <c r="CU17" i="25"/>
  <c r="CY17" i="25" s="1"/>
  <c r="C17" i="25" s="1"/>
  <c r="CU14" i="25"/>
  <c r="CY14" i="25" s="1"/>
  <c r="C14" i="25" s="1"/>
  <c r="CU15" i="25"/>
  <c r="CY15" i="25" s="1"/>
  <c r="C15" i="25" s="1"/>
  <c r="CU13" i="25"/>
  <c r="CY13" i="25" s="1"/>
  <c r="C13" i="25" s="1"/>
  <c r="CU16" i="25"/>
  <c r="CY16" i="25" s="1"/>
  <c r="C16" i="25" s="1"/>
  <c r="CU18" i="25"/>
  <c r="CY18" i="25" s="1"/>
  <c r="C18" i="25" s="1"/>
  <c r="CU20" i="25" l="1"/>
  <c r="CY20" i="25" s="1"/>
  <c r="C20" i="25" s="1"/>
  <c r="CU21" i="25" l="1"/>
  <c r="CY21" i="25" s="1"/>
  <c r="C21" i="25" s="1"/>
  <c r="CU22" i="25" l="1"/>
  <c r="CY22" i="25" s="1"/>
  <c r="C22" i="25" s="1"/>
  <c r="CU23" i="25" l="1"/>
  <c r="CY23" i="25" s="1"/>
  <c r="C23" i="25" s="1"/>
  <c r="CU24" i="25"/>
  <c r="CY24" i="25" s="1"/>
  <c r="C24" i="25" s="1"/>
  <c r="CU26" i="25" l="1"/>
  <c r="CY26" i="25" s="1"/>
  <c r="C26" i="25" s="1"/>
  <c r="CU25" i="25"/>
  <c r="CY25" i="25" s="1"/>
  <c r="C25" i="25" s="1"/>
  <c r="CU27" i="25" l="1"/>
  <c r="CY27" i="25" s="1"/>
  <c r="C27" i="25" s="1"/>
  <c r="CU29" i="25" l="1"/>
  <c r="CU28" i="25"/>
  <c r="CU32" i="25" l="1"/>
  <c r="CU31" i="25"/>
  <c r="CU30" i="25"/>
  <c r="CU33" i="25"/>
  <c r="CU34" i="25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O16" i="28" l="1"/>
  <c r="C9" i="28" l="1"/>
  <c r="C30" i="28" l="1"/>
  <c r="C26" i="28"/>
  <c r="C31" i="28"/>
  <c r="C21" i="28"/>
  <c r="C27" i="28"/>
  <c r="C18" i="28"/>
  <c r="C33" i="28"/>
  <c r="C29" i="28"/>
  <c r="C25" i="28"/>
  <c r="C38" i="28"/>
  <c r="C32" i="28"/>
  <c r="C34" i="28"/>
  <c r="C37" i="28"/>
  <c r="C19" i="28"/>
  <c r="C23" i="28"/>
  <c r="C28" i="28"/>
  <c r="C17" i="28"/>
  <c r="C35" i="28"/>
  <c r="C20" i="28"/>
  <c r="C36" i="28"/>
  <c r="C24" i="28"/>
  <c r="C22" i="28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A72" i="25" l="1"/>
  <c r="CT29" i="25"/>
  <c r="CT28" i="25"/>
  <c r="CY28" i="25" s="1"/>
  <c r="C28" i="25" s="1"/>
  <c r="CS29" i="25"/>
  <c r="CS30" i="25"/>
  <c r="CR30" i="25"/>
  <c r="CY29" i="25" l="1"/>
  <c r="C29" i="25" s="1"/>
  <c r="AZ31" i="25"/>
  <c r="BA31" i="25"/>
  <c r="BB30" i="25" l="1"/>
  <c r="CT30" i="25" s="1"/>
  <c r="CY30" i="25" s="1"/>
  <c r="C30" i="25" s="1"/>
  <c r="CS34" i="25"/>
  <c r="CS33" i="25"/>
  <c r="CS32" i="25"/>
  <c r="CS31" i="25"/>
  <c r="CR31" i="25"/>
  <c r="CR32" i="25"/>
  <c r="CR34" i="25"/>
  <c r="CR33" i="25"/>
  <c r="BB31" i="25" l="1"/>
  <c r="CT31" i="25" s="1"/>
  <c r="CY31" i="25" s="1"/>
  <c r="C31" i="25" s="1"/>
  <c r="A74" i="25"/>
  <c r="CT32" i="25" l="1"/>
  <c r="CY32" i="25" s="1"/>
  <c r="C32" i="25" s="1"/>
  <c r="CT33" i="25"/>
  <c r="CY33" i="25" s="1"/>
  <c r="C33" i="25" s="1"/>
  <c r="CT34" i="25"/>
  <c r="CY34" i="25" s="1"/>
  <c r="C34" i="25" s="1"/>
  <c r="O38" i="31" l="1"/>
  <c r="N38" i="31"/>
  <c r="R38" i="31" l="1"/>
  <c r="M38" i="31" l="1"/>
  <c r="P38" i="31" l="1"/>
  <c r="Q38" i="31"/>
  <c r="G57" i="25" l="1"/>
  <c r="E57" i="25"/>
  <c r="G53" i="25"/>
  <c r="E53" i="25"/>
  <c r="K76" i="31" l="1"/>
  <c r="D76" i="31"/>
  <c r="D17" i="31"/>
  <c r="K17" i="31"/>
  <c r="K84" i="31"/>
  <c r="D84" i="31"/>
  <c r="D107" i="31"/>
  <c r="K107" i="31"/>
  <c r="D24" i="31"/>
  <c r="K24" i="31"/>
  <c r="D19" i="31"/>
  <c r="K19" i="31"/>
  <c r="D14" i="31"/>
  <c r="K14" i="31"/>
  <c r="K27" i="31"/>
  <c r="D27" i="31"/>
  <c r="K47" i="31"/>
  <c r="D47" i="31"/>
  <c r="D126" i="31"/>
  <c r="K126" i="31"/>
  <c r="D118" i="31"/>
  <c r="K118" i="31"/>
  <c r="O25" i="31"/>
  <c r="K121" i="31"/>
  <c r="D121" i="31"/>
  <c r="K130" i="31"/>
  <c r="D130" i="31"/>
  <c r="D58" i="31"/>
  <c r="K58" i="31"/>
  <c r="D50" i="31"/>
  <c r="K50" i="31"/>
  <c r="K89" i="31"/>
  <c r="D89" i="31"/>
  <c r="D79" i="31"/>
  <c r="K79" i="31"/>
  <c r="D75" i="31"/>
  <c r="K75" i="31"/>
  <c r="D85" i="31"/>
  <c r="K85" i="31"/>
  <c r="O22" i="31"/>
  <c r="K42" i="31"/>
  <c r="D42" i="31"/>
  <c r="D99" i="31"/>
  <c r="K99" i="31"/>
  <c r="K15" i="31"/>
  <c r="D15" i="31"/>
  <c r="D68" i="31"/>
  <c r="K68" i="31"/>
  <c r="K92" i="31"/>
  <c r="D92" i="31"/>
  <c r="D62" i="31"/>
  <c r="K62" i="31"/>
  <c r="K125" i="31"/>
  <c r="D125" i="31"/>
  <c r="D21" i="31"/>
  <c r="K21" i="31"/>
  <c r="K116" i="31"/>
  <c r="D116" i="31"/>
  <c r="K31" i="31"/>
  <c r="D31" i="31"/>
  <c r="D18" i="31"/>
  <c r="K18" i="31"/>
  <c r="K55" i="31"/>
  <c r="D55" i="31"/>
  <c r="K127" i="31"/>
  <c r="D127" i="31"/>
  <c r="K39" i="31"/>
  <c r="D39" i="31"/>
  <c r="D32" i="31"/>
  <c r="K32" i="31"/>
  <c r="K22" i="31"/>
  <c r="D22" i="31"/>
  <c r="K80" i="31"/>
  <c r="D80" i="31"/>
  <c r="D90" i="31"/>
  <c r="K90" i="31"/>
  <c r="D33" i="31"/>
  <c r="K33" i="31"/>
  <c r="K93" i="31"/>
  <c r="D93" i="31"/>
  <c r="K104" i="31"/>
  <c r="D104" i="31"/>
  <c r="D112" i="31"/>
  <c r="K112" i="31"/>
  <c r="K20" i="31"/>
  <c r="D20" i="31"/>
  <c r="D53" i="31"/>
  <c r="K53" i="31"/>
  <c r="K49" i="31"/>
  <c r="D49" i="31"/>
  <c r="O19" i="31"/>
  <c r="D109" i="31"/>
  <c r="K109" i="31"/>
  <c r="O24" i="31"/>
  <c r="D105" i="31"/>
  <c r="K105" i="31"/>
  <c r="K98" i="31"/>
  <c r="D98" i="31"/>
  <c r="D86" i="31"/>
  <c r="K86" i="31"/>
  <c r="K26" i="31"/>
  <c r="D26" i="31"/>
  <c r="D91" i="31"/>
  <c r="K91" i="31"/>
  <c r="D34" i="31"/>
  <c r="K34" i="31"/>
  <c r="D63" i="31"/>
  <c r="K63" i="31"/>
  <c r="O21" i="31"/>
  <c r="D73" i="31"/>
  <c r="K73" i="31"/>
  <c r="K67" i="31"/>
  <c r="D67" i="31"/>
  <c r="K108" i="31"/>
  <c r="D108" i="31"/>
  <c r="D81" i="31"/>
  <c r="K81" i="31"/>
  <c r="D115" i="31"/>
  <c r="K115" i="31"/>
  <c r="D83" i="31"/>
  <c r="K83" i="31"/>
  <c r="K113" i="31"/>
  <c r="D113" i="31"/>
  <c r="D101" i="31"/>
  <c r="K101" i="31"/>
  <c r="K117" i="31"/>
  <c r="D117" i="31"/>
  <c r="K64" i="31"/>
  <c r="D64" i="31"/>
  <c r="K114" i="31"/>
  <c r="D114" i="31"/>
  <c r="D43" i="31"/>
  <c r="K43" i="31"/>
  <c r="D23" i="31"/>
  <c r="K23" i="31"/>
  <c r="K100" i="31"/>
  <c r="D100" i="31"/>
  <c r="O23" i="31"/>
  <c r="D97" i="31"/>
  <c r="K97" i="31"/>
  <c r="D29" i="31"/>
  <c r="K29" i="31"/>
  <c r="D52" i="31"/>
  <c r="K52" i="31"/>
  <c r="K128" i="31"/>
  <c r="D128" i="31"/>
  <c r="D129" i="31"/>
  <c r="K129" i="31"/>
  <c r="D94" i="31"/>
  <c r="K94" i="31"/>
  <c r="D82" i="31"/>
  <c r="K82" i="31"/>
  <c r="K95" i="31"/>
  <c r="D95" i="31"/>
  <c r="K57" i="31"/>
  <c r="D57" i="31"/>
  <c r="D72" i="31"/>
  <c r="K72" i="31"/>
  <c r="D25" i="31"/>
  <c r="D12" i="31"/>
  <c r="G12" i="31" s="1"/>
  <c r="O17" i="31"/>
  <c r="K25" i="31"/>
  <c r="D28" i="31"/>
  <c r="K28" i="31"/>
  <c r="D87" i="31"/>
  <c r="K87" i="31"/>
  <c r="D132" i="31"/>
  <c r="K132" i="31"/>
  <c r="K30" i="31"/>
  <c r="D30" i="31"/>
  <c r="K65" i="31"/>
  <c r="D65" i="31"/>
  <c r="K119" i="31"/>
  <c r="D119" i="31"/>
  <c r="D59" i="31"/>
  <c r="K59" i="31"/>
  <c r="K46" i="31"/>
  <c r="D46" i="31"/>
  <c r="D77" i="31"/>
  <c r="K77" i="31"/>
  <c r="K102" i="31"/>
  <c r="D102" i="31"/>
  <c r="K120" i="31"/>
  <c r="D120" i="31"/>
  <c r="D16" i="31"/>
  <c r="K16" i="31"/>
  <c r="K96" i="31"/>
  <c r="D96" i="31"/>
  <c r="D88" i="31"/>
  <c r="K88" i="31"/>
  <c r="D56" i="31"/>
  <c r="K56" i="31"/>
  <c r="D44" i="31"/>
  <c r="K44" i="31"/>
  <c r="K106" i="31"/>
  <c r="D106" i="31"/>
  <c r="K70" i="31"/>
  <c r="D70" i="31"/>
  <c r="K41" i="31"/>
  <c r="D41" i="31"/>
  <c r="K103" i="31"/>
  <c r="D103" i="31"/>
  <c r="D122" i="31"/>
  <c r="K122" i="31"/>
  <c r="D71" i="31"/>
  <c r="K71" i="31"/>
  <c r="D111" i="31"/>
  <c r="K111" i="31"/>
  <c r="K54" i="31"/>
  <c r="D54" i="31"/>
  <c r="K38" i="31"/>
  <c r="D38" i="31"/>
  <c r="K48" i="31"/>
  <c r="D48" i="31"/>
  <c r="D124" i="31"/>
  <c r="K124" i="31"/>
  <c r="D45" i="31"/>
  <c r="K45" i="31"/>
  <c r="K13" i="31"/>
  <c r="D13" i="31"/>
  <c r="O16" i="31"/>
  <c r="K35" i="31"/>
  <c r="D35" i="31"/>
  <c r="K110" i="31"/>
  <c r="D110" i="31"/>
  <c r="K131" i="31"/>
  <c r="D131" i="31"/>
  <c r="O20" i="31"/>
  <c r="D61" i="31"/>
  <c r="K61" i="31"/>
  <c r="K74" i="31"/>
  <c r="D74" i="31"/>
  <c r="K37" i="31"/>
  <c r="O18" i="31"/>
  <c r="D37" i="31"/>
  <c r="K36" i="31"/>
  <c r="D36" i="31"/>
  <c r="D78" i="31"/>
  <c r="K78" i="31"/>
  <c r="D40" i="31"/>
  <c r="K40" i="31"/>
  <c r="K69" i="31"/>
  <c r="D69" i="31"/>
  <c r="D60" i="31"/>
  <c r="K60" i="31"/>
  <c r="K51" i="31"/>
  <c r="D51" i="31"/>
  <c r="D66" i="31"/>
  <c r="K66" i="31"/>
  <c r="D123" i="31"/>
  <c r="K123" i="31"/>
  <c r="N18" i="31" l="1"/>
  <c r="N24" i="31"/>
  <c r="N19" i="31"/>
  <c r="N20" i="31"/>
  <c r="N17" i="31"/>
  <c r="N23" i="31"/>
  <c r="N25" i="31"/>
  <c r="N16" i="31"/>
  <c r="N21" i="31"/>
  <c r="N22" i="31"/>
  <c r="K4" i="31"/>
  <c r="K5" i="31"/>
  <c r="R22" i="31" l="1"/>
  <c r="R23" i="31"/>
  <c r="R24" i="31"/>
  <c r="R21" i="31"/>
  <c r="R17" i="31"/>
  <c r="R18" i="31"/>
  <c r="R16" i="31"/>
  <c r="R20" i="31"/>
  <c r="R25" i="31"/>
  <c r="R19" i="31"/>
  <c r="K6" i="31"/>
  <c r="B5" i="31" s="1"/>
  <c r="K3" i="25"/>
  <c r="M7" i="31"/>
  <c r="C57" i="25" l="1"/>
  <c r="G9" i="25"/>
  <c r="B5" i="25"/>
  <c r="C53" i="25"/>
  <c r="B4" i="31" l="1"/>
  <c r="B5" i="28"/>
  <c r="B5" i="66"/>
  <c r="E41" i="31" l="1"/>
  <c r="E32" i="31"/>
  <c r="E112" i="31"/>
  <c r="E86" i="31"/>
  <c r="E99" i="31"/>
  <c r="E93" i="31"/>
  <c r="E101" i="31"/>
  <c r="E98" i="31"/>
  <c r="E51" i="31"/>
  <c r="E27" i="31"/>
  <c r="E77" i="31"/>
  <c r="E63" i="31"/>
  <c r="E74" i="31"/>
  <c r="E50" i="31"/>
  <c r="E107" i="31"/>
  <c r="E103" i="31"/>
  <c r="E67" i="31"/>
  <c r="E104" i="31"/>
  <c r="E68" i="31"/>
  <c r="E82" i="31"/>
  <c r="E75" i="31"/>
  <c r="E30" i="31"/>
  <c r="E111" i="31"/>
  <c r="E58" i="31"/>
  <c r="E118" i="31"/>
  <c r="E91" i="31"/>
  <c r="E108" i="31"/>
  <c r="E52" i="31"/>
  <c r="E102" i="31"/>
  <c r="E71" i="31"/>
  <c r="E38" i="31"/>
  <c r="E24" i="31"/>
  <c r="E87" i="31"/>
  <c r="E66" i="31"/>
  <c r="E42" i="31"/>
  <c r="E78" i="31"/>
  <c r="E115" i="31"/>
  <c r="E64" i="31"/>
  <c r="E36" i="31"/>
  <c r="E79" i="31"/>
  <c r="E57" i="31"/>
  <c r="E114" i="31"/>
  <c r="E117" i="31"/>
  <c r="E29" i="31"/>
  <c r="E105" i="31"/>
  <c r="E53" i="31"/>
  <c r="E15" i="31"/>
  <c r="E43" i="31"/>
  <c r="E44" i="31"/>
  <c r="E46" i="31"/>
  <c r="E26" i="31"/>
  <c r="E19" i="31"/>
  <c r="E17" i="31"/>
  <c r="E81" i="31"/>
  <c r="E20" i="31"/>
  <c r="E47" i="31"/>
  <c r="E94" i="31"/>
  <c r="E39" i="31"/>
  <c r="E116" i="31"/>
  <c r="E31" i="31"/>
  <c r="E45" i="31"/>
  <c r="E89" i="31"/>
  <c r="E80" i="31"/>
  <c r="E56" i="31"/>
  <c r="E40" i="31"/>
  <c r="E106" i="31"/>
  <c r="E95" i="31"/>
  <c r="E69" i="31"/>
  <c r="E62" i="31"/>
  <c r="E76" i="31"/>
  <c r="E119" i="31"/>
  <c r="E28" i="31"/>
  <c r="E70" i="31"/>
  <c r="E59" i="31"/>
  <c r="E88" i="31"/>
  <c r="E113" i="31"/>
  <c r="E55" i="31"/>
  <c r="E33" i="31"/>
  <c r="E16" i="31"/>
  <c r="E100" i="31"/>
  <c r="E120" i="31"/>
  <c r="E54" i="31"/>
  <c r="E110" i="31"/>
  <c r="E34" i="31"/>
  <c r="E92" i="31"/>
  <c r="E14" i="31"/>
  <c r="E35" i="31"/>
  <c r="E83" i="31"/>
  <c r="E90" i="31"/>
  <c r="E65" i="31"/>
  <c r="G90" i="31" l="1"/>
  <c r="G69" i="31"/>
  <c r="G106" i="31"/>
  <c r="G45" i="31"/>
  <c r="G39" i="31"/>
  <c r="G20" i="31"/>
  <c r="G81" i="31"/>
  <c r="G26" i="31"/>
  <c r="G44" i="31"/>
  <c r="G29" i="31"/>
  <c r="G36" i="31"/>
  <c r="G78" i="31"/>
  <c r="G66" i="31"/>
  <c r="G102" i="31"/>
  <c r="G91" i="31"/>
  <c r="G111" i="31"/>
  <c r="G104" i="31"/>
  <c r="G107" i="31"/>
  <c r="G74" i="31"/>
  <c r="G63" i="31"/>
  <c r="G77" i="31"/>
  <c r="G86" i="31"/>
  <c r="G65" i="31"/>
  <c r="G83" i="31"/>
  <c r="G110" i="31"/>
  <c r="G54" i="31"/>
  <c r="G100" i="31"/>
  <c r="G70" i="31"/>
  <c r="G80" i="31"/>
  <c r="G53" i="31"/>
  <c r="G117" i="31"/>
  <c r="G57" i="31"/>
  <c r="G38" i="31"/>
  <c r="G108" i="31"/>
  <c r="G75" i="31"/>
  <c r="G67" i="31"/>
  <c r="G103" i="31"/>
  <c r="G51" i="31"/>
  <c r="G101" i="31"/>
  <c r="G93" i="31"/>
  <c r="G41" i="31"/>
  <c r="G14" i="31"/>
  <c r="G92" i="31"/>
  <c r="G33" i="31"/>
  <c r="G113" i="31"/>
  <c r="G56" i="31"/>
  <c r="G31" i="31"/>
  <c r="G116" i="31"/>
  <c r="G47" i="31"/>
  <c r="G46" i="31"/>
  <c r="G43" i="31"/>
  <c r="G15" i="31"/>
  <c r="G114" i="31"/>
  <c r="G24" i="31"/>
  <c r="G71" i="31"/>
  <c r="G52" i="31"/>
  <c r="G118" i="31"/>
  <c r="G30" i="31"/>
  <c r="G50" i="31"/>
  <c r="G27" i="31"/>
  <c r="G98" i="31"/>
  <c r="G35" i="31"/>
  <c r="G34" i="31"/>
  <c r="G120" i="31"/>
  <c r="G16" i="31"/>
  <c r="G55" i="31"/>
  <c r="G88" i="31"/>
  <c r="G59" i="31"/>
  <c r="G28" i="31"/>
  <c r="G119" i="31"/>
  <c r="G76" i="31"/>
  <c r="G62" i="31"/>
  <c r="G95" i="31"/>
  <c r="G40" i="31"/>
  <c r="G89" i="31"/>
  <c r="G94" i="31"/>
  <c r="G17" i="31"/>
  <c r="G19" i="31"/>
  <c r="G105" i="31"/>
  <c r="G79" i="31"/>
  <c r="G64" i="31"/>
  <c r="G115" i="31"/>
  <c r="G42" i="31"/>
  <c r="G87" i="31"/>
  <c r="G58" i="31"/>
  <c r="G82" i="31"/>
  <c r="G68" i="31"/>
  <c r="G99" i="31"/>
  <c r="G112" i="31"/>
  <c r="G32" i="31"/>
  <c r="E60" i="31"/>
  <c r="E48" i="31"/>
  <c r="E96" i="31"/>
  <c r="E84" i="31"/>
  <c r="E72" i="31"/>
  <c r="E21" i="31"/>
  <c r="E23" i="31"/>
  <c r="E22" i="31"/>
  <c r="E18" i="31"/>
  <c r="E132" i="31"/>
  <c r="E123" i="31"/>
  <c r="E129" i="31"/>
  <c r="E128" i="31"/>
  <c r="E122" i="31"/>
  <c r="E131" i="31"/>
  <c r="E125" i="31"/>
  <c r="E130" i="31"/>
  <c r="E126" i="31"/>
  <c r="E127" i="31"/>
  <c r="E124" i="31"/>
  <c r="G124" i="31" l="1"/>
  <c r="G132" i="31"/>
  <c r="G60" i="31"/>
  <c r="G125" i="31"/>
  <c r="G127" i="31"/>
  <c r="G126" i="31"/>
  <c r="G123" i="31"/>
  <c r="G21" i="31"/>
  <c r="G96" i="31"/>
  <c r="G128" i="31"/>
  <c r="G129" i="31"/>
  <c r="G22" i="31"/>
  <c r="G23" i="31"/>
  <c r="G72" i="31"/>
  <c r="G48" i="31"/>
  <c r="G131" i="31"/>
  <c r="G130" i="31"/>
  <c r="G122" i="31"/>
  <c r="G18" i="31"/>
  <c r="G84" i="31"/>
  <c r="E13" i="25"/>
  <c r="E19" i="25"/>
  <c r="E17" i="25"/>
  <c r="E13" i="31" l="1"/>
  <c r="M16" i="31"/>
  <c r="M22" i="31"/>
  <c r="E85" i="31"/>
  <c r="E61" i="31"/>
  <c r="M20" i="31"/>
  <c r="G17" i="25"/>
  <c r="E22" i="25"/>
  <c r="E18" i="25"/>
  <c r="E20" i="25"/>
  <c r="G13" i="25"/>
  <c r="E14" i="25"/>
  <c r="E16" i="25"/>
  <c r="E15" i="25"/>
  <c r="E21" i="25"/>
  <c r="G19" i="25"/>
  <c r="E9" i="96" l="1"/>
  <c r="K9" i="96" s="1"/>
  <c r="E13" i="96"/>
  <c r="K13" i="96" s="1"/>
  <c r="E15" i="96"/>
  <c r="K15" i="96" s="1"/>
  <c r="M21" i="31"/>
  <c r="E73" i="31"/>
  <c r="M23" i="31"/>
  <c r="E97" i="31"/>
  <c r="G85" i="31"/>
  <c r="E37" i="31"/>
  <c r="M18" i="31"/>
  <c r="Q22" i="31"/>
  <c r="P22" i="31"/>
  <c r="E121" i="31"/>
  <c r="M25" i="31"/>
  <c r="E25" i="31"/>
  <c r="M17" i="31"/>
  <c r="M24" i="31"/>
  <c r="E109" i="31"/>
  <c r="P20" i="31"/>
  <c r="Q20" i="31"/>
  <c r="Q16" i="31"/>
  <c r="P16" i="31"/>
  <c r="M19" i="31"/>
  <c r="E49" i="31"/>
  <c r="G61" i="31"/>
  <c r="G13" i="31"/>
  <c r="G20" i="25"/>
  <c r="G18" i="25"/>
  <c r="G15" i="25"/>
  <c r="G22" i="25"/>
  <c r="G16" i="25"/>
  <c r="G14" i="25"/>
  <c r="G21" i="25"/>
  <c r="E16" i="96" l="1"/>
  <c r="K16" i="96" s="1"/>
  <c r="E10" i="96"/>
  <c r="K10" i="96" s="1"/>
  <c r="E12" i="96"/>
  <c r="K12" i="96" s="1"/>
  <c r="E14" i="96"/>
  <c r="K14" i="96" s="1"/>
  <c r="E17" i="96"/>
  <c r="K17" i="96" s="1"/>
  <c r="E11" i="96"/>
  <c r="K11" i="96" s="1"/>
  <c r="E18" i="96"/>
  <c r="K18" i="96" s="1"/>
  <c r="Q18" i="31"/>
  <c r="P18" i="31"/>
  <c r="P24" i="31"/>
  <c r="Q24" i="31"/>
  <c r="G121" i="31"/>
  <c r="G37" i="31"/>
  <c r="G73" i="31"/>
  <c r="G109" i="31"/>
  <c r="Q23" i="31"/>
  <c r="P23" i="31"/>
  <c r="G49" i="31"/>
  <c r="Q17" i="31"/>
  <c r="P17" i="31"/>
  <c r="Q21" i="31"/>
  <c r="P21" i="31"/>
  <c r="P25" i="31"/>
  <c r="Q25" i="31"/>
  <c r="P19" i="31"/>
  <c r="Q19" i="31"/>
  <c r="G25" i="31"/>
  <c r="G97" i="31"/>
  <c r="F9" i="31"/>
  <c r="D196" i="31" l="1"/>
  <c r="K196" i="31"/>
  <c r="K141" i="31"/>
  <c r="D141" i="31"/>
  <c r="K236" i="31"/>
  <c r="D236" i="31"/>
  <c r="K151" i="31"/>
  <c r="D151" i="31"/>
  <c r="K204" i="31"/>
  <c r="D204" i="31"/>
  <c r="K138" i="31"/>
  <c r="D138" i="31"/>
  <c r="K227" i="31"/>
  <c r="D227" i="31"/>
  <c r="D144" i="31"/>
  <c r="K144" i="31"/>
  <c r="D139" i="31"/>
  <c r="K139" i="31"/>
  <c r="D134" i="31"/>
  <c r="K134" i="31"/>
  <c r="K147" i="31"/>
  <c r="D147" i="31"/>
  <c r="K167" i="31"/>
  <c r="D167" i="31"/>
  <c r="D238" i="31"/>
  <c r="K238" i="31"/>
  <c r="D178" i="31"/>
  <c r="K178" i="31"/>
  <c r="K170" i="31"/>
  <c r="D170" i="31"/>
  <c r="K209" i="31"/>
  <c r="D209" i="31"/>
  <c r="K199" i="31"/>
  <c r="D199" i="31"/>
  <c r="D195" i="31"/>
  <c r="K195" i="31"/>
  <c r="D205" i="31"/>
  <c r="K205" i="31"/>
  <c r="O32" i="31"/>
  <c r="D162" i="31"/>
  <c r="K162" i="31"/>
  <c r="D219" i="31"/>
  <c r="K219" i="31"/>
  <c r="D135" i="31"/>
  <c r="K135" i="31"/>
  <c r="K188" i="31"/>
  <c r="D188" i="31"/>
  <c r="K212" i="31"/>
  <c r="D212" i="31"/>
  <c r="D182" i="31"/>
  <c r="K182" i="31"/>
  <c r="K137" i="31"/>
  <c r="D137" i="31"/>
  <c r="K175" i="31"/>
  <c r="D175" i="31"/>
  <c r="D159" i="31"/>
  <c r="K159" i="31"/>
  <c r="K152" i="31"/>
  <c r="D152" i="31"/>
  <c r="D142" i="31"/>
  <c r="K142" i="31"/>
  <c r="K200" i="31"/>
  <c r="D200" i="31"/>
  <c r="K210" i="31"/>
  <c r="D210" i="31"/>
  <c r="D153" i="31"/>
  <c r="K153" i="31"/>
  <c r="D213" i="31"/>
  <c r="K213" i="31"/>
  <c r="D224" i="31"/>
  <c r="K224" i="31"/>
  <c r="D232" i="31"/>
  <c r="K232" i="31"/>
  <c r="K140" i="31"/>
  <c r="D140" i="31"/>
  <c r="K173" i="31"/>
  <c r="D173" i="31"/>
  <c r="K169" i="31"/>
  <c r="D169" i="31"/>
  <c r="O29" i="31"/>
  <c r="D229" i="31"/>
  <c r="O34" i="31"/>
  <c r="K229" i="31"/>
  <c r="K225" i="31"/>
  <c r="D225" i="31"/>
  <c r="D218" i="31"/>
  <c r="K218" i="31"/>
  <c r="K206" i="31"/>
  <c r="D206" i="31"/>
  <c r="K146" i="31"/>
  <c r="D146" i="31"/>
  <c r="K211" i="31"/>
  <c r="D211" i="31"/>
  <c r="D154" i="31"/>
  <c r="K154" i="31"/>
  <c r="K183" i="31"/>
  <c r="D183" i="31"/>
  <c r="O31" i="31"/>
  <c r="D193" i="31"/>
  <c r="K193" i="31"/>
  <c r="K187" i="31"/>
  <c r="D187" i="31"/>
  <c r="D228" i="31"/>
  <c r="K228" i="31"/>
  <c r="K201" i="31"/>
  <c r="D201" i="31"/>
  <c r="D235" i="31"/>
  <c r="K235" i="31"/>
  <c r="K203" i="31"/>
  <c r="D203" i="31"/>
  <c r="D233" i="31"/>
  <c r="K233" i="31"/>
  <c r="D221" i="31"/>
  <c r="K221" i="31"/>
  <c r="D237" i="31"/>
  <c r="K237" i="31"/>
  <c r="D184" i="31"/>
  <c r="K184" i="31"/>
  <c r="K234" i="31"/>
  <c r="D234" i="31"/>
  <c r="K163" i="31"/>
  <c r="D163" i="31"/>
  <c r="D143" i="31"/>
  <c r="K143" i="31"/>
  <c r="K166" i="31"/>
  <c r="D166" i="31"/>
  <c r="D197" i="31"/>
  <c r="K197" i="31"/>
  <c r="D222" i="31"/>
  <c r="K222" i="31"/>
  <c r="D172" i="31"/>
  <c r="K172" i="31"/>
  <c r="K214" i="31"/>
  <c r="D214" i="31"/>
  <c r="D202" i="31"/>
  <c r="K202" i="31"/>
  <c r="D215" i="31"/>
  <c r="K215" i="31"/>
  <c r="K177" i="31"/>
  <c r="D177" i="31"/>
  <c r="D192" i="31"/>
  <c r="K192" i="31"/>
  <c r="D145" i="31"/>
  <c r="K145" i="31"/>
  <c r="O27" i="31"/>
  <c r="D148" i="31"/>
  <c r="K148" i="31"/>
  <c r="K207" i="31"/>
  <c r="D207" i="31"/>
  <c r="K150" i="31"/>
  <c r="D150" i="31"/>
  <c r="D185" i="31"/>
  <c r="K185" i="31"/>
  <c r="D239" i="31"/>
  <c r="K239" i="31"/>
  <c r="D179" i="31"/>
  <c r="K179" i="31"/>
  <c r="D220" i="31"/>
  <c r="K220" i="31"/>
  <c r="O33" i="31"/>
  <c r="D217" i="31"/>
  <c r="K217" i="31"/>
  <c r="D149" i="31"/>
  <c r="K149" i="31"/>
  <c r="K240" i="31"/>
  <c r="D240" i="31"/>
  <c r="D136" i="31"/>
  <c r="K136" i="31"/>
  <c r="D216" i="31"/>
  <c r="K216" i="31"/>
  <c r="K208" i="31"/>
  <c r="D208" i="31"/>
  <c r="K176" i="31"/>
  <c r="D176" i="31"/>
  <c r="K164" i="31"/>
  <c r="D164" i="31"/>
  <c r="D226" i="31"/>
  <c r="K226" i="31"/>
  <c r="D190" i="31"/>
  <c r="K190" i="31"/>
  <c r="D161" i="31"/>
  <c r="K161" i="31"/>
  <c r="D223" i="31"/>
  <c r="K223" i="31"/>
  <c r="D191" i="31"/>
  <c r="K191" i="31"/>
  <c r="K231" i="31"/>
  <c r="D231" i="31"/>
  <c r="K174" i="31"/>
  <c r="D174" i="31"/>
  <c r="K158" i="31"/>
  <c r="D158" i="31"/>
  <c r="K168" i="31"/>
  <c r="D168" i="31"/>
  <c r="D165" i="31"/>
  <c r="K165" i="31"/>
  <c r="K133" i="31"/>
  <c r="D133" i="31"/>
  <c r="O26" i="31"/>
  <c r="D155" i="31"/>
  <c r="K155" i="31"/>
  <c r="K230" i="31"/>
  <c r="D230" i="31"/>
  <c r="O30" i="31"/>
  <c r="D181" i="31"/>
  <c r="K181" i="31"/>
  <c r="K194" i="31"/>
  <c r="D194" i="31"/>
  <c r="D157" i="31"/>
  <c r="K157" i="31"/>
  <c r="O28" i="31"/>
  <c r="K156" i="31"/>
  <c r="D156" i="31"/>
  <c r="D198" i="31"/>
  <c r="K198" i="31"/>
  <c r="K160" i="31"/>
  <c r="D160" i="31"/>
  <c r="D189" i="31"/>
  <c r="K189" i="31"/>
  <c r="K180" i="31"/>
  <c r="D180" i="31"/>
  <c r="D171" i="31"/>
  <c r="K171" i="31"/>
  <c r="D186" i="31"/>
  <c r="K186" i="31"/>
  <c r="D9" i="31"/>
  <c r="E31" i="25"/>
  <c r="E234" i="31" l="1"/>
  <c r="G234" i="31" s="1"/>
  <c r="E237" i="31"/>
  <c r="G237" i="31" s="1"/>
  <c r="E236" i="31"/>
  <c r="G236" i="31" s="1"/>
  <c r="E233" i="31"/>
  <c r="G233" i="31" s="1"/>
  <c r="E239" i="31"/>
  <c r="G239" i="31" s="1"/>
  <c r="E235" i="31"/>
  <c r="G235" i="31" s="1"/>
  <c r="N28" i="31"/>
  <c r="C49" i="25"/>
  <c r="E238" i="31"/>
  <c r="G238" i="31" s="1"/>
  <c r="N30" i="31"/>
  <c r="E229" i="31"/>
  <c r="M34" i="31"/>
  <c r="N34" i="31"/>
  <c r="N29" i="31"/>
  <c r="N26" i="31"/>
  <c r="E231" i="31"/>
  <c r="G231" i="31" s="1"/>
  <c r="E240" i="31"/>
  <c r="G240" i="31" s="1"/>
  <c r="N31" i="31"/>
  <c r="N32" i="31"/>
  <c r="E230" i="31"/>
  <c r="G230" i="31" s="1"/>
  <c r="N33" i="31"/>
  <c r="N27" i="31"/>
  <c r="O35" i="31"/>
  <c r="E232" i="31"/>
  <c r="G232" i="31" s="1"/>
  <c r="G31" i="25"/>
  <c r="E32" i="25"/>
  <c r="R33" i="31" l="1"/>
  <c r="R32" i="31"/>
  <c r="R28" i="31"/>
  <c r="R31" i="31"/>
  <c r="R29" i="31"/>
  <c r="R26" i="31"/>
  <c r="R34" i="31"/>
  <c r="R27" i="31"/>
  <c r="R30" i="31"/>
  <c r="O36" i="31"/>
  <c r="M35" i="31"/>
  <c r="P34" i="31"/>
  <c r="Q34" i="31"/>
  <c r="G229" i="31"/>
  <c r="E33" i="25"/>
  <c r="G32" i="25"/>
  <c r="Q35" i="31" l="1"/>
  <c r="N35" i="31"/>
  <c r="O37" i="31"/>
  <c r="M36" i="31"/>
  <c r="E34" i="25"/>
  <c r="G33" i="25"/>
  <c r="N36" i="31" l="1"/>
  <c r="Q36" i="31"/>
  <c r="M37" i="31"/>
  <c r="P35" i="31"/>
  <c r="R35" i="31"/>
  <c r="N37" i="31"/>
  <c r="G34" i="25"/>
  <c r="R36" i="31" l="1"/>
  <c r="R37" i="31"/>
  <c r="P37" i="31"/>
  <c r="Q37" i="31"/>
  <c r="P36" i="31"/>
  <c r="E161" i="31" l="1"/>
  <c r="E152" i="31"/>
  <c r="E206" i="31"/>
  <c r="G206" i="31" s="1"/>
  <c r="E219" i="31"/>
  <c r="G219" i="31" s="1"/>
  <c r="E213" i="31"/>
  <c r="G213" i="31" s="1"/>
  <c r="E221" i="31"/>
  <c r="G221" i="31" s="1"/>
  <c r="E218" i="31"/>
  <c r="G218" i="31" s="1"/>
  <c r="E171" i="31"/>
  <c r="E147" i="31"/>
  <c r="E197" i="31"/>
  <c r="E183" i="31"/>
  <c r="E194" i="31"/>
  <c r="E170" i="31"/>
  <c r="E227" i="31"/>
  <c r="G227" i="31" s="1"/>
  <c r="E223" i="31"/>
  <c r="G223" i="31" s="1"/>
  <c r="E187" i="31"/>
  <c r="E224" i="31"/>
  <c r="G224" i="31" s="1"/>
  <c r="E188" i="31"/>
  <c r="E202" i="31"/>
  <c r="E195" i="31"/>
  <c r="E150" i="31"/>
  <c r="E178" i="31"/>
  <c r="E211" i="31"/>
  <c r="G211" i="31" s="1"/>
  <c r="E228" i="31"/>
  <c r="G228" i="31" s="1"/>
  <c r="E172" i="31"/>
  <c r="E222" i="31"/>
  <c r="G222" i="31" s="1"/>
  <c r="E191" i="31"/>
  <c r="E158" i="31"/>
  <c r="E144" i="31"/>
  <c r="E207" i="31"/>
  <c r="G207" i="31" s="1"/>
  <c r="E186" i="31"/>
  <c r="E162" i="31"/>
  <c r="E198" i="31"/>
  <c r="E184" i="31"/>
  <c r="E156" i="31"/>
  <c r="E199" i="31"/>
  <c r="E177" i="31"/>
  <c r="E149" i="31"/>
  <c r="E225" i="31"/>
  <c r="G225" i="31" s="1"/>
  <c r="E173" i="31"/>
  <c r="E135" i="31"/>
  <c r="E163" i="31"/>
  <c r="E164" i="31"/>
  <c r="E166" i="31"/>
  <c r="E146" i="31"/>
  <c r="E139" i="31"/>
  <c r="E137" i="31"/>
  <c r="E201" i="31"/>
  <c r="E140" i="31"/>
  <c r="E167" i="31"/>
  <c r="E214" i="31"/>
  <c r="G214" i="31" s="1"/>
  <c r="E159" i="31"/>
  <c r="E151" i="31"/>
  <c r="E165" i="31"/>
  <c r="E209" i="31"/>
  <c r="G209" i="31" s="1"/>
  <c r="E200" i="31"/>
  <c r="E176" i="31"/>
  <c r="E160" i="31"/>
  <c r="E226" i="31"/>
  <c r="G226" i="31" s="1"/>
  <c r="E215" i="31"/>
  <c r="G215" i="31" s="1"/>
  <c r="E189" i="31"/>
  <c r="E182" i="31"/>
  <c r="E196" i="31"/>
  <c r="E148" i="31"/>
  <c r="E190" i="31"/>
  <c r="E179" i="31"/>
  <c r="E208" i="31"/>
  <c r="G208" i="31" s="1"/>
  <c r="E175" i="31"/>
  <c r="E153" i="31"/>
  <c r="E136" i="31"/>
  <c r="E220" i="31"/>
  <c r="G220" i="31" s="1"/>
  <c r="E174" i="31"/>
  <c r="E154" i="31"/>
  <c r="E212" i="31"/>
  <c r="G212" i="31" s="1"/>
  <c r="E134" i="31"/>
  <c r="E155" i="31"/>
  <c r="E203" i="31"/>
  <c r="E210" i="31"/>
  <c r="G210" i="31" s="1"/>
  <c r="E185" i="31"/>
  <c r="G189" i="31" l="1"/>
  <c r="G165" i="31"/>
  <c r="G159" i="31"/>
  <c r="G140" i="31"/>
  <c r="G201" i="31"/>
  <c r="G146" i="31"/>
  <c r="G164" i="31"/>
  <c r="G149" i="31"/>
  <c r="G156" i="31"/>
  <c r="G198" i="31"/>
  <c r="G186" i="31"/>
  <c r="G194" i="31"/>
  <c r="G183" i="31"/>
  <c r="G197" i="31"/>
  <c r="G203" i="31"/>
  <c r="G174" i="31"/>
  <c r="G190" i="31"/>
  <c r="G200" i="31"/>
  <c r="G173" i="31"/>
  <c r="G177" i="31"/>
  <c r="G158" i="31"/>
  <c r="G195" i="31"/>
  <c r="G187" i="31"/>
  <c r="G171" i="31"/>
  <c r="G161" i="31"/>
  <c r="G185" i="31"/>
  <c r="G134" i="31"/>
  <c r="G153" i="31"/>
  <c r="G176" i="31"/>
  <c r="G151" i="31"/>
  <c r="G167" i="31"/>
  <c r="G166" i="31"/>
  <c r="G163" i="31"/>
  <c r="G135" i="31"/>
  <c r="G144" i="31"/>
  <c r="G191" i="31"/>
  <c r="G172" i="31"/>
  <c r="G150" i="31"/>
  <c r="G170" i="31"/>
  <c r="G147" i="31"/>
  <c r="G155" i="31"/>
  <c r="G154" i="31"/>
  <c r="G136" i="31"/>
  <c r="G175" i="31"/>
  <c r="G179" i="31"/>
  <c r="G148" i="31"/>
  <c r="G196" i="31"/>
  <c r="G182" i="31"/>
  <c r="G160" i="31"/>
  <c r="G137" i="31"/>
  <c r="G139" i="31"/>
  <c r="G199" i="31"/>
  <c r="G184" i="31"/>
  <c r="G162" i="31"/>
  <c r="G178" i="31"/>
  <c r="G202" i="31"/>
  <c r="G188" i="31"/>
  <c r="G152" i="31"/>
  <c r="E180" i="31"/>
  <c r="E168" i="31"/>
  <c r="E216" i="31"/>
  <c r="G216" i="31" s="1"/>
  <c r="E204" i="31"/>
  <c r="G204" i="31" s="1"/>
  <c r="E192" i="31"/>
  <c r="E141" i="31"/>
  <c r="E143" i="31"/>
  <c r="E142" i="31"/>
  <c r="E138" i="31"/>
  <c r="G180" i="31" l="1"/>
  <c r="G141" i="31"/>
  <c r="G142" i="31"/>
  <c r="G143" i="31"/>
  <c r="G192" i="31"/>
  <c r="G168" i="31"/>
  <c r="G138" i="31"/>
  <c r="E29" i="25"/>
  <c r="E27" i="25"/>
  <c r="E23" i="25"/>
  <c r="M30" i="31" l="1"/>
  <c r="E181" i="31"/>
  <c r="M26" i="31"/>
  <c r="E133" i="31"/>
  <c r="E205" i="31"/>
  <c r="M32" i="31"/>
  <c r="C9" i="31"/>
  <c r="E24" i="25"/>
  <c r="G27" i="25"/>
  <c r="E26" i="25"/>
  <c r="E28" i="25"/>
  <c r="E30" i="25"/>
  <c r="E25" i="25"/>
  <c r="G23" i="25"/>
  <c r="G29" i="25"/>
  <c r="E19" i="96" l="1"/>
  <c r="K19" i="96" s="1"/>
  <c r="E23" i="96"/>
  <c r="K23" i="96" s="1"/>
  <c r="E50" i="25"/>
  <c r="G9" i="31"/>
  <c r="G50" i="25" s="1"/>
  <c r="E145" i="31"/>
  <c r="M27" i="31"/>
  <c r="G133" i="31"/>
  <c r="E169" i="31"/>
  <c r="M29" i="31"/>
  <c r="Q26" i="31"/>
  <c r="P26" i="31"/>
  <c r="M31" i="31"/>
  <c r="E193" i="31"/>
  <c r="E217" i="31"/>
  <c r="M33" i="31"/>
  <c r="Q32" i="31"/>
  <c r="P32" i="31"/>
  <c r="G181" i="31"/>
  <c r="M28" i="31"/>
  <c r="E157" i="31"/>
  <c r="G205" i="31"/>
  <c r="Q30" i="31"/>
  <c r="P30" i="31"/>
  <c r="G28" i="25"/>
  <c r="E9" i="31"/>
  <c r="G30" i="25"/>
  <c r="G26" i="25"/>
  <c r="G25" i="25"/>
  <c r="G24" i="25"/>
  <c r="E21" i="96" l="1"/>
  <c r="K21" i="96" s="1"/>
  <c r="E20" i="96"/>
  <c r="K20" i="96" s="1"/>
  <c r="E22" i="96"/>
  <c r="K22" i="96" s="1"/>
  <c r="E26" i="96"/>
  <c r="K26" i="96" s="1"/>
  <c r="K27" i="96" s="1"/>
  <c r="I75" i="25"/>
  <c r="P28" i="31"/>
  <c r="Q28" i="31"/>
  <c r="G193" i="31"/>
  <c r="P31" i="31"/>
  <c r="Q31" i="31"/>
  <c r="P27" i="31"/>
  <c r="Q27" i="31"/>
  <c r="P33" i="31"/>
  <c r="Q33" i="31"/>
  <c r="P29" i="31"/>
  <c r="Q29" i="31"/>
  <c r="G145" i="31"/>
  <c r="G157" i="31"/>
  <c r="G217" i="31"/>
  <c r="G169" i="31"/>
  <c r="C13" i="96" l="1"/>
  <c r="I13" i="96" s="1"/>
  <c r="C15" i="96"/>
  <c r="I15" i="96" s="1"/>
  <c r="C9" i="96"/>
  <c r="I9" i="96" s="1"/>
  <c r="C12" i="96" l="1"/>
  <c r="I12" i="96" s="1"/>
  <c r="C16" i="96"/>
  <c r="I16" i="96" s="1"/>
  <c r="C17" i="96"/>
  <c r="I17" i="96" s="1"/>
  <c r="C14" i="96"/>
  <c r="I14" i="96" s="1"/>
  <c r="C10" i="96"/>
  <c r="I10" i="96" s="1"/>
  <c r="C18" i="96"/>
  <c r="I18" i="96" s="1"/>
  <c r="C11" i="96"/>
  <c r="I11" i="96" s="1"/>
  <c r="C19" i="96" l="1"/>
  <c r="I19" i="96" s="1"/>
  <c r="C21" i="96" l="1"/>
  <c r="I21" i="96" s="1"/>
  <c r="C20" i="96"/>
  <c r="I20" i="96" s="1"/>
  <c r="C22" i="96"/>
  <c r="I22" i="96" s="1"/>
  <c r="C23" i="96" l="1"/>
  <c r="I23" i="96" s="1"/>
  <c r="C26" i="96"/>
  <c r="I26" i="96" s="1"/>
  <c r="I27" i="9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PacifiCorp</author>
  </authors>
  <commentList>
    <comment ref="H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<sst xmlns="http://schemas.openxmlformats.org/spreadsheetml/2006/main" count="1385" uniqueCount="261">
  <si>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</si>
  <si>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</si>
  <si>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</si>
  <si>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</si>
  <si>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</si>
  <si>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</si>
  <si>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</si>
  <si>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</si>
  <si>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</si>
  <si>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</si>
  <si>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</si>
  <si>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</si>
  <si>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</si>
  <si>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</si>
  <si>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</si>
  <si>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</si>
  <si>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</si>
  <si>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</si>
  <si>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</si>
  <si>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</si>
  <si>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</si>
  <si>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</si>
  <si>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</si>
  <si>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</si>
  <si>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</si>
  <si>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</si>
  <si>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</si>
  <si>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</si>
  <si>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</si>
  <si>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</si>
  <si>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</si>
  <si>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</si>
  <si>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</si>
  <si>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</si>
  <si>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</si>
  <si>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</si>
  <si>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</si>
  <si>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</si>
  <si>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</si>
  <si>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</si>
  <si>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</si>
  <si>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</si>
  <si>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</si>
  <si>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</si>
  <si>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</si>
  <si>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</si>
  <si>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</si>
  <si>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</si>
  <si>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</si>
  <si>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</si>
  <si>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</si>
  <si>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</si>
  <si>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</si>
  <si>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</si>
  <si>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</si>
  <si>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</si>
  <si>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</si>
  <si>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</si>
  <si>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</si>
  <si>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</si>
  <si>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</si>
  <si>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</si>
  <si>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</si>
  <si>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</si>
  <si>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</si>
  <si>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</si>
  <si>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</si>
  <si>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</si>
  <si>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</si>
  <si>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</si>
  <si>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</si>
  <si>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</si>
  <si>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</si>
  <si>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</si>
  <si>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</si>
  <si>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</si>
  <si>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</si>
  <si>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</si>
  <si>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</si>
  <si>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</si>
  <si>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</si>
  <si>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</si>
  <si>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</si>
  <si>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</si>
  <si>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</si>
  <si>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</si>
  <si>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</si>
  <si>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</si>
  <si>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</si>
  <si>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</si>
  <si>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</si>
  <si>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</si>
  <si>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</si>
  <si>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</si>
  <si>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</si>
  <si>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</si>
  <si>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</si>
  <si>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</si>
  <si>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</si>
  <si>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</si>
  <si>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</si>
  <si>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</si>
  <si>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</si>
  <si>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</si>
  <si>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</si>
  <si>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</si>
  <si>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</si>
  <si>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</si>
  <si>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</si>
  <si>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</si>
  <si>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</si>
  <si>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</si>
  <si>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</si>
  <si>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</si>
  <si>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</si>
  <si>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</si>
  <si>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</si>
  <si>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</si>
  <si>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</si>
  <si>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</si>
  <si>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</si>
  <si>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</si>
  <si>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</si>
  <si>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</si>
  <si>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</si>
  <si>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</si>
  <si>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</si>
  <si>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</si>
  <si>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</si>
  <si>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</si>
  <si>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</si>
  <si>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</si>
  <si>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</si>
  <si>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</si>
  <si>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</si>
  <si>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</si>
  <si>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</si>
  <si>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</si>
  <si>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</si>
  <si>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</si>
  <si>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</si>
  <si>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</si>
  <si>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</si>
  <si>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</si>
  <si>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</si>
  <si>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</si>
  <si>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</si>
  <si>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</si>
  <si>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Retail Revenue Requirement
($/kW-year, 2033$)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</si>
  <si>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</si>
  <si>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</si>
  <si>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</si>
  <si>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</si>
  <si>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</si>
  <si>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</si>
  <si>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Plant Costs  - 2021 IRP Update - Table 7.1 &amp; 7.2</t>
  </si>
  <si>
    <t>2020 $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</si>
  <si>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</si>
  <si>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</si>
  <si>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</si>
  <si>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</si>
  <si>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</si>
  <si>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</si>
  <si>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</si>
  <si>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</si>
  <si>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</si>
  <si>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</si>
  <si>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</si>
  <si>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</si>
  <si>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</si>
  <si>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</si>
  <si>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</si>
  <si>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</si>
  <si>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0% PTC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</si>
  <si>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</si>
  <si>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</si>
  <si>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</si>
  <si>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</si>
  <si>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</si>
  <si>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</si>
  <si>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 xml:space="preserve">2021 IRP Sm Adv Nuclear Resource Costs </t>
  </si>
  <si>
    <t>Sm Adv Nuclear - 196 MW- East Side Resource (5,050')</t>
  </si>
  <si>
    <t xml:space="preserve">Plexos Properties file </t>
  </si>
  <si>
    <t>VO&amp;M</t>
  </si>
  <si>
    <t>2021 IRP Southern Oregon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</si>
  <si>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</si>
  <si>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</si>
  <si>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</si>
  <si>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</si>
  <si>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</si>
  <si>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</si>
  <si>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</si>
  <si>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</si>
  <si>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</si>
  <si>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</si>
  <si>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</si>
  <si>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</si>
  <si>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</si>
  <si>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2030 $</t>
  </si>
  <si>
    <t>IRP21_BAT_WYE_DJ_Wyodak</t>
  </si>
  <si>
    <t>2029 $</t>
  </si>
  <si>
    <t>15 Year Starting 2025</t>
  </si>
  <si>
    <t>15 Year Starting 2024</t>
  </si>
  <si>
    <t>IRP21_UTN_Non_Emitting_2031_T</t>
  </si>
  <si>
    <t>IRP21_Huntington_Non_Emitting_2037_T</t>
  </si>
  <si>
    <t>2037 $</t>
  </si>
  <si>
    <t>2031 $</t>
  </si>
  <si>
    <t xml:space="preserve">Plant Costs  - 2021 IRP  - Table 7.1 &amp; 7.2 </t>
  </si>
  <si>
    <t xml:space="preserve">2021 IRP Update Non Emitting Huntington Peaker Resource Costs </t>
  </si>
  <si>
    <t xml:space="preserve">2021 IRP Update Non Emitting UTN Peaker Resource Costs </t>
  </si>
  <si>
    <t xml:space="preserve">Plant Costs  - 2021 IRP - Table 7.1 &amp; 7.2 </t>
  </si>
  <si>
    <t>2038$</t>
  </si>
  <si>
    <t>2029$</t>
  </si>
  <si>
    <t>Retail Revenue Requirement
($/kW-year, 2029$)</t>
  </si>
  <si>
    <t>2028$</t>
  </si>
  <si>
    <t>2032 $</t>
  </si>
  <si>
    <t>2021 IRP Update Transmission Costs</t>
  </si>
  <si>
    <t>Discount Rate - 2021 IRP Update</t>
  </si>
  <si>
    <t>2021 IRP Update</t>
  </si>
  <si>
    <t>2021 IRP Update Borah Solar with Storage</t>
  </si>
  <si>
    <t>2021 IRP Update Stand Alone Battery WY DJ</t>
  </si>
  <si>
    <t>2021 IRP Update Portland North Coast Wind Resource</t>
  </si>
  <si>
    <t>2021 IRP Update Wilamette Valley Resource</t>
  </si>
  <si>
    <t>2021 IRP Update Wyoming Wind Resource</t>
  </si>
  <si>
    <t>2021 IRP Update Wyoming DJ Wind Resource</t>
  </si>
  <si>
    <t>2021 IRP Update Southern Oregon Solar with Storage</t>
  </si>
  <si>
    <t>2021 IRP Update Yakima Solar with Storage</t>
  </si>
  <si>
    <t>2021 IRP Update UTN Solar with Storage</t>
  </si>
  <si>
    <t>2021 IRP Update UTS Solar with Storage</t>
  </si>
  <si>
    <t>15 Year</t>
  </si>
  <si>
    <t>Avoided Cost Prices $/MWh</t>
  </si>
  <si>
    <t>Utah 2022.Q4 Sch 38</t>
  </si>
  <si>
    <t>Thermal-Defer 2031 NonEmitPeaker</t>
  </si>
  <si>
    <t>Solar Tracking</t>
  </si>
  <si>
    <t>Thermal</t>
  </si>
  <si>
    <t>UT 2022.Q4</t>
  </si>
  <si>
    <t>UT 2022.Q3</t>
  </si>
  <si>
    <t>100% CF (2)</t>
  </si>
  <si>
    <t>32.25% CF (2)</t>
  </si>
  <si>
    <t>29.5% CF (2)</t>
  </si>
  <si>
    <t>Difference</t>
  </si>
  <si>
    <t>15-Year Levelized Prices (Nominal) @ 6.88% Discount Rate (1) (3)</t>
  </si>
  <si>
    <t>2023-2037</t>
  </si>
  <si>
    <t>Footnotes:</t>
  </si>
  <si>
    <t>(1)   Discount Rate - 2021 IRP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</si>
  <si>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</si>
  <si>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</si>
  <si>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</si>
  <si>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</si>
  <si>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</si>
  <si>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</si>
  <si>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</si>
  <si>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</si>
  <si>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</si>
  <si>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</si>
  <si>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</si>
  <si>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</si>
  <si>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</si>
  <si>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Sch38 - UT - Wind</t>
  </si>
  <si>
    <t>Utah 2022.Q4_Wind</t>
  </si>
  <si>
    <t>Appendix B.3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</si>
</sst>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  <font>
      <sz val="10"/>
      <color rgb="FFCCECFF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  <xf numFmtId="0" fontId="3" fillId="0" borderId="0"/>
  </cellStyleXfs>
  <cellXfs count="379">
    <xf numFmtId="171" fontId="0" fillId="0" borderId="0" xfId="0"/>
    <xf numFmtId="171" fontId="6" fillId="0" borderId="0" xfId="0" applyFont="1" applyAlignment="1">
      <alignment horizontal="centerContinuous"/>
    </xf>
    <xf numFmtId="171" fontId="9" fillId="0" borderId="0" xfId="0" applyFont="1" applyAlignment="1">
      <alignment horizontal="centerContinuous"/>
    </xf>
    <xf numFmtId="171" fontId="5" fillId="0" borderId="0" xfId="0" applyFont="1"/>
    <xf numFmtId="171" fontId="7" fillId="0" borderId="0" xfId="0" applyFont="1" applyAlignment="1">
      <alignment horizontal="centerContinuous"/>
    </xf>
    <xf numFmtId="171" fontId="5" fillId="0" borderId="0" xfId="0" applyFont="1" applyAlignment="1">
      <alignment horizontal="center"/>
    </xf>
    <xf numFmtId="8" fontId="5" fillId="0" borderId="0" xfId="0" applyNumberFormat="1" applyFont="1"/>
    <xf numFmtId="8" fontId="5" fillId="0" borderId="2" xfId="0" applyNumberFormat="1" applyFont="1" applyBorder="1" applyAlignment="1">
      <alignment horizontal="center"/>
    </xf>
    <xf numFmtId="8" fontId="5" fillId="0" borderId="0" xfId="0" applyNumberFormat="1" applyFont="1" applyAlignment="1">
      <alignment horizontal="center"/>
    </xf>
    <xf numFmtId="171" fontId="5" fillId="0" borderId="0" xfId="0" quotePrefix="1" applyFont="1"/>
    <xf numFmtId="171" fontId="5" fillId="0" borderId="0" xfId="0" applyFont="1" applyAlignment="1">
      <alignment horizontal="centerContinuous"/>
    </xf>
    <xf numFmtId="8" fontId="5" fillId="0" borderId="8" xfId="0" applyNumberFormat="1" applyFont="1" applyBorder="1" applyAlignment="1">
      <alignment horizontal="center"/>
    </xf>
    <xf numFmtId="8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71" fontId="4" fillId="0" borderId="5" xfId="0" applyFont="1" applyBorder="1" applyAlignment="1">
      <alignment horizontal="center"/>
    </xf>
    <xf numFmtId="171" fontId="4" fillId="0" borderId="5" xfId="0" applyFont="1" applyBorder="1" applyAlignment="1">
      <alignment horizontal="center" wrapText="1"/>
    </xf>
    <xf numFmtId="171" fontId="12" fillId="0" borderId="6" xfId="0" quotePrefix="1" applyFont="1" applyBorder="1" applyAlignment="1">
      <alignment horizontal="center" wrapText="1"/>
    </xf>
    <xf numFmtId="171" fontId="12" fillId="0" borderId="6" xfId="0" applyFont="1" applyBorder="1" applyAlignment="1">
      <alignment horizontal="center" wrapText="1"/>
    </xf>
    <xf numFmtId="171" fontId="4" fillId="0" borderId="0" xfId="0" applyFont="1" applyAlignment="1">
      <alignment horizontal="centerContinuous"/>
    </xf>
    <xf numFmtId="171" fontId="4" fillId="0" borderId="5" xfId="0" applyFont="1" applyBorder="1"/>
    <xf numFmtId="171" fontId="4" fillId="0" borderId="13" xfId="0" applyFont="1" applyBorder="1" applyAlignment="1">
      <alignment horizontal="center"/>
    </xf>
    <xf numFmtId="171" fontId="4" fillId="0" borderId="6" xfId="0" applyFont="1" applyBorder="1"/>
    <xf numFmtId="171" fontId="4" fillId="0" borderId="6" xfId="0" applyFont="1" applyBorder="1" applyAlignment="1">
      <alignment horizontal="center"/>
    </xf>
    <xf numFmtId="8" fontId="1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71" fontId="7" fillId="0" borderId="7" xfId="0" applyFont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/>
    <xf numFmtId="171" fontId="16" fillId="0" borderId="0" xfId="0" applyFont="1" applyAlignment="1">
      <alignment wrapText="1"/>
    </xf>
    <xf numFmtId="171" fontId="14" fillId="0" borderId="0" xfId="0" applyFont="1" applyAlignment="1">
      <alignment horizontal="center"/>
    </xf>
    <xf numFmtId="168" fontId="14" fillId="0" borderId="0" xfId="0" applyNumberFormat="1" applyFont="1"/>
    <xf numFmtId="2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 horizontal="center"/>
    </xf>
    <xf numFmtId="171" fontId="4" fillId="0" borderId="0" xfId="0" applyFont="1" applyAlignment="1">
      <alignment horizontal="center"/>
    </xf>
    <xf numFmtId="171" fontId="4" fillId="0" borderId="16" xfId="0" applyFont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Border="1" applyAlignment="1">
      <alignment horizontal="centerContinuous"/>
    </xf>
    <xf numFmtId="171" fontId="20" fillId="0" borderId="0" xfId="5" applyFont="1"/>
    <xf numFmtId="2" fontId="5" fillId="0" borderId="2" xfId="0" applyNumberFormat="1" applyFont="1" applyBorder="1" applyAlignment="1">
      <alignment horizontal="center"/>
    </xf>
    <xf numFmtId="8" fontId="5" fillId="0" borderId="0" xfId="0" quotePrefix="1" applyNumberFormat="1" applyFont="1" applyAlignment="1">
      <alignment horizontal="center"/>
    </xf>
    <xf numFmtId="171" fontId="14" fillId="0" borderId="0" xfId="0" applyFont="1" applyAlignment="1">
      <alignment horizontal="centerContinuous"/>
    </xf>
    <xf numFmtId="171" fontId="5" fillId="0" borderId="0" xfId="0" applyFont="1" applyAlignment="1">
      <alignment horizontal="left" indent="1"/>
    </xf>
    <xf numFmtId="43" fontId="0" fillId="0" borderId="0" xfId="1" applyFont="1" applyFill="1"/>
    <xf numFmtId="171" fontId="0" fillId="0" borderId="0" xfId="0" quotePrefix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0" fontId="0" fillId="0" borderId="0" xfId="11" applyNumberFormat="1" applyFont="1" applyAlignment="1">
      <alignment horizontal="left"/>
    </xf>
    <xf numFmtId="171" fontId="3" fillId="0" borderId="0" xfId="10" applyNumberFormat="1"/>
    <xf numFmtId="173" fontId="3" fillId="5" borderId="0" xfId="10" applyNumberForma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Border="1"/>
    <xf numFmtId="171" fontId="3" fillId="0" borderId="7" xfId="10" applyNumberFormat="1" applyBorder="1" applyAlignment="1">
      <alignment horizontal="center"/>
    </xf>
    <xf numFmtId="171" fontId="3" fillId="0" borderId="3" xfId="10" applyNumberFormat="1" applyBorder="1" applyAlignment="1">
      <alignment horizontal="centerContinuous"/>
    </xf>
    <xf numFmtId="171" fontId="3" fillId="0" borderId="4" xfId="10" applyNumberFormat="1" applyBorder="1" applyAlignment="1">
      <alignment horizontal="centerContinuous"/>
    </xf>
    <xf numFmtId="171" fontId="3" fillId="0" borderId="6" xfId="10" applyNumberFormat="1" applyBorder="1"/>
    <xf numFmtId="171" fontId="3" fillId="0" borderId="4" xfId="10" applyNumberFormat="1" applyBorder="1" applyAlignment="1">
      <alignment horizontal="center"/>
    </xf>
    <xf numFmtId="171" fontId="3" fillId="0" borderId="3" xfId="10" applyNumberFormat="1" applyBorder="1" applyAlignment="1">
      <alignment horizontal="center"/>
    </xf>
    <xf numFmtId="171" fontId="3" fillId="0" borderId="6" xfId="10" applyNumberFormat="1" applyBorder="1" applyAlignment="1">
      <alignment horizontal="center"/>
    </xf>
    <xf numFmtId="171" fontId="3" fillId="0" borderId="9" xfId="10" applyNumberFormat="1" applyBorder="1" applyAlignment="1">
      <alignment horizontal="centerContinuous"/>
    </xf>
    <xf numFmtId="171" fontId="3" fillId="0" borderId="2" xfId="10" applyNumberFormat="1" applyBorder="1"/>
    <xf numFmtId="41" fontId="3" fillId="0" borderId="8" xfId="10" applyNumberFormat="1" applyBorder="1"/>
    <xf numFmtId="41" fontId="3" fillId="0" borderId="11" xfId="10" applyNumberFormat="1" applyBorder="1"/>
    <xf numFmtId="168" fontId="3" fillId="0" borderId="8" xfId="10" applyNumberFormat="1" applyBorder="1"/>
    <xf numFmtId="0" fontId="3" fillId="0" borderId="0" xfId="10" applyNumberFormat="1"/>
    <xf numFmtId="17" fontId="3" fillId="0" borderId="5" xfId="10" applyNumberFormat="1" applyBorder="1" applyAlignment="1">
      <alignment horizontal="center"/>
    </xf>
    <xf numFmtId="168" fontId="3" fillId="0" borderId="11" xfId="10" applyNumberFormat="1" applyBorder="1"/>
    <xf numFmtId="171" fontId="3" fillId="0" borderId="13" xfId="10" applyNumberFormat="1" applyBorder="1"/>
    <xf numFmtId="17" fontId="3" fillId="0" borderId="13" xfId="10" applyNumberFormat="1" applyBorder="1" applyAlignment="1">
      <alignment horizontal="center"/>
    </xf>
    <xf numFmtId="171" fontId="3" fillId="0" borderId="1" xfId="10" applyNumberFormat="1" applyBorder="1"/>
    <xf numFmtId="41" fontId="3" fillId="0" borderId="12" xfId="10" applyNumberFormat="1" applyBorder="1"/>
    <xf numFmtId="168" fontId="3" fillId="0" borderId="12" xfId="10" applyNumberFormat="1" applyBorder="1"/>
    <xf numFmtId="17" fontId="3" fillId="0" borderId="6" xfId="10" applyNumberForma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Alignment="1">
      <alignment horizontal="center"/>
    </xf>
    <xf numFmtId="1" fontId="0" fillId="0" borderId="0" xfId="6" applyNumberFormat="1" applyFont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Border="1" applyAlignment="1">
      <alignment horizontal="center"/>
    </xf>
    <xf numFmtId="174" fontId="3" fillId="0" borderId="0" xfId="8" applyNumberFormat="1" applyFont="1"/>
    <xf numFmtId="171" fontId="8" fillId="0" borderId="0" xfId="0" applyFont="1"/>
    <xf numFmtId="171" fontId="16" fillId="2" borderId="0" xfId="0" applyFont="1" applyFill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4" fontId="22" fillId="2" borderId="0" xfId="0" applyNumberFormat="1" applyFont="1" applyFill="1" applyAlignment="1">
      <alignment horizontal="centerContinuous" vertical="center"/>
    </xf>
    <xf numFmtId="171" fontId="8" fillId="0" borderId="0" xfId="0" applyFont="1" applyAlignment="1">
      <alignment horizontal="center"/>
    </xf>
    <xf numFmtId="171" fontId="14" fillId="2" borderId="0" xfId="0" applyFont="1" applyFill="1" applyAlignment="1">
      <alignment horizontal="centerContinuous" wrapText="1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/>
    <xf numFmtId="171" fontId="15" fillId="0" borderId="0" xfId="10" applyNumberFormat="1" applyFont="1"/>
    <xf numFmtId="177" fontId="5" fillId="0" borderId="0" xfId="0" applyNumberFormat="1" applyFont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/>
    <xf numFmtId="9" fontId="26" fillId="0" borderId="0" xfId="8" applyFont="1"/>
    <xf numFmtId="43" fontId="3" fillId="0" borderId="0" xfId="10" applyNumberFormat="1"/>
    <xf numFmtId="171" fontId="27" fillId="0" borderId="0" xfId="10" applyNumberFormat="1" applyFont="1"/>
    <xf numFmtId="171" fontId="6" fillId="0" borderId="0" xfId="24" applyFont="1" applyAlignment="1">
      <alignment horizontal="centerContinuous"/>
    </xf>
    <xf numFmtId="171" fontId="5" fillId="0" borderId="0" xfId="24" applyAlignment="1">
      <alignment horizontal="centerContinuous"/>
    </xf>
    <xf numFmtId="171" fontId="5" fillId="0" borderId="0" xfId="24"/>
    <xf numFmtId="171" fontId="4" fillId="0" borderId="5" xfId="24" applyFont="1" applyBorder="1" applyAlignment="1">
      <alignment horizontal="center"/>
    </xf>
    <xf numFmtId="171" fontId="4" fillId="0" borderId="5" xfId="24" applyFont="1" applyBorder="1" applyAlignment="1">
      <alignment horizontal="center" wrapText="1"/>
    </xf>
    <xf numFmtId="171" fontId="9" fillId="0" borderId="6" xfId="24" applyFont="1" applyBorder="1" applyAlignment="1">
      <alignment horizontal="centerContinuous"/>
    </xf>
    <xf numFmtId="171" fontId="12" fillId="0" borderId="6" xfId="24" quotePrefix="1" applyFont="1" applyBorder="1" applyAlignment="1">
      <alignment horizontal="center" wrapText="1"/>
    </xf>
    <xf numFmtId="171" fontId="12" fillId="0" borderId="6" xfId="24" applyFont="1" applyBorder="1" applyAlignment="1">
      <alignment horizontal="center" wrapText="1"/>
    </xf>
    <xf numFmtId="171" fontId="8" fillId="0" borderId="0" xfId="24" quotePrefix="1" applyFont="1" applyAlignment="1">
      <alignment horizontal="center"/>
    </xf>
    <xf numFmtId="0" fontId="5" fillId="0" borderId="0" xfId="24" applyNumberFormat="1"/>
    <xf numFmtId="6" fontId="5" fillId="0" borderId="0" xfId="24" applyNumberFormat="1" applyAlignment="1">
      <alignment horizontal="right"/>
    </xf>
    <xf numFmtId="8" fontId="5" fillId="0" borderId="0" xfId="24" applyNumberFormat="1" applyAlignment="1">
      <alignment horizontal="right"/>
    </xf>
    <xf numFmtId="8" fontId="5" fillId="0" borderId="0" xfId="24" applyNumberFormat="1"/>
    <xf numFmtId="165" fontId="5" fillId="0" borderId="0" xfId="24" applyNumberFormat="1" applyAlignment="1">
      <alignment horizontal="center"/>
    </xf>
    <xf numFmtId="171" fontId="5" fillId="0" borderId="0" xfId="24" quotePrefix="1"/>
    <xf numFmtId="0" fontId="5" fillId="0" borderId="0" xfId="25" applyFont="1"/>
    <xf numFmtId="14" fontId="5" fillId="0" borderId="0" xfId="26" applyNumberFormat="1" applyFont="1"/>
    <xf numFmtId="8" fontId="5" fillId="0" borderId="0" xfId="24" applyNumberFormat="1" applyAlignment="1">
      <alignment horizontal="center"/>
    </xf>
    <xf numFmtId="171" fontId="7" fillId="0" borderId="0" xfId="24" applyFont="1" applyAlignment="1">
      <alignment horizontal="centerContinuous"/>
    </xf>
    <xf numFmtId="171" fontId="4" fillId="0" borderId="0" xfId="24" applyFont="1" applyAlignment="1">
      <alignment horizontal="centerContinuous"/>
    </xf>
    <xf numFmtId="171" fontId="5" fillId="0" borderId="0" xfId="24" applyAlignment="1">
      <alignment horizontal="center"/>
    </xf>
    <xf numFmtId="171" fontId="4" fillId="0" borderId="17" xfId="24" applyFont="1" applyBorder="1" applyAlignment="1">
      <alignment horizontal="centerContinuous"/>
    </xf>
    <xf numFmtId="171" fontId="5" fillId="0" borderId="17" xfId="24" applyBorder="1"/>
    <xf numFmtId="171" fontId="5" fillId="0" borderId="18" xfId="24" applyBorder="1"/>
    <xf numFmtId="171" fontId="4" fillId="0" borderId="16" xfId="24" applyFont="1" applyBorder="1" applyAlignment="1">
      <alignment horizontal="center"/>
    </xf>
    <xf numFmtId="171" fontId="4" fillId="0" borderId="17" xfId="5" applyFont="1" applyBorder="1" applyAlignment="1">
      <alignment horizontal="centerContinuous"/>
    </xf>
    <xf numFmtId="171" fontId="5" fillId="0" borderId="17" xfId="24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/>
    <xf numFmtId="172" fontId="5" fillId="0" borderId="0" xfId="24" applyNumberFormat="1"/>
    <xf numFmtId="167" fontId="5" fillId="0" borderId="0" xfId="8" applyNumberFormat="1" applyFont="1" applyFill="1"/>
    <xf numFmtId="0" fontId="0" fillId="0" borderId="0" xfId="0" applyNumberFormat="1"/>
    <xf numFmtId="44" fontId="26" fillId="0" borderId="0" xfId="2" applyFont="1" applyFill="1"/>
    <xf numFmtId="174" fontId="30" fillId="0" borderId="0" xfId="0" applyNumberFormat="1" applyFont="1" applyProtection="1">
      <protection locked="0"/>
    </xf>
    <xf numFmtId="43" fontId="5" fillId="0" borderId="0" xfId="2" applyNumberFormat="1" applyFont="1" applyFill="1"/>
    <xf numFmtId="171" fontId="5" fillId="0" borderId="0" xfId="24" applyAlignment="1">
      <alignment horizontal="right"/>
    </xf>
    <xf numFmtId="171" fontId="5" fillId="0" borderId="0" xfId="6" applyNumberFormat="1" applyFont="1" applyAlignment="1" applyProtection="1">
      <alignment horizontal="center"/>
      <protection locked="0"/>
    </xf>
    <xf numFmtId="171" fontId="4" fillId="0" borderId="0" xfId="24" applyFont="1" applyAlignment="1">
      <alignment horizontal="center" wrapText="1"/>
    </xf>
    <xf numFmtId="172" fontId="3" fillId="0" borderId="0" xfId="10" applyNumberFormat="1"/>
    <xf numFmtId="0" fontId="5" fillId="0" borderId="0" xfId="0" applyNumberFormat="1" applyFont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Border="1" applyAlignment="1">
      <alignment horizontal="center"/>
    </xf>
    <xf numFmtId="171" fontId="5" fillId="0" borderId="1" xfId="0" quotePrefix="1" applyFont="1" applyBorder="1" applyAlignment="1">
      <alignment horizontal="center"/>
    </xf>
    <xf numFmtId="173" fontId="0" fillId="0" borderId="0" xfId="0" applyNumberFormat="1"/>
    <xf numFmtId="43" fontId="5" fillId="0" borderId="0" xfId="28" applyFont="1" applyFill="1"/>
    <xf numFmtId="0" fontId="5" fillId="0" borderId="0" xfId="24" applyNumberFormat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ill="1"/>
    <xf numFmtId="171" fontId="5" fillId="0" borderId="0" xfId="0" applyFont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2" fontId="5" fillId="0" borderId="0" xfId="24" applyNumberFormat="1" applyAlignment="1">
      <alignment horizontal="right"/>
    </xf>
    <xf numFmtId="43" fontId="5" fillId="0" borderId="0" xfId="24" applyNumberFormat="1"/>
    <xf numFmtId="171" fontId="5" fillId="0" borderId="0" xfId="0" applyFont="1" applyAlignment="1">
      <alignment wrapText="1"/>
    </xf>
    <xf numFmtId="171" fontId="5" fillId="0" borderId="0" xfId="0" applyFont="1" applyAlignment="1">
      <alignment horizontal="center" wrapText="1"/>
    </xf>
    <xf numFmtId="171" fontId="4" fillId="0" borderId="0" xfId="0" applyFont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167" fontId="5" fillId="6" borderId="0" xfId="24" applyNumberFormat="1" applyFill="1"/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/>
    <xf numFmtId="171" fontId="15" fillId="0" borderId="0" xfId="10" applyNumberFormat="1" applyFont="1" applyAlignment="1">
      <alignment wrapText="1"/>
    </xf>
    <xf numFmtId="171" fontId="33" fillId="0" borderId="0" xfId="0" applyFont="1" applyAlignment="1">
      <alignment horizontal="centerContinuous"/>
    </xf>
    <xf numFmtId="171" fontId="34" fillId="0" borderId="0" xfId="0" applyFont="1" applyAlignment="1">
      <alignment horizontal="centerContinuous"/>
    </xf>
    <xf numFmtId="171" fontId="33" fillId="0" borderId="0" xfId="0" applyFont="1"/>
    <xf numFmtId="171" fontId="34" fillId="0" borderId="0" xfId="0" applyFont="1"/>
    <xf numFmtId="171" fontId="5" fillId="0" borderId="0" xfId="0" quotePrefix="1" applyFont="1" applyAlignment="1">
      <alignment horizontal="center"/>
    </xf>
    <xf numFmtId="8" fontId="35" fillId="0" borderId="0" xfId="0" applyNumberFormat="1" applyFont="1" applyAlignment="1">
      <alignment horizontal="center"/>
    </xf>
    <xf numFmtId="8" fontId="35" fillId="0" borderId="0" xfId="0" applyNumberFormat="1" applyFont="1" applyAlignment="1">
      <alignment horizontal="left"/>
    </xf>
    <xf numFmtId="171" fontId="5" fillId="0" borderId="22" xfId="0" applyFont="1" applyBorder="1" applyAlignment="1">
      <alignment horizontal="center"/>
    </xf>
    <xf numFmtId="171" fontId="5" fillId="0" borderId="5" xfId="0" applyFont="1" applyBorder="1" applyAlignment="1">
      <alignment horizontal="centerContinuous"/>
    </xf>
    <xf numFmtId="171" fontId="5" fillId="0" borderId="5" xfId="0" quotePrefix="1" applyFont="1" applyBorder="1" applyAlignment="1">
      <alignment horizontal="centerContinuous"/>
    </xf>
    <xf numFmtId="171" fontId="5" fillId="0" borderId="4" xfId="0" applyFont="1" applyBorder="1" applyAlignment="1">
      <alignment horizontal="centerContinuous"/>
    </xf>
    <xf numFmtId="171" fontId="5" fillId="0" borderId="7" xfId="0" applyFont="1" applyBorder="1" applyAlignment="1">
      <alignment horizontal="centerContinuous"/>
    </xf>
    <xf numFmtId="171" fontId="5" fillId="0" borderId="3" xfId="0" applyFont="1" applyBorder="1" applyAlignment="1">
      <alignment horizontal="centerContinuous"/>
    </xf>
    <xf numFmtId="171" fontId="5" fillId="0" borderId="22" xfId="0" applyFont="1" applyBorder="1" applyAlignment="1">
      <alignment horizontal="centerContinuous"/>
    </xf>
    <xf numFmtId="171" fontId="5" fillId="0" borderId="2" xfId="0" applyFont="1" applyBorder="1" applyAlignment="1">
      <alignment horizontal="centerContinuous"/>
    </xf>
    <xf numFmtId="171" fontId="5" fillId="0" borderId="8" xfId="0" applyFont="1" applyBorder="1" applyAlignment="1">
      <alignment horizontal="centerContinuous"/>
    </xf>
    <xf numFmtId="171" fontId="5" fillId="0" borderId="23" xfId="0" applyFont="1" applyBorder="1" applyAlignment="1">
      <alignment horizontal="center"/>
    </xf>
    <xf numFmtId="171" fontId="5" fillId="0" borderId="3" xfId="0" applyFont="1" applyBorder="1" applyAlignment="1">
      <alignment horizontal="center"/>
    </xf>
    <xf numFmtId="171" fontId="5" fillId="0" borderId="9" xfId="0" applyFont="1" applyBorder="1" applyAlignment="1">
      <alignment horizontal="center"/>
    </xf>
    <xf numFmtId="171" fontId="5" fillId="0" borderId="4" xfId="0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8" fontId="5" fillId="0" borderId="5" xfId="0" applyNumberFormat="1" applyFont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43" fontId="5" fillId="0" borderId="5" xfId="0" applyNumberFormat="1" applyFont="1" applyBorder="1"/>
    <xf numFmtId="43" fontId="5" fillId="0" borderId="2" xfId="0" applyNumberFormat="1" applyFont="1" applyBorder="1" applyAlignment="1">
      <alignment horizontal="center"/>
    </xf>
    <xf numFmtId="43" fontId="5" fillId="0" borderId="8" xfId="0" applyNumberFormat="1" applyFont="1" applyBorder="1" applyAlignment="1">
      <alignment horizontal="center"/>
    </xf>
    <xf numFmtId="43" fontId="5" fillId="0" borderId="22" xfId="0" applyNumberFormat="1" applyFont="1" applyBorder="1" applyAlignment="1">
      <alignment horizontal="center"/>
    </xf>
    <xf numFmtId="43" fontId="5" fillId="0" borderId="13" xfId="0" applyNumberFormat="1" applyFont="1" applyBorder="1"/>
    <xf numFmtId="43" fontId="5" fillId="0" borderId="0" xfId="0" applyNumberFormat="1" applyFont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43" fontId="5" fillId="0" borderId="6" xfId="0" applyNumberFormat="1" applyFont="1" applyBorder="1"/>
    <xf numFmtId="43" fontId="5" fillId="0" borderId="1" xfId="0" applyNumberFormat="1" applyFont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43" fontId="5" fillId="0" borderId="23" xfId="0" applyNumberFormat="1" applyFont="1" applyBorder="1" applyAlignment="1">
      <alignment horizontal="center"/>
    </xf>
    <xf numFmtId="171" fontId="5" fillId="0" borderId="0" xfId="0" applyFont="1" applyAlignment="1">
      <alignment horizontal="left"/>
    </xf>
    <xf numFmtId="171" fontId="5" fillId="0" borderId="0" xfId="0" quotePrefix="1" applyFont="1" applyAlignment="1">
      <alignment horizontal="left" vertical="top"/>
    </xf>
    <xf numFmtId="172" fontId="5" fillId="0" borderId="0" xfId="0" applyNumberFormat="1" applyFont="1"/>
    <xf numFmtId="1" fontId="5" fillId="0" borderId="10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ill="1"/>
    <xf numFmtId="172" fontId="5" fillId="6" borderId="0" xfId="24" applyNumberFormat="1" applyFill="1"/>
    <xf numFmtId="44" fontId="5" fillId="0" borderId="0" xfId="2" applyFont="1"/>
    <xf numFmtId="171" fontId="5" fillId="0" borderId="3" xfId="24" applyBorder="1"/>
    <xf numFmtId="171" fontId="5" fillId="0" borderId="4" xfId="24" applyBorder="1"/>
    <xf numFmtId="171" fontId="5" fillId="6" borderId="0" xfId="24" applyFill="1"/>
    <xf numFmtId="171" fontId="5" fillId="0" borderId="0" xfId="24" applyAlignment="1">
      <alignment horizontal="center" wrapText="1"/>
    </xf>
    <xf numFmtId="171" fontId="8" fillId="0" borderId="0" xfId="24" quotePrefix="1" applyFont="1" applyAlignment="1">
      <alignment horizontal="center" wrapText="1"/>
    </xf>
    <xf numFmtId="171" fontId="5" fillId="12" borderId="0" xfId="24" applyFill="1"/>
    <xf numFmtId="173" fontId="5" fillId="0" borderId="0" xfId="24" applyNumberFormat="1"/>
    <xf numFmtId="164" fontId="5" fillId="0" borderId="0" xfId="1" applyNumberFormat="1" applyFont="1" applyFill="1"/>
    <xf numFmtId="43" fontId="5" fillId="0" borderId="0" xfId="1" applyFont="1" applyFill="1"/>
    <xf numFmtId="10" fontId="0" fillId="0" borderId="0" xfId="8" applyNumberFormat="1" applyFont="1"/>
    <xf numFmtId="171" fontId="0" fillId="0" borderId="0" xfId="0" applyAlignment="1">
      <alignment horizontal="centerContinuous"/>
    </xf>
    <xf numFmtId="171" fontId="4" fillId="0" borderId="0" xfId="0" applyFont="1" applyAlignment="1">
      <alignment horizontal="right"/>
    </xf>
    <xf numFmtId="171" fontId="4" fillId="0" borderId="5" xfId="0" applyFont="1" applyBorder="1" applyAlignment="1">
      <alignment horizontal="centerContinuous" wrapText="1"/>
    </xf>
    <xf numFmtId="171" fontId="9" fillId="0" borderId="6" xfId="0" applyFont="1" applyBorder="1" applyAlignment="1">
      <alignment horizontal="centerContinuous"/>
    </xf>
    <xf numFmtId="171" fontId="8" fillId="0" borderId="0" xfId="0" quotePrefix="1" applyFont="1" applyAlignment="1">
      <alignment horizontal="center"/>
    </xf>
    <xf numFmtId="6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5" applyNumberFormat="1" applyFont="1"/>
    <xf numFmtId="165" fontId="0" fillId="0" borderId="0" xfId="5" applyNumberFormat="1" applyFont="1" applyAlignment="1">
      <alignment horizontal="center"/>
    </xf>
    <xf numFmtId="171" fontId="0" fillId="0" borderId="0" xfId="5" applyFont="1"/>
    <xf numFmtId="181" fontId="0" fillId="0" borderId="0" xfId="0" applyNumberFormat="1"/>
    <xf numFmtId="41" fontId="0" fillId="0" borderId="0" xfId="4" applyFont="1"/>
    <xf numFmtId="171" fontId="0" fillId="0" borderId="0" xfId="0" applyAlignment="1">
      <alignment horizontal="center"/>
    </xf>
    <xf numFmtId="41" fontId="0" fillId="0" borderId="0" xfId="5" applyNumberFormat="1" applyFont="1"/>
    <xf numFmtId="171" fontId="4" fillId="0" borderId="17" xfId="0" applyFont="1" applyBorder="1" applyAlignment="1">
      <alignment horizontal="centerContinuous"/>
    </xf>
    <xf numFmtId="171" fontId="4" fillId="0" borderId="24" xfId="0" applyFont="1" applyBorder="1" applyAlignment="1">
      <alignment horizontal="centerContinuous"/>
    </xf>
    <xf numFmtId="171" fontId="0" fillId="0" borderId="18" xfId="0" applyBorder="1" applyAlignment="1">
      <alignment horizontal="centerContinuous"/>
    </xf>
    <xf numFmtId="171" fontId="4" fillId="0" borderId="7" xfId="0" applyFont="1" applyBorder="1" applyAlignment="1">
      <alignment horizontal="centerContinuous"/>
    </xf>
    <xf numFmtId="171" fontId="4" fillId="0" borderId="9" xfId="0" applyFont="1" applyBorder="1" applyAlignment="1">
      <alignment horizontal="centerContinuous"/>
    </xf>
    <xf numFmtId="171" fontId="4" fillId="0" borderId="7" xfId="0" applyFont="1" applyBorder="1" applyAlignment="1">
      <alignment horizontal="center"/>
    </xf>
    <xf numFmtId="41" fontId="0" fillId="0" borderId="0" xfId="0" applyNumberFormat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Border="1" applyAlignment="1">
      <alignment horizontal="centerContinuous"/>
    </xf>
    <xf numFmtId="171" fontId="0" fillId="0" borderId="0" xfId="5" applyFont="1" applyAlignment="1">
      <alignment horizontal="left"/>
    </xf>
    <xf numFmtId="171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71" fontId="36" fillId="0" borderId="0" xfId="0" applyFont="1"/>
    <xf numFmtId="173" fontId="36" fillId="0" borderId="0" xfId="0" applyNumberFormat="1" applyFont="1"/>
    <xf numFmtId="43" fontId="36" fillId="0" borderId="0" xfId="2" applyNumberFormat="1" applyFont="1" applyFill="1"/>
    <xf numFmtId="164" fontId="36" fillId="0" borderId="0" xfId="0" applyNumberFormat="1" applyFont="1" applyAlignment="1">
      <alignment horizontal="center"/>
    </xf>
    <xf numFmtId="167" fontId="0" fillId="0" borderId="0" xfId="0" applyNumberFormat="1"/>
    <xf numFmtId="164" fontId="0" fillId="0" borderId="0" xfId="0" applyNumberFormat="1"/>
    <xf numFmtId="164" fontId="8" fillId="0" borderId="0" xfId="0" applyNumberFormat="1" applyFont="1" applyAlignment="1">
      <alignment horizontal="right"/>
    </xf>
    <xf numFmtId="171" fontId="4" fillId="0" borderId="3" xfId="5" applyFont="1" applyBorder="1" applyAlignment="1">
      <alignment horizontal="centerContinuous"/>
    </xf>
    <xf numFmtId="171" fontId="0" fillId="0" borderId="9" xfId="0" applyBorder="1" applyAlignment="1">
      <alignment horizontal="centerContinuous"/>
    </xf>
    <xf numFmtId="171" fontId="0" fillId="0" borderId="4" xfId="0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/>
    <xf numFmtId="9" fontId="0" fillId="0" borderId="0" xfId="0" applyNumberFormat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ill="1"/>
    <xf numFmtId="174" fontId="0" fillId="6" borderId="0" xfId="0" applyNumberFormat="1" applyFill="1"/>
    <xf numFmtId="8" fontId="36" fillId="6" borderId="0" xfId="2" applyNumberFormat="1" applyFont="1" applyFill="1"/>
    <xf numFmtId="9" fontId="0" fillId="6" borderId="0" xfId="0" applyNumberFormat="1" applyFill="1"/>
    <xf numFmtId="164" fontId="0" fillId="6" borderId="0" xfId="0" applyNumberFormat="1" applyFill="1"/>
    <xf numFmtId="165" fontId="5" fillId="6" borderId="0" xfId="24" applyNumberFormat="1" applyFill="1" applyAlignment="1">
      <alignment horizontal="center"/>
    </xf>
    <xf numFmtId="182" fontId="5" fillId="6" borderId="0" xfId="1" applyNumberFormat="1" applyFont="1" applyFill="1"/>
    <xf numFmtId="8" fontId="5" fillId="11" borderId="0" xfId="24" applyNumberFormat="1" applyFill="1"/>
    <xf numFmtId="0" fontId="4" fillId="0" borderId="0" xfId="24" applyNumberFormat="1" applyFont="1"/>
    <xf numFmtId="8" fontId="4" fillId="0" borderId="0" xfId="24" applyNumberFormat="1" applyFont="1"/>
    <xf numFmtId="171" fontId="4" fillId="0" borderId="0" xfId="0" applyFont="1"/>
    <xf numFmtId="171" fontId="0" fillId="11" borderId="0" xfId="0" applyFill="1"/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/>
    <xf numFmtId="8" fontId="5" fillId="6" borderId="0" xfId="24" applyNumberFormat="1" applyFill="1"/>
    <xf numFmtId="171" fontId="0" fillId="0" borderId="0" xfId="0" applyAlignment="1">
      <alignment horizontal="right"/>
    </xf>
    <xf numFmtId="171" fontId="0" fillId="14" borderId="0" xfId="0" applyFill="1"/>
    <xf numFmtId="10" fontId="5" fillId="0" borderId="0" xfId="8" applyNumberFormat="1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8" fontId="5" fillId="6" borderId="0" xfId="24" applyNumberFormat="1" applyFill="1" applyAlignment="1">
      <alignment horizontal="right"/>
    </xf>
    <xf numFmtId="171" fontId="0" fillId="0" borderId="0" xfId="24" applyFont="1"/>
    <xf numFmtId="172" fontId="5" fillId="0" borderId="0" xfId="2" applyNumberFormat="1" applyFont="1" applyFill="1"/>
    <xf numFmtId="172" fontId="5" fillId="6" borderId="0" xfId="24" applyNumberFormat="1" applyFill="1" applyAlignment="1">
      <alignment horizontal="right"/>
    </xf>
    <xf numFmtId="166" fontId="0" fillId="6" borderId="0" xfId="0" applyNumberForma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Alignment="1">
      <alignment horizontal="center"/>
    </xf>
    <xf numFmtId="44" fontId="0" fillId="6" borderId="0" xfId="2" applyFont="1" applyFill="1"/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171" fontId="4" fillId="0" borderId="9" xfId="5" applyFont="1" applyBorder="1" applyAlignment="1">
      <alignment horizontal="centerContinuous"/>
    </xf>
    <xf numFmtId="172" fontId="0" fillId="0" borderId="0" xfId="5" applyNumberFormat="1" applyFont="1"/>
    <xf numFmtId="184" fontId="5" fillId="6" borderId="0" xfId="24" applyNumberFormat="1" applyFill="1" applyAlignment="1">
      <alignment horizontal="right"/>
    </xf>
    <xf numFmtId="8" fontId="0" fillId="6" borderId="0" xfId="0" applyNumberFormat="1" applyFill="1" applyAlignment="1">
      <alignment horizontal="right"/>
    </xf>
    <xf numFmtId="8" fontId="5" fillId="15" borderId="0" xfId="24" applyNumberForma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/>
    <xf numFmtId="8" fontId="32" fillId="0" borderId="0" xfId="24" applyNumberFormat="1" applyFont="1"/>
    <xf numFmtId="8" fontId="32" fillId="6" borderId="0" xfId="24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4" fontId="5" fillId="0" borderId="0" xfId="24" applyNumberFormat="1"/>
    <xf numFmtId="167" fontId="5" fillId="0" borderId="0" xfId="24" applyNumberFormat="1"/>
    <xf numFmtId="183" fontId="5" fillId="0" borderId="0" xfId="24" applyNumberFormat="1" applyAlignment="1">
      <alignment horizontal="right"/>
    </xf>
    <xf numFmtId="184" fontId="5" fillId="0" borderId="0" xfId="24" applyNumberFormat="1" applyAlignment="1">
      <alignment horizontal="right"/>
    </xf>
    <xf numFmtId="44" fontId="0" fillId="0" borderId="0" xfId="0" applyNumberFormat="1"/>
    <xf numFmtId="44" fontId="0" fillId="0" borderId="0" xfId="2" applyFont="1" applyFill="1"/>
    <xf numFmtId="44" fontId="5" fillId="0" borderId="0" xfId="24" applyNumberFormat="1" applyAlignment="1">
      <alignment horizontal="right"/>
    </xf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41" fontId="0" fillId="0" borderId="0" xfId="11" applyFont="1" applyAlignment="1">
      <alignment horizontal="center" wrapText="1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40" fillId="0" borderId="0" xfId="11" applyNumberFormat="1" applyFont="1" applyAlignment="1">
      <alignment horizontal="centerContinuous"/>
    </xf>
    <xf numFmtId="8" fontId="0" fillId="0" borderId="2" xfId="11" applyNumberFormat="1" applyFont="1" applyBorder="1" applyAlignment="1">
      <alignment horizontal="center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9" fontId="5" fillId="0" borderId="0" xfId="8" applyFont="1"/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167" fontId="5" fillId="0" borderId="0" xfId="8" applyNumberFormat="1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171" fontId="5" fillId="0" borderId="0" xfId="0" applyFont="1" applyAlignment="1">
      <alignment horizontal="center" vertical="top"/>
    </xf>
    <xf numFmtId="171" fontId="5" fillId="0" borderId="0" xfId="0" applyFont="1" applyAlignment="1">
      <alignment horizontal="center"/>
    </xf>
    <xf numFmtId="171" fontId="4" fillId="0" borderId="0" xfId="0" applyFont="1" applyAlignment="1">
      <alignment horizontal="center"/>
    </xf>
    <xf numFmtId="165" fontId="0" fillId="0" borderId="0" xfId="24" applyNumberFormat="1" applyFont="1" applyAlignment="1">
      <alignment horizontal="center" vertical="top" wrapText="1"/>
    </xf>
    <xf numFmtId="165" fontId="5" fillId="0" borderId="0" xfId="24" applyNumberFormat="1" applyAlignment="1">
      <alignment horizontal="center" vertical="top" wrapText="1"/>
    </xf>
    <xf numFmtId="171" fontId="4" fillId="0" borderId="3" xfId="24" applyFont="1" applyBorder="1" applyAlignment="1">
      <alignment horizontal="center"/>
    </xf>
    <xf numFmtId="171" fontId="4" fillId="0" borderId="9" xfId="24" applyFont="1" applyBorder="1" applyAlignment="1">
      <alignment horizontal="center"/>
    </xf>
    <xf numFmtId="171" fontId="4" fillId="0" borderId="4" xfId="24" applyFont="1" applyBorder="1" applyAlignment="1">
      <alignment horizontal="center"/>
    </xf>
    <xf numFmtId="171" fontId="4" fillId="0" borderId="3" xfId="24" applyFont="1" applyBorder="1" applyAlignment="1">
      <alignment horizontal="left" vertical="top"/>
    </xf>
    <xf numFmtId="171" fontId="4" fillId="0" borderId="9" xfId="24" applyFont="1" applyBorder="1" applyAlignment="1">
      <alignment horizontal="left" vertical="top"/>
    </xf>
    <xf numFmtId="171" fontId="4" fillId="0" borderId="4" xfId="24" applyFont="1" applyBorder="1" applyAlignment="1">
      <alignment horizontal="left" vertical="top"/>
    </xf>
  </cellXfs>
  <cellStyles count="32">
    <cellStyle name="Comma" xfId="1" builtinId="3"/>
    <cellStyle name="Comma 2" xfId="14" xr:uid="{00000000-0005-0000-0000-000001000000}"/>
    <cellStyle name="Comma 3" xfId="28" xr:uid="{00000000-0005-0000-0000-000002000000}"/>
    <cellStyle name="Currency" xfId="2" builtinId="4"/>
    <cellStyle name="Currency 2" xfId="15" xr:uid="{00000000-0005-0000-0000-000004000000}"/>
    <cellStyle name="Currency No Comma" xfId="16" xr:uid="{00000000-0005-0000-0000-000005000000}"/>
    <cellStyle name="Hyperlink" xfId="27" builtinId="8"/>
    <cellStyle name="Input" xfId="3" builtinId="20" customBuiltin="1"/>
    <cellStyle name="MCP" xfId="17" xr:uid="{00000000-0005-0000-0000-000008000000}"/>
    <cellStyle name="noninput" xfId="18" xr:uid="{00000000-0005-0000-0000-000009000000}"/>
    <cellStyle name="Normal" xfId="0" builtinId="0" customBuiltin="1"/>
    <cellStyle name="Normal 176" xfId="29" xr:uid="{00000000-0005-0000-0000-00000B000000}"/>
    <cellStyle name="Normal 2" xfId="9" xr:uid="{00000000-0005-0000-0000-00000C000000}"/>
    <cellStyle name="Normal 2 2" xfId="13" xr:uid="{00000000-0005-0000-0000-00000D000000}"/>
    <cellStyle name="Normal 3" xfId="10" xr:uid="{00000000-0005-0000-0000-00000E000000}"/>
    <cellStyle name="Normal 3 2" xfId="26" xr:uid="{00000000-0005-0000-0000-00000F000000}"/>
    <cellStyle name="Normal 5" xfId="12" xr:uid="{00000000-0005-0000-0000-000010000000}"/>
    <cellStyle name="Normal_Book1" xfId="30" xr:uid="{D3489703-B45D-4570-8943-D390DE335C88}"/>
    <cellStyle name="Normal_DRR AC Study - Utah Valley - 53 MW 90 CF (2.28.2005)" xfId="4" xr:uid="{00000000-0005-0000-0000-000011000000}"/>
    <cellStyle name="Normal_Exhibit GND-1 - 5.24.2005" xfId="31" xr:uid="{94DCEE7B-034B-4D27-A583-5218C064547D}"/>
    <cellStyle name="Normal_INF_06_03_07" xfId="25" xr:uid="{00000000-0005-0000-0000-000012000000}"/>
    <cellStyle name="Normal_OR AC Sch 37 - AC  Study (Gold) _2009 06 19" xfId="5" xr:uid="{00000000-0005-0000-0000-000013000000}"/>
    <cellStyle name="Normal_T-INF-10-15-04-TEMPLATE" xfId="6" xr:uid="{00000000-0005-0000-0000-000014000000}"/>
    <cellStyle name="Normal_UT 2008.Q2 - Compliance - Appendix B - AC Study_2008 08 05" xfId="11" xr:uid="{00000000-0005-0000-0000-000015000000}"/>
    <cellStyle name="Normal_UT AC 2004 - AC Study (As Ordered by Commission)" xfId="7" xr:uid="{00000000-0005-0000-0000-000016000000}"/>
    <cellStyle name="Normal_WY AC 2009 - AC Study (Wind Study)_2009 08 11" xfId="24" xr:uid="{00000000-0005-0000-0000-000017000000}"/>
    <cellStyle name="Password" xfId="19" xr:uid="{00000000-0005-0000-0000-000018000000}"/>
    <cellStyle name="Percent" xfId="8" builtinId="5"/>
    <cellStyle name="Percent 2" xfId="23" xr:uid="{00000000-0005-0000-0000-00001A000000}"/>
    <cellStyle name="Unprot" xfId="20" xr:uid="{00000000-0005-0000-0000-00001B000000}"/>
    <cellStyle name="Unprot$" xfId="21" xr:uid="{00000000-0005-0000-0000-00001C000000}"/>
    <cellStyle name="Unprotect" xfId="22" xr:uid="{00000000-0005-0000-0000-00001D000000}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112%20-%20UT2022Q3%20-%20UT%20-%202022%20Sep\Sch38%20Filing\4_Appendix%20B.1%20-%20UT%202022.Q3%20-%20AC%20Study%20NON-CONF%20Th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22-035-36%20RMP%20Q4%202022%20-%20Appendix%20B%20and%20C%20(3-28-23).zip\4_Appendix%20B.2%20-%20UT%202022.Q4%20-%20AC%20Study%20NON-CONF%20S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112%20-%20UT2022Q3%20-%20UT%20-%202022%20Sep\Sch38%20Filing\4_Appendix%20B.2%20-%20UT%202022.Q3%20-%20AC%20Study%20NON-CONF%20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112%20-%20UT2022Q3%20-%20UT%20-%202022%20Sep\Sch38%20Filing\4_Appendix%20B.3%20-%20UT%202022.Q3%20-%20AC%20Study%20NON-CONF%20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66%20-%20UT2021Q2%20-%20UT%20-%202021%20Aug\Sch%2038%20Filing\4_Appendix%20B.1%20-%20UT%202021.Q2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sch%2038%20filing\4_Appendix%20B.1%20-%20UT%202019.Q4%20-%20AC%20Study%20NON-CONF%20Therm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22-035-36%20RMP%20Q4%202022%20-%20Appendix%20B%20and%20C%20(3-28-23).zip\4_Appendix%20B.1%20-%20UT%202022.Q4%20-%20AC%20Study%20NON-CONF%20T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  <sheetName val="4_Appendix B.1 - UT 2022"/>
    </sheetNames>
    <sheetDataSet>
      <sheetData sheetId="0"/>
      <sheetData sheetId="1">
        <row r="13">
          <cell r="B13">
            <v>2023</v>
          </cell>
          <cell r="C13">
            <v>0</v>
          </cell>
          <cell r="D13"/>
          <cell r="E13">
            <v>57.74561167213816</v>
          </cell>
          <cell r="F13"/>
          <cell r="G13">
            <v>57.74561167213816</v>
          </cell>
        </row>
        <row r="14">
          <cell r="B14">
            <v>2024</v>
          </cell>
          <cell r="C14">
            <v>0</v>
          </cell>
          <cell r="D14"/>
          <cell r="E14">
            <v>62.708353566421088</v>
          </cell>
          <cell r="F14"/>
          <cell r="G14">
            <v>62.708353566421088</v>
          </cell>
        </row>
        <row r="15">
          <cell r="B15">
            <v>2025</v>
          </cell>
          <cell r="C15">
            <v>0</v>
          </cell>
          <cell r="D15"/>
          <cell r="E15">
            <v>46.948264956281442</v>
          </cell>
          <cell r="F15"/>
          <cell r="G15">
            <v>46.948264956281442</v>
          </cell>
        </row>
        <row r="16">
          <cell r="B16">
            <v>2026</v>
          </cell>
          <cell r="C16">
            <v>0</v>
          </cell>
          <cell r="D16"/>
          <cell r="E16">
            <v>50.152451009398149</v>
          </cell>
          <cell r="F16"/>
          <cell r="G16">
            <v>50.152451009398149</v>
          </cell>
        </row>
        <row r="17">
          <cell r="B17">
            <v>2027</v>
          </cell>
          <cell r="C17">
            <v>0</v>
          </cell>
          <cell r="D17"/>
          <cell r="E17">
            <v>46.047198460027438</v>
          </cell>
          <cell r="F17"/>
          <cell r="G17">
            <v>46.047198460027438</v>
          </cell>
        </row>
        <row r="18">
          <cell r="B18">
            <v>2028</v>
          </cell>
          <cell r="C18">
            <v>0</v>
          </cell>
          <cell r="D18"/>
          <cell r="E18">
            <v>44.735229396536688</v>
          </cell>
          <cell r="F18"/>
          <cell r="G18">
            <v>44.735229396536688</v>
          </cell>
        </row>
        <row r="19">
          <cell r="B19">
            <v>2029</v>
          </cell>
          <cell r="C19">
            <v>0</v>
          </cell>
          <cell r="D19"/>
          <cell r="E19">
            <v>45.050089763680276</v>
          </cell>
          <cell r="F19"/>
          <cell r="G19">
            <v>45.050089763680276</v>
          </cell>
        </row>
        <row r="20">
          <cell r="B20">
            <v>2030</v>
          </cell>
          <cell r="C20">
            <v>0</v>
          </cell>
          <cell r="D20"/>
          <cell r="E20">
            <v>41.25426463059123</v>
          </cell>
          <cell r="F20"/>
          <cell r="G20">
            <v>41.25426463059123</v>
          </cell>
        </row>
        <row r="21">
          <cell r="B21">
            <v>2031</v>
          </cell>
          <cell r="C21">
            <v>119.28815572074085</v>
          </cell>
          <cell r="D21"/>
          <cell r="E21">
            <v>34.767732822804177</v>
          </cell>
          <cell r="F21"/>
          <cell r="G21">
            <v>48.385102197317977</v>
          </cell>
        </row>
        <row r="22">
          <cell r="B22">
            <v>2032</v>
          </cell>
          <cell r="C22">
            <v>121.85224839400429</v>
          </cell>
          <cell r="D22"/>
          <cell r="E22">
            <v>33.836612360707733</v>
          </cell>
          <cell r="F22"/>
          <cell r="G22">
            <v>47.708680711573443</v>
          </cell>
        </row>
        <row r="23">
          <cell r="B23">
            <v>2033</v>
          </cell>
          <cell r="C23">
            <v>124.47537473233405</v>
          </cell>
          <cell r="D23"/>
          <cell r="E23">
            <v>33.620614758863248</v>
          </cell>
          <cell r="F23"/>
          <cell r="G23">
            <v>47.830132422371697</v>
          </cell>
        </row>
        <row r="24">
          <cell r="B24">
            <v>2034</v>
          </cell>
          <cell r="C24">
            <v>127.1627408993576</v>
          </cell>
          <cell r="D24"/>
          <cell r="E24">
            <v>31.833496823653203</v>
          </cell>
          <cell r="F24"/>
          <cell r="G24">
            <v>46.349791446867549</v>
          </cell>
        </row>
        <row r="25">
          <cell r="B25">
            <v>2035</v>
          </cell>
          <cell r="C25">
            <v>129.90364025695931</v>
          </cell>
          <cell r="D25"/>
          <cell r="E25">
            <v>33.124953904421652</v>
          </cell>
          <cell r="F25"/>
          <cell r="G25">
            <v>47.954136582156735</v>
          </cell>
        </row>
        <row r="26">
          <cell r="B26">
            <v>2036</v>
          </cell>
          <cell r="C26">
            <v>132.69807280513919</v>
          </cell>
          <cell r="D26"/>
          <cell r="E26">
            <v>35.345191854541298</v>
          </cell>
          <cell r="F26"/>
          <cell r="G26">
            <v>50.451985206674635</v>
          </cell>
        </row>
        <row r="27">
          <cell r="B27">
            <v>2037</v>
          </cell>
          <cell r="C27">
            <v>135.55674518201286</v>
          </cell>
          <cell r="D27"/>
          <cell r="E27">
            <v>42.840446127538847</v>
          </cell>
          <cell r="F27"/>
          <cell r="G27">
            <v>58.314960417722951</v>
          </cell>
        </row>
        <row r="28">
          <cell r="B28">
            <v>2038</v>
          </cell>
          <cell r="C28">
            <v>138.46895074946465</v>
          </cell>
          <cell r="D28"/>
          <cell r="E28">
            <v>43.626009865225811</v>
          </cell>
          <cell r="F28"/>
          <cell r="G28">
            <v>59.432967713338208</v>
          </cell>
        </row>
        <row r="29">
          <cell r="B29">
            <v>2039</v>
          </cell>
          <cell r="C29">
            <v>141.45610278372592</v>
          </cell>
          <cell r="D29"/>
          <cell r="E29">
            <v>43.407482752716469</v>
          </cell>
          <cell r="F29"/>
          <cell r="G29">
            <v>59.555439691497959</v>
          </cell>
        </row>
        <row r="30">
          <cell r="B30">
            <v>2040</v>
          </cell>
          <cell r="C30">
            <v>144.50749464668095</v>
          </cell>
          <cell r="D30"/>
          <cell r="E30">
            <v>44.998109174967965</v>
          </cell>
          <cell r="F30"/>
          <cell r="G30">
            <v>61.449326689389743</v>
          </cell>
        </row>
        <row r="31">
          <cell r="B31">
            <v>2041</v>
          </cell>
          <cell r="C31" t="e">
            <v>#N/A</v>
          </cell>
          <cell r="D31"/>
          <cell r="E31" t="e">
            <v>#DIV/0!</v>
          </cell>
          <cell r="F31"/>
          <cell r="G31" t="e">
            <v>#DIV/0!</v>
          </cell>
        </row>
        <row r="32">
          <cell r="B32">
            <v>2042</v>
          </cell>
          <cell r="C32" t="e">
            <v>#N/A</v>
          </cell>
          <cell r="D32"/>
          <cell r="E32" t="e">
            <v>#VALUE!</v>
          </cell>
          <cell r="F32"/>
          <cell r="G32" t="e">
            <v>#VALUE!</v>
          </cell>
        </row>
        <row r="33">
          <cell r="B33">
            <v>2043</v>
          </cell>
          <cell r="C33" t="e">
            <v>#N/A</v>
          </cell>
          <cell r="D33"/>
          <cell r="E33" t="e">
            <v>#VALUE!</v>
          </cell>
          <cell r="F33"/>
          <cell r="G33" t="e">
            <v>#VALUE!</v>
          </cell>
        </row>
        <row r="34">
          <cell r="B34">
            <v>2044</v>
          </cell>
          <cell r="C34" t="e">
            <v>#N/A</v>
          </cell>
          <cell r="D34"/>
          <cell r="E34" t="e">
            <v>#VALUE!</v>
          </cell>
          <cell r="F34"/>
          <cell r="G34" t="e">
            <v>#VALUE!</v>
          </cell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7">
          <cell r="B37"/>
          <cell r="C37"/>
          <cell r="D37"/>
          <cell r="E37"/>
          <cell r="F37"/>
          <cell r="G37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0">
          <cell r="G50">
            <v>49.81874197604008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2023</v>
          </cell>
          <cell r="C13">
            <v>0</v>
          </cell>
          <cell r="E13">
            <v>35.448753283843061</v>
          </cell>
          <cell r="G13">
            <v>35.448753283843061</v>
          </cell>
        </row>
        <row r="14">
          <cell r="B14">
            <v>2024</v>
          </cell>
          <cell r="C14">
            <v>0</v>
          </cell>
          <cell r="E14">
            <v>37.356768403069928</v>
          </cell>
          <cell r="G14">
            <v>37.356768403069928</v>
          </cell>
        </row>
        <row r="15">
          <cell r="B15">
            <v>2025</v>
          </cell>
          <cell r="C15">
            <v>0</v>
          </cell>
          <cell r="E15">
            <v>25.564488657397543</v>
          </cell>
          <cell r="G15">
            <v>25.564488657397543</v>
          </cell>
        </row>
        <row r="16">
          <cell r="B16">
            <v>2026</v>
          </cell>
          <cell r="C16">
            <v>39.689546807250075</v>
          </cell>
          <cell r="E16">
            <v>13.668575577377474</v>
          </cell>
          <cell r="G16">
            <v>28.003532154511859</v>
          </cell>
        </row>
        <row r="17">
          <cell r="B17">
            <v>2027</v>
          </cell>
          <cell r="C17">
            <v>40.545707930729264</v>
          </cell>
          <cell r="E17">
            <v>14.02275194431737</v>
          </cell>
          <cell r="G17">
            <v>28.740523210231771</v>
          </cell>
        </row>
        <row r="18">
          <cell r="B18">
            <v>2028</v>
          </cell>
          <cell r="C18">
            <v>41.420901674329258</v>
          </cell>
          <cell r="E18">
            <v>16.769672691979149</v>
          </cell>
          <cell r="G18">
            <v>31.839444141124385</v>
          </cell>
        </row>
        <row r="19">
          <cell r="B19">
            <v>2029</v>
          </cell>
          <cell r="C19">
            <v>42.312754658955456</v>
          </cell>
          <cell r="E19">
            <v>17.987473576782925</v>
          </cell>
          <cell r="G19">
            <v>33.50142047126463</v>
          </cell>
        </row>
        <row r="20">
          <cell r="B20">
            <v>2030</v>
          </cell>
          <cell r="C20">
            <v>43.224622076402071</v>
          </cell>
          <cell r="E20">
            <v>18.699719389715586</v>
          </cell>
          <cell r="G20">
            <v>34.627641383560444</v>
          </cell>
        </row>
        <row r="21">
          <cell r="B21">
            <v>2031</v>
          </cell>
          <cell r="C21">
            <v>44.156503926669103</v>
          </cell>
          <cell r="E21">
            <v>18.068550782486401</v>
          </cell>
          <cell r="G21">
            <v>34.421628972807639</v>
          </cell>
        </row>
        <row r="22">
          <cell r="B22">
            <v>2032</v>
          </cell>
          <cell r="C22">
            <v>45.10840020975656</v>
          </cell>
          <cell r="E22">
            <v>13.824471836176295</v>
          </cell>
          <cell r="G22">
            <v>30.568202009519958</v>
          </cell>
        </row>
        <row r="23">
          <cell r="B23">
            <v>2033</v>
          </cell>
          <cell r="C23">
            <v>46.080272019682809</v>
          </cell>
          <cell r="E23">
            <v>17.289570379129866</v>
          </cell>
          <cell r="G23">
            <v>34.527047587961384</v>
          </cell>
        </row>
        <row r="24">
          <cell r="B24">
            <v>2034</v>
          </cell>
          <cell r="C24">
            <v>47.073816405335762</v>
          </cell>
          <cell r="E24">
            <v>17.310837819781469</v>
          </cell>
          <cell r="G24">
            <v>35.008463196501047</v>
          </cell>
        </row>
        <row r="25">
          <cell r="B25">
            <v>2035</v>
          </cell>
          <cell r="C25">
            <v>48.087375223809133</v>
          </cell>
          <cell r="E25">
            <v>18.177019369980524</v>
          </cell>
          <cell r="G25">
            <v>36.346544621777198</v>
          </cell>
        </row>
        <row r="26">
          <cell r="B26">
            <v>2036</v>
          </cell>
          <cell r="C26">
            <v>49.122606618009229</v>
          </cell>
          <cell r="E26">
            <v>21.244234934736653</v>
          </cell>
          <cell r="G26">
            <v>39.84727291346789</v>
          </cell>
        </row>
        <row r="27">
          <cell r="B27">
            <v>2037</v>
          </cell>
          <cell r="C27">
            <v>50.18116873084233</v>
          </cell>
          <cell r="E27">
            <v>22.979710242389125</v>
          </cell>
          <cell r="G27">
            <v>42.131401053494635</v>
          </cell>
        </row>
        <row r="28">
          <cell r="B28">
            <v>2038</v>
          </cell>
          <cell r="C28">
            <v>51.261403419402129</v>
          </cell>
          <cell r="E28">
            <v>21.586339203948665</v>
          </cell>
          <cell r="G28">
            <v>41.248614130956454</v>
          </cell>
        </row>
        <row r="29">
          <cell r="B29">
            <v>2039</v>
          </cell>
          <cell r="C29">
            <v>52.366626969501226</v>
          </cell>
          <cell r="E29">
            <v>22.574425143199761</v>
          </cell>
          <cell r="G29">
            <v>42.761564832715202</v>
          </cell>
        </row>
        <row r="30">
          <cell r="B30">
            <v>2040</v>
          </cell>
          <cell r="C30">
            <v>53.49522014421499</v>
          </cell>
          <cell r="E30">
            <v>22.295038297371896</v>
          </cell>
          <cell r="G30">
            <v>42.964307735674346</v>
          </cell>
        </row>
        <row r="31">
          <cell r="B31">
            <v>2041</v>
          </cell>
          <cell r="C31" t="e">
            <v>#N/A</v>
          </cell>
          <cell r="E31" t="e">
            <v>#DIV/0!</v>
          </cell>
          <cell r="G31" t="e">
            <v>#DIV/0!</v>
          </cell>
        </row>
        <row r="32">
          <cell r="B32">
            <v>2042</v>
          </cell>
          <cell r="C32" t="e">
            <v>#N/A</v>
          </cell>
          <cell r="E32" t="e">
            <v>#VALUE!</v>
          </cell>
          <cell r="G32" t="e">
            <v>#VALUE!</v>
          </cell>
        </row>
        <row r="33">
          <cell r="B33">
            <v>2043</v>
          </cell>
          <cell r="C33" t="e">
            <v>#N/A</v>
          </cell>
          <cell r="E33" t="e">
            <v>#VALUE!</v>
          </cell>
          <cell r="G33" t="e">
            <v>#VALUE!</v>
          </cell>
        </row>
        <row r="34">
          <cell r="B34">
            <v>2044</v>
          </cell>
          <cell r="C34" t="e">
            <v>#N/A</v>
          </cell>
          <cell r="E34" t="e">
            <v>#VALUE!</v>
          </cell>
          <cell r="G34" t="e">
            <v>#VALUE!</v>
          </cell>
        </row>
        <row r="50">
          <cell r="G50">
            <v>33.156438244464653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  <sheetName val="4_Appendix B.2 - UT 2022"/>
    </sheetNames>
    <sheetDataSet>
      <sheetData sheetId="0"/>
      <sheetData sheetId="1">
        <row r="13">
          <cell r="B13">
            <v>2023</v>
          </cell>
          <cell r="C13">
            <v>0</v>
          </cell>
          <cell r="D13"/>
          <cell r="E13">
            <v>33.736977246979883</v>
          </cell>
          <cell r="F13"/>
          <cell r="G13">
            <v>33.736977246979883</v>
          </cell>
        </row>
        <row r="14">
          <cell r="B14">
            <v>2024</v>
          </cell>
          <cell r="C14">
            <v>0</v>
          </cell>
          <cell r="D14"/>
          <cell r="E14">
            <v>35.740065545578098</v>
          </cell>
          <cell r="F14"/>
          <cell r="G14">
            <v>35.740065545578098</v>
          </cell>
        </row>
        <row r="15">
          <cell r="B15">
            <v>2025</v>
          </cell>
          <cell r="C15">
            <v>0</v>
          </cell>
          <cell r="D15"/>
          <cell r="E15">
            <v>24.301774067614112</v>
          </cell>
          <cell r="F15"/>
          <cell r="G15">
            <v>24.301774067614112</v>
          </cell>
        </row>
        <row r="16">
          <cell r="B16">
            <v>2026</v>
          </cell>
          <cell r="C16">
            <v>39.689546807250096</v>
          </cell>
          <cell r="D16"/>
          <cell r="E16">
            <v>16.562561294123853</v>
          </cell>
          <cell r="F16"/>
          <cell r="G16">
            <v>30.897517871258241</v>
          </cell>
        </row>
        <row r="17">
          <cell r="B17">
            <v>2027</v>
          </cell>
          <cell r="C17">
            <v>40.545707930729279</v>
          </cell>
          <cell r="D17"/>
          <cell r="E17">
            <v>15.532891396521189</v>
          </cell>
          <cell r="F17"/>
          <cell r="G17">
            <v>30.250662662435591</v>
          </cell>
        </row>
        <row r="18">
          <cell r="B18">
            <v>2028</v>
          </cell>
          <cell r="C18">
            <v>41.420901674329279</v>
          </cell>
          <cell r="D18"/>
          <cell r="E18">
            <v>16.165260461784346</v>
          </cell>
          <cell r="F18"/>
          <cell r="G18">
            <v>31.235031910929585</v>
          </cell>
        </row>
        <row r="19">
          <cell r="B19">
            <v>2029</v>
          </cell>
          <cell r="C19">
            <v>42.312754658955477</v>
          </cell>
          <cell r="D19"/>
          <cell r="E19">
            <v>17.894713155662444</v>
          </cell>
          <cell r="F19"/>
          <cell r="G19">
            <v>33.408660050144157</v>
          </cell>
        </row>
        <row r="20">
          <cell r="B20">
            <v>2030</v>
          </cell>
          <cell r="C20">
            <v>43.224622076402099</v>
          </cell>
          <cell r="D20"/>
          <cell r="E20">
            <v>17.182235895400773</v>
          </cell>
          <cell r="F20"/>
          <cell r="G20">
            <v>33.110157889245642</v>
          </cell>
        </row>
        <row r="21">
          <cell r="B21">
            <v>2031</v>
          </cell>
          <cell r="C21">
            <v>44.156503926669124</v>
          </cell>
          <cell r="D21"/>
          <cell r="E21">
            <v>15.947127360420591</v>
          </cell>
          <cell r="F21"/>
          <cell r="G21">
            <v>32.300205550741836</v>
          </cell>
        </row>
        <row r="22">
          <cell r="B22">
            <v>2032</v>
          </cell>
          <cell r="C22">
            <v>45.108400209756596</v>
          </cell>
          <cell r="D22"/>
          <cell r="E22">
            <v>11.288491393347503</v>
          </cell>
          <cell r="F22"/>
          <cell r="G22">
            <v>28.032221566691174</v>
          </cell>
        </row>
        <row r="23">
          <cell r="B23">
            <v>2033</v>
          </cell>
          <cell r="C23">
            <v>46.080272019682837</v>
          </cell>
          <cell r="D23"/>
          <cell r="E23">
            <v>15.203148922435778</v>
          </cell>
          <cell r="F23"/>
          <cell r="G23">
            <v>32.440626131267308</v>
          </cell>
        </row>
        <row r="24">
          <cell r="B24">
            <v>2034</v>
          </cell>
          <cell r="C24">
            <v>47.073816405335783</v>
          </cell>
          <cell r="D24"/>
          <cell r="E24">
            <v>14.897380268503634</v>
          </cell>
          <cell r="F24"/>
          <cell r="G24">
            <v>32.595005645223218</v>
          </cell>
        </row>
        <row r="25">
          <cell r="B25">
            <v>2035</v>
          </cell>
          <cell r="C25">
            <v>48.087375223809161</v>
          </cell>
          <cell r="D25"/>
          <cell r="E25">
            <v>15.458566317561894</v>
          </cell>
          <cell r="F25"/>
          <cell r="G25">
            <v>33.628091569358574</v>
          </cell>
        </row>
        <row r="26">
          <cell r="B26">
            <v>2036</v>
          </cell>
          <cell r="C26">
            <v>49.12260661800925</v>
          </cell>
          <cell r="D26"/>
          <cell r="E26">
            <v>18.13037486866553</v>
          </cell>
          <cell r="F26"/>
          <cell r="G26">
            <v>36.733412847396792</v>
          </cell>
        </row>
        <row r="27">
          <cell r="B27">
            <v>2037</v>
          </cell>
          <cell r="C27">
            <v>50.181168730842352</v>
          </cell>
          <cell r="D27"/>
          <cell r="E27">
            <v>18.294925346481826</v>
          </cell>
          <cell r="F27"/>
          <cell r="G27">
            <v>37.446616157587343</v>
          </cell>
        </row>
        <row r="28">
          <cell r="B28">
            <v>2038</v>
          </cell>
          <cell r="C28">
            <v>51.261403419402157</v>
          </cell>
          <cell r="D28"/>
          <cell r="E28">
            <v>16.472813631552043</v>
          </cell>
          <cell r="F28"/>
          <cell r="G28">
            <v>36.135088558559865</v>
          </cell>
        </row>
        <row r="29">
          <cell r="B29">
            <v>2039</v>
          </cell>
          <cell r="C29">
            <v>52.366626969501262</v>
          </cell>
          <cell r="D29"/>
          <cell r="E29">
            <v>17.360405681148613</v>
          </cell>
          <cell r="F29"/>
          <cell r="G29">
            <v>37.547545370664068</v>
          </cell>
        </row>
        <row r="30">
          <cell r="B30">
            <v>2040</v>
          </cell>
          <cell r="C30">
            <v>53.495220144215011</v>
          </cell>
          <cell r="D30"/>
          <cell r="E30">
            <v>19.500562256768152</v>
          </cell>
          <cell r="F30"/>
          <cell r="G30">
            <v>40.169831695070613</v>
          </cell>
        </row>
        <row r="31">
          <cell r="B31">
            <v>2041</v>
          </cell>
          <cell r="C31" t="e">
            <v>#N/A</v>
          </cell>
          <cell r="D31"/>
          <cell r="E31" t="e">
            <v>#DIV/0!</v>
          </cell>
          <cell r="F31"/>
          <cell r="G31" t="e">
            <v>#DIV/0!</v>
          </cell>
        </row>
        <row r="32">
          <cell r="B32">
            <v>2042</v>
          </cell>
          <cell r="C32" t="e">
            <v>#N/A</v>
          </cell>
          <cell r="D32"/>
          <cell r="E32" t="e">
            <v>#DIV/0!</v>
          </cell>
          <cell r="F32"/>
          <cell r="G32" t="e">
            <v>#DIV/0!</v>
          </cell>
        </row>
        <row r="33">
          <cell r="B33">
            <v>2043</v>
          </cell>
          <cell r="C33" t="e">
            <v>#N/A</v>
          </cell>
          <cell r="D33"/>
          <cell r="E33" t="e">
            <v>#DIV/0!</v>
          </cell>
          <cell r="F33"/>
          <cell r="G33" t="e">
            <v>#DIV/0!</v>
          </cell>
        </row>
        <row r="34">
          <cell r="B34">
            <v>2044</v>
          </cell>
          <cell r="C34" t="e">
            <v>#N/A</v>
          </cell>
          <cell r="D34"/>
          <cell r="E34" t="e">
            <v>#DIV/0!</v>
          </cell>
          <cell r="F34"/>
          <cell r="G34" t="e">
            <v>#DIV/0!</v>
          </cell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7">
          <cell r="B37"/>
          <cell r="C37"/>
          <cell r="D37"/>
          <cell r="E37"/>
          <cell r="F37"/>
          <cell r="G37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0">
          <cell r="G50">
            <v>32.007326554480372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  <sheetName val="4_Appendix B.3 - UT 2022"/>
    </sheetNames>
    <sheetDataSet>
      <sheetData sheetId="0"/>
      <sheetData sheetId="1">
        <row r="13">
          <cell r="B13">
            <v>2023</v>
          </cell>
          <cell r="C13">
            <v>0</v>
          </cell>
          <cell r="D13"/>
          <cell r="E13">
            <v>49.250659483649656</v>
          </cell>
          <cell r="F13"/>
          <cell r="G13">
            <v>49.250659483649656</v>
          </cell>
        </row>
        <row r="14">
          <cell r="B14">
            <v>2024</v>
          </cell>
          <cell r="C14">
            <v>0</v>
          </cell>
          <cell r="D14"/>
          <cell r="E14">
            <v>55.71243250749248</v>
          </cell>
          <cell r="F14"/>
          <cell r="G14">
            <v>55.71243250749248</v>
          </cell>
        </row>
        <row r="15">
          <cell r="B15">
            <v>2025</v>
          </cell>
          <cell r="C15">
            <v>0</v>
          </cell>
          <cell r="D15"/>
          <cell r="E15">
            <v>41.166183399705055</v>
          </cell>
          <cell r="F15"/>
          <cell r="G15">
            <v>41.166183399705055</v>
          </cell>
        </row>
        <row r="16">
          <cell r="B16">
            <v>2026</v>
          </cell>
          <cell r="C16">
            <v>87.983796211214241</v>
          </cell>
          <cell r="D16"/>
          <cell r="E16">
            <v>1.2617227834510385</v>
          </cell>
          <cell r="F16"/>
          <cell r="G16">
            <v>35.36073129280355</v>
          </cell>
        </row>
        <row r="17">
          <cell r="B17">
            <v>2027</v>
          </cell>
          <cell r="C17">
            <v>89.879736661290622</v>
          </cell>
          <cell r="D17"/>
          <cell r="E17">
            <v>-1.033668530693364</v>
          </cell>
          <cell r="F17"/>
          <cell r="G17">
            <v>33.800130841571907</v>
          </cell>
        </row>
        <row r="18">
          <cell r="B18">
            <v>2028</v>
          </cell>
          <cell r="C18">
            <v>91.813078636275478</v>
          </cell>
          <cell r="D18"/>
          <cell r="E18">
            <v>-1.9596216119878465</v>
          </cell>
          <cell r="F18"/>
          <cell r="G18">
            <v>33.515961154232564</v>
          </cell>
        </row>
        <row r="19">
          <cell r="B19">
            <v>2029</v>
          </cell>
          <cell r="C19">
            <v>93.796935484715974</v>
          </cell>
          <cell r="D19"/>
          <cell r="E19">
            <v>-1.2863899474469391</v>
          </cell>
          <cell r="F19"/>
          <cell r="G19">
            <v>35.065559377022645</v>
          </cell>
        </row>
        <row r="20">
          <cell r="B20">
            <v>2030</v>
          </cell>
          <cell r="C20">
            <v>95.817530422942426</v>
          </cell>
          <cell r="D20"/>
          <cell r="E20">
            <v>-2.4727953938231075</v>
          </cell>
          <cell r="F20"/>
          <cell r="G20">
            <v>34.662255898958179</v>
          </cell>
        </row>
        <row r="21">
          <cell r="B21">
            <v>2031</v>
          </cell>
          <cell r="C21">
            <v>97.879455712178043</v>
          </cell>
          <cell r="D21"/>
          <cell r="E21">
            <v>-2.6602472902285959</v>
          </cell>
          <cell r="F21"/>
          <cell r="G21">
            <v>35.273923965670775</v>
          </cell>
        </row>
        <row r="22">
          <cell r="B22">
            <v>2032</v>
          </cell>
          <cell r="C22">
            <v>99.987303613646077</v>
          </cell>
          <cell r="D22"/>
          <cell r="E22">
            <v>-5.4617018594306259</v>
          </cell>
          <cell r="F22"/>
          <cell r="G22">
            <v>33.172313224294527</v>
          </cell>
        </row>
        <row r="23">
          <cell r="B23">
            <v>2033</v>
          </cell>
          <cell r="C23">
            <v>102.14107412734651</v>
          </cell>
          <cell r="D23"/>
          <cell r="E23">
            <v>-4.5276260163754083</v>
          </cell>
          <cell r="F23"/>
          <cell r="G23">
            <v>35.058178481781361</v>
          </cell>
        </row>
        <row r="24">
          <cell r="B24">
            <v>2034</v>
          </cell>
          <cell r="C24">
            <v>104.34535951450263</v>
          </cell>
          <cell r="D24"/>
          <cell r="E24">
            <v>-5.6774505099800647</v>
          </cell>
          <cell r="F24"/>
          <cell r="G24">
            <v>34.76264704451674</v>
          </cell>
        </row>
        <row r="25">
          <cell r="B25">
            <v>2035</v>
          </cell>
          <cell r="C25">
            <v>106.59097525266793</v>
          </cell>
          <cell r="D25"/>
          <cell r="E25">
            <v>-5.6109695749751065</v>
          </cell>
          <cell r="F25"/>
          <cell r="G25">
            <v>35.699439030668145</v>
          </cell>
        </row>
        <row r="26">
          <cell r="B26">
            <v>2036</v>
          </cell>
          <cell r="C26">
            <v>108.8871058642889</v>
          </cell>
          <cell r="D26"/>
          <cell r="E26">
            <v>10.389039422102012</v>
          </cell>
          <cell r="F26"/>
          <cell r="G26">
            <v>52.461842051514928</v>
          </cell>
        </row>
        <row r="27">
          <cell r="B27">
            <v>2037</v>
          </cell>
          <cell r="C27">
            <v>111.23375134936551</v>
          </cell>
          <cell r="D27"/>
          <cell r="E27">
            <v>10.050320868842107</v>
          </cell>
          <cell r="F27"/>
          <cell r="G27">
            <v>53.160084224401565</v>
          </cell>
        </row>
        <row r="28">
          <cell r="B28">
            <v>2038</v>
          </cell>
          <cell r="C28">
            <v>113.63091170789778</v>
          </cell>
          <cell r="D28"/>
          <cell r="E28">
            <v>15.288592972509734</v>
          </cell>
          <cell r="F28"/>
          <cell r="G28">
            <v>59.327400026838987</v>
          </cell>
        </row>
        <row r="29">
          <cell r="B29">
            <v>2039</v>
          </cell>
          <cell r="C29">
            <v>116.07858693988571</v>
          </cell>
          <cell r="D29"/>
          <cell r="E29">
            <v>10.814712421230203</v>
          </cell>
          <cell r="F29"/>
          <cell r="G29">
            <v>55.80214072353705</v>
          </cell>
        </row>
        <row r="30">
          <cell r="B30">
            <v>2040</v>
          </cell>
          <cell r="C30">
            <v>118.57677704532932</v>
          </cell>
          <cell r="D30"/>
          <cell r="E30">
            <v>12.079821392075923</v>
          </cell>
          <cell r="F30"/>
          <cell r="G30">
            <v>57.896608397856824</v>
          </cell>
        </row>
        <row r="31">
          <cell r="B31">
            <v>2041</v>
          </cell>
          <cell r="C31" t="e">
            <v>#N/A</v>
          </cell>
          <cell r="D31"/>
          <cell r="E31" t="e">
            <v>#DIV/0!</v>
          </cell>
          <cell r="F31"/>
          <cell r="G31" t="e">
            <v>#DIV/0!</v>
          </cell>
        </row>
        <row r="32">
          <cell r="B32">
            <v>2042</v>
          </cell>
          <cell r="C32" t="e">
            <v>#N/A</v>
          </cell>
          <cell r="D32"/>
          <cell r="E32" t="e">
            <v>#VALUE!</v>
          </cell>
          <cell r="F32"/>
          <cell r="G32" t="e">
            <v>#VALUE!</v>
          </cell>
        </row>
        <row r="33">
          <cell r="B33">
            <v>2043</v>
          </cell>
          <cell r="C33" t="e">
            <v>#N/A</v>
          </cell>
          <cell r="D33"/>
          <cell r="E33" t="e">
            <v>#VALUE!</v>
          </cell>
          <cell r="F33"/>
          <cell r="G33" t="e">
            <v>#VALUE!</v>
          </cell>
        </row>
        <row r="34">
          <cell r="B34">
            <v>2044</v>
          </cell>
          <cell r="C34" t="e">
            <v>#N/A</v>
          </cell>
          <cell r="D34"/>
          <cell r="E34" t="e">
            <v>#VALUE!</v>
          </cell>
          <cell r="F34"/>
          <cell r="G34" t="e">
            <v>#VALUE!</v>
          </cell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7">
          <cell r="B37"/>
          <cell r="C37"/>
          <cell r="D37"/>
          <cell r="E37"/>
          <cell r="F37"/>
          <cell r="G37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0">
          <cell r="G50">
            <v>40.18233694491861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/>
        </row>
      </sheetData>
      <sheetData sheetId="1">
        <row r="13">
          <cell r="B13">
            <v>2022</v>
          </cell>
        </row>
        <row r="17">
          <cell r="I17">
            <v>-2.5121246648423465</v>
          </cell>
        </row>
        <row r="18">
          <cell r="I18">
            <v>-1.7118119022304619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2023</v>
          </cell>
          <cell r="C13">
            <v>0</v>
          </cell>
          <cell r="E13">
            <v>68.34856972545964</v>
          </cell>
          <cell r="G13">
            <v>68.34856972545964</v>
          </cell>
        </row>
        <row r="14">
          <cell r="B14">
            <v>2024</v>
          </cell>
          <cell r="C14">
            <v>0</v>
          </cell>
          <cell r="E14">
            <v>73.202856765959567</v>
          </cell>
          <cell r="G14">
            <v>73.202856765959567</v>
          </cell>
        </row>
        <row r="15">
          <cell r="B15">
            <v>2025</v>
          </cell>
          <cell r="C15">
            <v>0</v>
          </cell>
          <cell r="E15">
            <v>54.144199692184642</v>
          </cell>
          <cell r="G15">
            <v>54.144199692184642</v>
          </cell>
        </row>
        <row r="16">
          <cell r="B16">
            <v>2026</v>
          </cell>
          <cell r="C16">
            <v>0</v>
          </cell>
          <cell r="E16">
            <v>55.355587716970845</v>
          </cell>
          <cell r="G16">
            <v>55.355587716970845</v>
          </cell>
        </row>
        <row r="17">
          <cell r="B17">
            <v>2027</v>
          </cell>
          <cell r="C17">
            <v>0</v>
          </cell>
          <cell r="E17">
            <v>46.729656577630386</v>
          </cell>
          <cell r="G17">
            <v>46.729656577630386</v>
          </cell>
        </row>
        <row r="18">
          <cell r="B18">
            <v>2028</v>
          </cell>
          <cell r="C18">
            <v>0</v>
          </cell>
          <cell r="E18">
            <v>47.278787482410365</v>
          </cell>
          <cell r="G18">
            <v>47.278787482410365</v>
          </cell>
        </row>
        <row r="19">
          <cell r="B19">
            <v>2029</v>
          </cell>
          <cell r="C19">
            <v>0</v>
          </cell>
          <cell r="E19">
            <v>46.487324902713503</v>
          </cell>
          <cell r="G19">
            <v>46.487324902713503</v>
          </cell>
        </row>
        <row r="20">
          <cell r="B20">
            <v>2030</v>
          </cell>
          <cell r="C20">
            <v>0</v>
          </cell>
          <cell r="E20">
            <v>46.045344863443596</v>
          </cell>
          <cell r="G20">
            <v>46.045344863443596</v>
          </cell>
        </row>
        <row r="21">
          <cell r="B21">
            <v>2031</v>
          </cell>
          <cell r="C21">
            <v>119.28815572074085</v>
          </cell>
          <cell r="E21">
            <v>39.254607133487319</v>
          </cell>
          <cell r="G21">
            <v>52.871976508001111</v>
          </cell>
        </row>
        <row r="22">
          <cell r="B22">
            <v>2032</v>
          </cell>
          <cell r="C22">
            <v>121.85224839400429</v>
          </cell>
          <cell r="E22">
            <v>37.845918588340382</v>
          </cell>
          <cell r="G22">
            <v>51.717986939206092</v>
          </cell>
        </row>
        <row r="23">
          <cell r="B23">
            <v>2033</v>
          </cell>
          <cell r="C23">
            <v>124.47537473233405</v>
          </cell>
          <cell r="E23">
            <v>37.301646872324568</v>
          </cell>
          <cell r="G23">
            <v>51.511164535833018</v>
          </cell>
        </row>
        <row r="24">
          <cell r="B24">
            <v>2034</v>
          </cell>
          <cell r="C24">
            <v>127.1627408993576</v>
          </cell>
          <cell r="E24">
            <v>36.098596960401032</v>
          </cell>
          <cell r="G24">
            <v>50.614891583615375</v>
          </cell>
        </row>
        <row r="25">
          <cell r="B25">
            <v>2035</v>
          </cell>
          <cell r="C25">
            <v>129.90364025695931</v>
          </cell>
          <cell r="E25">
            <v>37.577988258218383</v>
          </cell>
          <cell r="G25">
            <v>52.407170935953467</v>
          </cell>
        </row>
        <row r="26">
          <cell r="B26">
            <v>2036</v>
          </cell>
          <cell r="C26">
            <v>132.69807280513919</v>
          </cell>
          <cell r="E26">
            <v>39.055422364597618</v>
          </cell>
          <cell r="G26">
            <v>54.162215716730955</v>
          </cell>
        </row>
        <row r="27">
          <cell r="B27">
            <v>2037</v>
          </cell>
          <cell r="C27">
            <v>135.55674518201286</v>
          </cell>
          <cell r="E27">
            <v>46.357289441425095</v>
          </cell>
          <cell r="G27">
            <v>61.831803731609199</v>
          </cell>
        </row>
        <row r="28">
          <cell r="B28">
            <v>2038</v>
          </cell>
          <cell r="C28">
            <v>138.46895074946465</v>
          </cell>
          <cell r="E28">
            <v>46.605222686550334</v>
          </cell>
          <cell r="G28">
            <v>62.412180534662731</v>
          </cell>
        </row>
        <row r="29">
          <cell r="B29">
            <v>2039</v>
          </cell>
          <cell r="C29">
            <v>141.45610278372592</v>
          </cell>
          <cell r="E29">
            <v>47.355678384586859</v>
          </cell>
          <cell r="G29">
            <v>63.503635323368343</v>
          </cell>
        </row>
        <row r="30">
          <cell r="B30">
            <v>2040</v>
          </cell>
          <cell r="C30">
            <v>144.50749464668095</v>
          </cell>
          <cell r="E30">
            <v>48.884920557829801</v>
          </cell>
          <cell r="G30">
            <v>65.336138072251586</v>
          </cell>
        </row>
        <row r="31">
          <cell r="B31">
            <v>2041</v>
          </cell>
          <cell r="C31" t="e">
            <v>#N/A</v>
          </cell>
          <cell r="E31" t="e">
            <v>#DIV/0!</v>
          </cell>
          <cell r="G31" t="e">
            <v>#DIV/0!</v>
          </cell>
        </row>
        <row r="32">
          <cell r="B32">
            <v>2042</v>
          </cell>
          <cell r="C32" t="e">
            <v>#N/A</v>
          </cell>
          <cell r="E32" t="e">
            <v>#VALUE!</v>
          </cell>
          <cell r="G32" t="e">
            <v>#VALUE!</v>
          </cell>
        </row>
        <row r="33">
          <cell r="B33">
            <v>2043</v>
          </cell>
          <cell r="C33" t="e">
            <v>#N/A</v>
          </cell>
          <cell r="E33" t="e">
            <v>#VALUE!</v>
          </cell>
          <cell r="G33" t="e">
            <v>#VALUE!</v>
          </cell>
        </row>
        <row r="34">
          <cell r="B34">
            <v>2044</v>
          </cell>
          <cell r="C34" t="e">
            <v>#N/A</v>
          </cell>
          <cell r="E34" t="e">
            <v>#VALUE!</v>
          </cell>
          <cell r="G34" t="e">
            <v>#VALUE!</v>
          </cell>
        </row>
        <row r="43">
          <cell r="I43">
            <v>6.88E-2</v>
          </cell>
        </row>
        <row r="47">
          <cell r="K47">
            <v>2.155E-2</v>
          </cell>
        </row>
        <row r="50">
          <cell r="G50">
            <v>55.030396446387705</v>
          </cell>
        </row>
      </sheetData>
      <sheetData sheetId="2"/>
      <sheetData sheetId="3"/>
      <sheetData sheetId="4"/>
      <sheetData sheetId="5">
        <row r="6">
          <cell r="M6">
            <v>100</v>
          </cell>
        </row>
        <row r="7">
          <cell r="M7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4CA21-5569-40AA-BB2B-C7B6C19002AA}">
  <sheetPr>
    <pageSetUpPr fitToPage="1"/>
  </sheetPr>
  <dimension ref="A1:M40"/>
  <sheetViews>
    <sheetView showGridLines="0" tabSelected="1" view="pageBreakPreview" zoomScale="80" zoomScaleNormal="80" zoomScaleSheetLayoutView="80" workbookViewId="0">
      <selection activeCell="J23" sqref="J23"/>
    </sheetView>
  </sheetViews>
  <sheetFormatPr defaultColWidth="9.33203125" defaultRowHeight="12.75"/>
  <cols>
    <col min="1" max="1" width="14" style="48" customWidth="1"/>
    <col min="2" max="2" width="11.6640625" style="48" customWidth="1"/>
    <col min="3" max="3" width="20.1640625" style="48" customWidth="1"/>
    <col min="4" max="7" width="17.5" style="48" customWidth="1"/>
    <col min="8" max="8" width="17.1640625" style="48" bestFit="1" customWidth="1"/>
    <col min="9" max="9" width="21.1640625" style="48" customWidth="1"/>
    <col min="10" max="11" width="17.5" style="48" customWidth="1"/>
    <col min="12" max="13" width="9.33203125" style="48" customWidth="1"/>
    <col min="14" max="14" width="10.5" style="48" bestFit="1" customWidth="1"/>
    <col min="15" max="16384" width="9.33203125" style="48"/>
  </cols>
  <sheetData>
    <row r="1" spans="2:13" ht="15.75">
      <c r="B1" s="337" t="s">
        <v>260</v>
      </c>
      <c r="C1" s="338"/>
      <c r="D1" s="338"/>
      <c r="E1" s="338"/>
      <c r="F1" s="338"/>
      <c r="G1" s="338"/>
      <c r="H1" s="338"/>
      <c r="I1" s="339"/>
      <c r="J1" s="339"/>
      <c r="K1" s="339"/>
    </row>
    <row r="2" spans="2:13" ht="5.25" customHeight="1">
      <c r="B2" s="337"/>
      <c r="C2" s="338"/>
      <c r="D2" s="338"/>
      <c r="E2" s="338"/>
      <c r="F2" s="338"/>
      <c r="G2" s="338"/>
      <c r="H2" s="338"/>
      <c r="I2" s="339"/>
      <c r="J2" s="339"/>
      <c r="K2" s="339"/>
    </row>
    <row r="3" spans="2:13" ht="15.75">
      <c r="B3" s="340" t="s">
        <v>230</v>
      </c>
      <c r="C3" s="340"/>
      <c r="D3" s="340"/>
      <c r="E3" s="340"/>
      <c r="F3" s="340"/>
      <c r="G3" s="340"/>
      <c r="H3" s="340"/>
      <c r="I3" s="337"/>
      <c r="J3" s="337"/>
      <c r="K3" s="337"/>
    </row>
    <row r="4" spans="2:13" ht="15.75">
      <c r="B4" s="4" t="s">
        <v>231</v>
      </c>
      <c r="C4" s="340"/>
      <c r="D4" s="340"/>
      <c r="E4" s="340"/>
      <c r="F4" s="340"/>
      <c r="G4" s="340"/>
      <c r="H4" s="340"/>
      <c r="I4" s="337"/>
      <c r="J4" s="337"/>
      <c r="K4" s="337"/>
    </row>
    <row r="5" spans="2:13" ht="41.25" customHeight="1">
      <c r="C5" s="341" t="s">
        <v>232</v>
      </c>
      <c r="D5" s="342" t="s">
        <v>233</v>
      </c>
      <c r="E5" s="343" t="s">
        <v>66</v>
      </c>
      <c r="F5" s="342" t="s">
        <v>234</v>
      </c>
      <c r="G5" s="342" t="s">
        <v>233</v>
      </c>
      <c r="H5" s="343" t="s">
        <v>66</v>
      </c>
      <c r="I5" s="343" t="s">
        <v>232</v>
      </c>
      <c r="J5" s="342" t="s">
        <v>233</v>
      </c>
      <c r="K5" s="343" t="s">
        <v>66</v>
      </c>
    </row>
    <row r="6" spans="2:13">
      <c r="B6" s="342" t="s">
        <v>0</v>
      </c>
      <c r="C6" s="344" t="s">
        <v>235</v>
      </c>
      <c r="D6" s="344" t="s">
        <v>235</v>
      </c>
      <c r="E6" s="344" t="s">
        <v>235</v>
      </c>
      <c r="F6" s="344" t="s">
        <v>236</v>
      </c>
      <c r="G6" s="344" t="s">
        <v>236</v>
      </c>
      <c r="H6" s="344" t="s">
        <v>236</v>
      </c>
      <c r="I6" s="345"/>
      <c r="J6" s="345"/>
      <c r="K6" s="345"/>
      <c r="L6" s="346"/>
    </row>
    <row r="7" spans="2:13">
      <c r="B7" s="342"/>
      <c r="C7" s="347" t="s">
        <v>237</v>
      </c>
      <c r="D7" s="347" t="s">
        <v>238</v>
      </c>
      <c r="E7" s="77" t="s">
        <v>239</v>
      </c>
      <c r="F7" s="347" t="s">
        <v>237</v>
      </c>
      <c r="G7" s="347" t="s">
        <v>238</v>
      </c>
      <c r="H7" s="77" t="s">
        <v>239</v>
      </c>
      <c r="I7" s="342" t="s">
        <v>240</v>
      </c>
      <c r="J7" s="342" t="s">
        <v>240</v>
      </c>
      <c r="K7" s="342" t="s">
        <v>240</v>
      </c>
    </row>
    <row r="8" spans="2:13" hidden="1">
      <c r="B8" s="348"/>
      <c r="C8" s="349"/>
      <c r="D8" s="349"/>
      <c r="E8" s="349"/>
      <c r="F8" s="349"/>
      <c r="G8" s="349"/>
      <c r="H8" s="349"/>
      <c r="I8" s="349"/>
      <c r="J8" s="349"/>
      <c r="K8" s="350"/>
      <c r="L8" s="351"/>
    </row>
    <row r="9" spans="2:13">
      <c r="B9" s="348">
        <v>2023</v>
      </c>
      <c r="C9" s="349">
        <f>VLOOKUP($B9,'[7]Table 1'!$B$13:$G$34,6,FALSE)</f>
        <v>68.34856972545964</v>
      </c>
      <c r="D9" s="349">
        <f>VLOOKUP($B9,'[12]Table 1'!$B$13:$H$40,6,FALSE)</f>
        <v>35.448753283843061</v>
      </c>
      <c r="E9" s="349">
        <f ca="1">VLOOKUP($B9,'Table 1'!$B$13:$G$40,6,FALSE)</f>
        <v>59.092620400760907</v>
      </c>
      <c r="F9" s="352">
        <f>VLOOKUP($B9,'[1]Table 1'!$B$13:$G$40,6,FALSE)</f>
        <v>57.74561167213816</v>
      </c>
      <c r="G9" s="352">
        <f>VLOOKUP($B9,'[13]Table 1'!$B$13:$G$40,6,FALSE)</f>
        <v>33.736977246979883</v>
      </c>
      <c r="H9" s="352">
        <f>VLOOKUP($B9,'[14]Table 1'!$B$13:$G$40,6,FALSE)</f>
        <v>49.250659483649656</v>
      </c>
      <c r="I9" s="349">
        <f t="shared" ref="I9:K23" si="0">C9-F9</f>
        <v>10.60295805332148</v>
      </c>
      <c r="J9" s="349">
        <f t="shared" si="0"/>
        <v>1.7117760368631778</v>
      </c>
      <c r="K9" s="350">
        <f t="shared" ca="1" si="0"/>
        <v>9.8419609171112512</v>
      </c>
      <c r="L9" s="351"/>
    </row>
    <row r="10" spans="2:13">
      <c r="B10" s="353">
        <f>B9+1</f>
        <v>2024</v>
      </c>
      <c r="C10" s="354">
        <f>VLOOKUP($B10,'[7]Table 1'!$B$13:$G$34,6,FALSE)</f>
        <v>73.202856765959567</v>
      </c>
      <c r="D10" s="354">
        <f>VLOOKUP($B10,'[12]Table 1'!$B$13:$H$40,6,FALSE)</f>
        <v>37.356768403069928</v>
      </c>
      <c r="E10" s="354">
        <f ca="1">VLOOKUP($B10,'Table 1'!$B$13:$G$40,6,FALSE)</f>
        <v>64.278680564305361</v>
      </c>
      <c r="F10" s="354">
        <f>VLOOKUP($B10,'[1]Table 1'!$B$13:$G$40,6,FALSE)</f>
        <v>62.708353566421088</v>
      </c>
      <c r="G10" s="354">
        <f>VLOOKUP($B10,'[13]Table 1'!$B$13:$G$40,6,FALSE)</f>
        <v>35.740065545578098</v>
      </c>
      <c r="H10" s="354">
        <f>VLOOKUP($B10,'[14]Table 1'!$B$13:$G$40,6,FALSE)</f>
        <v>55.71243250749248</v>
      </c>
      <c r="I10" s="354">
        <f t="shared" si="0"/>
        <v>10.494503199538478</v>
      </c>
      <c r="J10" s="354">
        <f t="shared" si="0"/>
        <v>1.6167028574918305</v>
      </c>
      <c r="K10" s="355">
        <f t="shared" ca="1" si="0"/>
        <v>8.5662480568128814</v>
      </c>
      <c r="L10" s="351"/>
      <c r="M10" s="356"/>
    </row>
    <row r="11" spans="2:13">
      <c r="B11" s="353">
        <f t="shared" ref="B11:B23" si="1">B10+1</f>
        <v>2025</v>
      </c>
      <c r="C11" s="354">
        <f>VLOOKUP($B11,'[7]Table 1'!$B$13:$G$34,6,FALSE)</f>
        <v>54.144199692184642</v>
      </c>
      <c r="D11" s="354">
        <f>VLOOKUP($B11,'[12]Table 1'!$B$13:$H$40,6,FALSE)</f>
        <v>25.564488657397543</v>
      </c>
      <c r="E11" s="354">
        <f ca="1">VLOOKUP($B11,'Table 1'!$B$13:$G$40,6,FALSE)</f>
        <v>46.864729741675902</v>
      </c>
      <c r="F11" s="354">
        <f>VLOOKUP($B11,'[1]Table 1'!$B$13:$G$40,6,FALSE)</f>
        <v>46.948264956281442</v>
      </c>
      <c r="G11" s="354">
        <f>VLOOKUP($B11,'[13]Table 1'!$B$13:$G$40,6,FALSE)</f>
        <v>24.301774067614112</v>
      </c>
      <c r="H11" s="354">
        <f>VLOOKUP($B11,'[14]Table 1'!$B$13:$G$40,6,FALSE)</f>
        <v>41.166183399705055</v>
      </c>
      <c r="I11" s="354">
        <f t="shared" si="0"/>
        <v>7.1959347359032009</v>
      </c>
      <c r="J11" s="354">
        <f t="shared" si="0"/>
        <v>1.2627145897834318</v>
      </c>
      <c r="K11" s="355">
        <f t="shared" ca="1" si="0"/>
        <v>5.6985463419708466</v>
      </c>
      <c r="L11" s="351"/>
      <c r="M11" s="356"/>
    </row>
    <row r="12" spans="2:13">
      <c r="B12" s="353">
        <f t="shared" si="1"/>
        <v>2026</v>
      </c>
      <c r="C12" s="354">
        <f>VLOOKUP($B12,'[7]Table 1'!$B$13:$G$34,6,FALSE)</f>
        <v>55.355587716970845</v>
      </c>
      <c r="D12" s="354">
        <f>VLOOKUP($B12,'[12]Table 1'!$B$13:$H$40,6,FALSE)</f>
        <v>28.003532154511859</v>
      </c>
      <c r="E12" s="354">
        <f ca="1">VLOOKUP($B12,'Table 1'!$B$13:$G$40,6,FALSE)</f>
        <v>36.703856846237805</v>
      </c>
      <c r="F12" s="354">
        <f>VLOOKUP($B12,'[1]Table 1'!$B$13:$G$40,6,FALSE)</f>
        <v>50.152451009398149</v>
      </c>
      <c r="G12" s="354">
        <f>VLOOKUP($B12,'[13]Table 1'!$B$13:$G$40,6,FALSE)</f>
        <v>30.897517871258241</v>
      </c>
      <c r="H12" s="354">
        <f>VLOOKUP($B12,'[14]Table 1'!$B$13:$G$40,6,FALSE)</f>
        <v>35.36073129280355</v>
      </c>
      <c r="I12" s="354">
        <f t="shared" si="0"/>
        <v>5.2031367075726962</v>
      </c>
      <c r="J12" s="354">
        <f t="shared" si="0"/>
        <v>-2.8939857167463821</v>
      </c>
      <c r="K12" s="355">
        <f t="shared" ca="1" si="0"/>
        <v>1.3431255534342554</v>
      </c>
      <c r="L12" s="351"/>
      <c r="M12" s="356"/>
    </row>
    <row r="13" spans="2:13">
      <c r="B13" s="353">
        <f t="shared" si="1"/>
        <v>2027</v>
      </c>
      <c r="C13" s="354">
        <f>VLOOKUP($B13,'[7]Table 1'!$B$13:$G$34,6,FALSE)</f>
        <v>46.729656577630386</v>
      </c>
      <c r="D13" s="354">
        <f>VLOOKUP($B13,'[12]Table 1'!$B$13:$H$40,6,FALSE)</f>
        <v>28.740523210231771</v>
      </c>
      <c r="E13" s="354">
        <f ca="1">VLOOKUP($B13,'Table 1'!$B$13:$G$40,6,FALSE)</f>
        <v>35.149248058284599</v>
      </c>
      <c r="F13" s="354">
        <f>VLOOKUP($B13,'[1]Table 1'!$B$13:$G$40,6,FALSE)</f>
        <v>46.047198460027438</v>
      </c>
      <c r="G13" s="354">
        <f>VLOOKUP($B13,'[13]Table 1'!$B$13:$G$40,6,FALSE)</f>
        <v>30.250662662435591</v>
      </c>
      <c r="H13" s="354">
        <f>VLOOKUP($B13,'[14]Table 1'!$B$13:$G$40,6,FALSE)</f>
        <v>33.800130841571907</v>
      </c>
      <c r="I13" s="354">
        <f t="shared" si="0"/>
        <v>0.68245811760294828</v>
      </c>
      <c r="J13" s="354">
        <f t="shared" si="0"/>
        <v>-1.5101394522038198</v>
      </c>
      <c r="K13" s="355">
        <f t="shared" ca="1" si="0"/>
        <v>1.3491172167126919</v>
      </c>
      <c r="L13" s="351"/>
      <c r="M13" s="356"/>
    </row>
    <row r="14" spans="2:13">
      <c r="B14" s="353">
        <f t="shared" si="1"/>
        <v>2028</v>
      </c>
      <c r="C14" s="354">
        <f>VLOOKUP($B14,'[7]Table 1'!$B$13:$G$34,6,FALSE)</f>
        <v>47.278787482410365</v>
      </c>
      <c r="D14" s="354">
        <f>VLOOKUP($B14,'[12]Table 1'!$B$13:$H$40,6,FALSE)</f>
        <v>31.839444141124385</v>
      </c>
      <c r="E14" s="354">
        <f ca="1">VLOOKUP($B14,'Table 1'!$B$13:$G$40,6,FALSE)</f>
        <v>35.500757002418354</v>
      </c>
      <c r="F14" s="354">
        <f>VLOOKUP($B14,'[1]Table 1'!$B$13:$G$40,6,FALSE)</f>
        <v>44.735229396536688</v>
      </c>
      <c r="G14" s="354">
        <f>VLOOKUP($B14,'[13]Table 1'!$B$13:$G$40,6,FALSE)</f>
        <v>31.235031910929585</v>
      </c>
      <c r="H14" s="354">
        <f>VLOOKUP($B14,'[14]Table 1'!$B$13:$G$40,6,FALSE)</f>
        <v>33.515961154232564</v>
      </c>
      <c r="I14" s="354">
        <f t="shared" si="0"/>
        <v>2.543558085873677</v>
      </c>
      <c r="J14" s="354">
        <f t="shared" si="0"/>
        <v>0.60441223019480006</v>
      </c>
      <c r="K14" s="355">
        <f t="shared" ca="1" si="0"/>
        <v>1.9847958481857901</v>
      </c>
      <c r="L14" s="351"/>
      <c r="M14" s="356"/>
    </row>
    <row r="15" spans="2:13">
      <c r="B15" s="353">
        <f t="shared" si="1"/>
        <v>2029</v>
      </c>
      <c r="C15" s="354">
        <f>VLOOKUP($B15,'[7]Table 1'!$B$13:$G$34,6,FALSE)</f>
        <v>46.487324902713503</v>
      </c>
      <c r="D15" s="354">
        <f>VLOOKUP($B15,'[12]Table 1'!$B$13:$H$40,6,FALSE)</f>
        <v>33.50142047126463</v>
      </c>
      <c r="E15" s="354">
        <f ca="1">VLOOKUP($B15,'Table 1'!$B$13:$G$40,6,FALSE)</f>
        <v>36.533485380096216</v>
      </c>
      <c r="F15" s="354">
        <f>VLOOKUP($B15,'[1]Table 1'!$B$13:$G$40,6,FALSE)</f>
        <v>45.050089763680276</v>
      </c>
      <c r="G15" s="354">
        <f>VLOOKUP($B15,'[13]Table 1'!$B$13:$G$40,6,FALSE)</f>
        <v>33.408660050144157</v>
      </c>
      <c r="H15" s="354">
        <f>VLOOKUP($B15,'[14]Table 1'!$B$13:$G$40,6,FALSE)</f>
        <v>35.065559377022645</v>
      </c>
      <c r="I15" s="354">
        <f t="shared" si="0"/>
        <v>1.437235139033227</v>
      </c>
      <c r="J15" s="354">
        <f t="shared" si="0"/>
        <v>9.2760421120473779E-2</v>
      </c>
      <c r="K15" s="355">
        <f t="shared" ca="1" si="0"/>
        <v>1.4679260030735719</v>
      </c>
      <c r="L15" s="351"/>
      <c r="M15" s="356"/>
    </row>
    <row r="16" spans="2:13">
      <c r="B16" s="353">
        <f t="shared" si="1"/>
        <v>2030</v>
      </c>
      <c r="C16" s="354">
        <f>VLOOKUP($B16,'[7]Table 1'!$B$13:$G$34,6,FALSE)</f>
        <v>46.045344863443596</v>
      </c>
      <c r="D16" s="354">
        <f>VLOOKUP($B16,'[12]Table 1'!$B$13:$H$40,6,FALSE)</f>
        <v>34.627641383560444</v>
      </c>
      <c r="E16" s="354">
        <f ca="1">VLOOKUP($B16,'Table 1'!$B$13:$G$40,6,FALSE)</f>
        <v>38.245520983273778</v>
      </c>
      <c r="F16" s="354">
        <f>VLOOKUP($B16,'[1]Table 1'!$B$13:$G$40,6,FALSE)</f>
        <v>41.25426463059123</v>
      </c>
      <c r="G16" s="354">
        <f>VLOOKUP($B16,'[13]Table 1'!$B$13:$G$40,6,FALSE)</f>
        <v>33.110157889245642</v>
      </c>
      <c r="H16" s="354">
        <f>VLOOKUP($B16,'[14]Table 1'!$B$13:$G$40,6,FALSE)</f>
        <v>34.662255898958179</v>
      </c>
      <c r="I16" s="354">
        <f t="shared" si="0"/>
        <v>4.7910802328523658</v>
      </c>
      <c r="J16" s="354">
        <f t="shared" si="0"/>
        <v>1.5174834943148028</v>
      </c>
      <c r="K16" s="355">
        <f t="shared" ca="1" si="0"/>
        <v>3.5832650843155989</v>
      </c>
      <c r="L16" s="351"/>
      <c r="M16" s="356"/>
    </row>
    <row r="17" spans="1:13">
      <c r="B17" s="353">
        <f t="shared" si="1"/>
        <v>2031</v>
      </c>
      <c r="C17" s="354">
        <f>VLOOKUP($B17,'[7]Table 1'!$B$13:$G$34,6,FALSE)</f>
        <v>52.871976508001111</v>
      </c>
      <c r="D17" s="354">
        <f>VLOOKUP($B17,'[12]Table 1'!$B$13:$H$40,6,FALSE)</f>
        <v>34.421628972807639</v>
      </c>
      <c r="E17" s="354">
        <f ca="1">VLOOKUP($B17,'Table 1'!$B$13:$G$40,6,FALSE)</f>
        <v>38.443687369291155</v>
      </c>
      <c r="F17" s="354">
        <f>VLOOKUP($B17,'[1]Table 1'!$B$13:$G$40,6,FALSE)</f>
        <v>48.385102197317977</v>
      </c>
      <c r="G17" s="354">
        <f>VLOOKUP($B17,'[13]Table 1'!$B$13:$G$40,6,FALSE)</f>
        <v>32.300205550741836</v>
      </c>
      <c r="H17" s="354">
        <f>VLOOKUP($B17,'[14]Table 1'!$B$13:$G$40,6,FALSE)</f>
        <v>35.273923965670775</v>
      </c>
      <c r="I17" s="354">
        <f t="shared" si="0"/>
        <v>4.4868743106831346</v>
      </c>
      <c r="J17" s="354">
        <f t="shared" si="0"/>
        <v>2.1214234220658028</v>
      </c>
      <c r="K17" s="355">
        <f t="shared" ca="1" si="0"/>
        <v>3.1697634036203794</v>
      </c>
      <c r="L17" s="351"/>
      <c r="M17" s="356"/>
    </row>
    <row r="18" spans="1:13">
      <c r="B18" s="353">
        <f t="shared" si="1"/>
        <v>2032</v>
      </c>
      <c r="C18" s="354">
        <f>VLOOKUP($B18,'[7]Table 1'!$B$13:$G$34,6,FALSE)</f>
        <v>51.717986939206092</v>
      </c>
      <c r="D18" s="354">
        <f>VLOOKUP($B18,'[12]Table 1'!$B$13:$H$40,6,FALSE)</f>
        <v>30.568202009519958</v>
      </c>
      <c r="E18" s="354">
        <f ca="1">VLOOKUP($B18,'Table 1'!$B$13:$G$40,6,FALSE)</f>
        <v>36.696954463721475</v>
      </c>
      <c r="F18" s="354">
        <f>VLOOKUP($B18,'[1]Table 1'!$B$13:$G$40,6,FALSE)</f>
        <v>47.708680711573443</v>
      </c>
      <c r="G18" s="354">
        <f>VLOOKUP($B18,'[13]Table 1'!$B$13:$G$40,6,FALSE)</f>
        <v>28.032221566691174</v>
      </c>
      <c r="H18" s="354">
        <f>VLOOKUP($B18,'[14]Table 1'!$B$13:$G$40,6,FALSE)</f>
        <v>33.172313224294527</v>
      </c>
      <c r="I18" s="354">
        <f t="shared" si="0"/>
        <v>4.0093062276326492</v>
      </c>
      <c r="J18" s="354">
        <f t="shared" si="0"/>
        <v>2.5359804428287838</v>
      </c>
      <c r="K18" s="355">
        <f t="shared" ca="1" si="0"/>
        <v>3.5246412394269484</v>
      </c>
      <c r="L18" s="351"/>
      <c r="M18" s="356"/>
    </row>
    <row r="19" spans="1:13">
      <c r="B19" s="353">
        <f t="shared" si="1"/>
        <v>2033</v>
      </c>
      <c r="C19" s="354">
        <f>VLOOKUP($B19,'[7]Table 1'!$B$13:$G$34,6,FALSE)</f>
        <v>51.511164535833018</v>
      </c>
      <c r="D19" s="354">
        <f>VLOOKUP($B19,'[12]Table 1'!$B$13:$H$40,6,FALSE)</f>
        <v>34.527047587961384</v>
      </c>
      <c r="E19" s="354">
        <f ca="1">VLOOKUP($B19,'Table 1'!$B$13:$G$40,6,FALSE)</f>
        <v>38.111048250172914</v>
      </c>
      <c r="F19" s="354">
        <f>VLOOKUP($B19,'[1]Table 1'!$B$13:$G$40,6,FALSE)</f>
        <v>47.830132422371697</v>
      </c>
      <c r="G19" s="354">
        <f>VLOOKUP($B19,'[13]Table 1'!$B$13:$G$40,6,FALSE)</f>
        <v>32.440626131267308</v>
      </c>
      <c r="H19" s="354">
        <f>VLOOKUP($B19,'[14]Table 1'!$B$13:$G$40,6,FALSE)</f>
        <v>35.058178481781361</v>
      </c>
      <c r="I19" s="354">
        <f t="shared" si="0"/>
        <v>3.6810321134613204</v>
      </c>
      <c r="J19" s="354">
        <f t="shared" si="0"/>
        <v>2.086421456694076</v>
      </c>
      <c r="K19" s="355">
        <f t="shared" ca="1" si="0"/>
        <v>3.0528697683915524</v>
      </c>
      <c r="L19" s="351"/>
      <c r="M19" s="356"/>
    </row>
    <row r="20" spans="1:13">
      <c r="B20" s="353">
        <f t="shared" si="1"/>
        <v>2034</v>
      </c>
      <c r="C20" s="354">
        <f>VLOOKUP($B20,'[7]Table 1'!$B$13:$G$34,6,FALSE)</f>
        <v>50.614891583615375</v>
      </c>
      <c r="D20" s="354">
        <f>VLOOKUP($B20,'[12]Table 1'!$B$13:$H$40,6,FALSE)</f>
        <v>35.008463196501047</v>
      </c>
      <c r="E20" s="354">
        <f ca="1">VLOOKUP($B20,'Table 1'!$B$13:$G$40,6,FALSE)</f>
        <v>38.509865967583366</v>
      </c>
      <c r="F20" s="354">
        <f>VLOOKUP($B20,'[1]Table 1'!$B$13:$G$40,6,FALSE)</f>
        <v>46.349791446867549</v>
      </c>
      <c r="G20" s="354">
        <f>VLOOKUP($B20,'[13]Table 1'!$B$13:$G$40,6,FALSE)</f>
        <v>32.595005645223218</v>
      </c>
      <c r="H20" s="354">
        <f>VLOOKUP($B20,'[14]Table 1'!$B$13:$G$40,6,FALSE)</f>
        <v>34.76264704451674</v>
      </c>
      <c r="I20" s="354">
        <f t="shared" si="0"/>
        <v>4.2651001367478258</v>
      </c>
      <c r="J20" s="354">
        <f t="shared" si="0"/>
        <v>2.4134575512778298</v>
      </c>
      <c r="K20" s="355">
        <f t="shared" ca="1" si="0"/>
        <v>3.747218923066626</v>
      </c>
      <c r="L20" s="351"/>
      <c r="M20" s="356"/>
    </row>
    <row r="21" spans="1:13">
      <c r="B21" s="353">
        <f t="shared" si="1"/>
        <v>2035</v>
      </c>
      <c r="C21" s="354">
        <f>VLOOKUP($B21,'[7]Table 1'!$B$13:$G$34,6,FALSE)</f>
        <v>52.407170935953467</v>
      </c>
      <c r="D21" s="354">
        <f>VLOOKUP($B21,'[12]Table 1'!$B$13:$H$40,6,FALSE)</f>
        <v>36.346544621777198</v>
      </c>
      <c r="E21" s="354">
        <f ca="1">VLOOKUP($B21,'Table 1'!$B$13:$G$40,6,FALSE)</f>
        <v>39.50234303673129</v>
      </c>
      <c r="F21" s="354">
        <f>VLOOKUP($B21,'[1]Table 1'!$B$13:$G$40,6,FALSE)</f>
        <v>47.954136582156735</v>
      </c>
      <c r="G21" s="354">
        <f>VLOOKUP($B21,'[13]Table 1'!$B$13:$G$40,6,FALSE)</f>
        <v>33.628091569358574</v>
      </c>
      <c r="H21" s="354">
        <f>VLOOKUP($B21,'[14]Table 1'!$B$13:$G$40,6,FALSE)</f>
        <v>35.699439030668145</v>
      </c>
      <c r="I21" s="354">
        <f t="shared" si="0"/>
        <v>4.4530343537967312</v>
      </c>
      <c r="J21" s="354">
        <f t="shared" si="0"/>
        <v>2.7184530524186243</v>
      </c>
      <c r="K21" s="355">
        <f t="shared" ca="1" si="0"/>
        <v>3.8029040060631445</v>
      </c>
      <c r="L21" s="351"/>
      <c r="M21" s="356"/>
    </row>
    <row r="22" spans="1:13">
      <c r="B22" s="353">
        <f t="shared" si="1"/>
        <v>2036</v>
      </c>
      <c r="C22" s="354">
        <f>VLOOKUP($B22,'[7]Table 1'!$B$13:$G$34,6,FALSE)</f>
        <v>54.162215716730955</v>
      </c>
      <c r="D22" s="354">
        <f>VLOOKUP($B22,'[12]Table 1'!$B$13:$H$40,6,FALSE)</f>
        <v>39.84727291346789</v>
      </c>
      <c r="E22" s="354">
        <f ca="1">VLOOKUP($B22,'Table 1'!$B$13:$G$40,6,FALSE)</f>
        <v>56.359409985512798</v>
      </c>
      <c r="F22" s="354">
        <f>VLOOKUP($B22,'[1]Table 1'!$B$13:$G$40,6,FALSE)</f>
        <v>50.451985206674635</v>
      </c>
      <c r="G22" s="354">
        <f>VLOOKUP($B22,'[13]Table 1'!$B$13:$G$40,6,FALSE)</f>
        <v>36.733412847396792</v>
      </c>
      <c r="H22" s="354">
        <f>VLOOKUP($B22,'[14]Table 1'!$B$13:$G$40,6,FALSE)</f>
        <v>52.461842051514928</v>
      </c>
      <c r="I22" s="354">
        <f t="shared" si="0"/>
        <v>3.71023051005632</v>
      </c>
      <c r="J22" s="354">
        <f t="shared" si="0"/>
        <v>3.1138600660710978</v>
      </c>
      <c r="K22" s="355">
        <f t="shared" ca="1" si="0"/>
        <v>3.8975679339978697</v>
      </c>
      <c r="L22" s="351"/>
      <c r="M22" s="356"/>
    </row>
    <row r="23" spans="1:13">
      <c r="B23" s="357">
        <f t="shared" si="1"/>
        <v>2037</v>
      </c>
      <c r="C23" s="358">
        <f>VLOOKUP($B23,'[7]Table 1'!$B$13:$G$34,6,FALSE)</f>
        <v>61.831803731609199</v>
      </c>
      <c r="D23" s="358">
        <f>VLOOKUP($B23,'[12]Table 1'!$B$13:$H$40,6,FALSE)</f>
        <v>42.131401053494635</v>
      </c>
      <c r="E23" s="358">
        <f ca="1">VLOOKUP($B23,'Table 1'!$B$13:$G$40,6,FALSE)</f>
        <v>57.255153269178194</v>
      </c>
      <c r="F23" s="358">
        <f>VLOOKUP($B23,'[1]Table 1'!$B$13:$G$40,6,FALSE)</f>
        <v>58.314960417722951</v>
      </c>
      <c r="G23" s="358">
        <f>VLOOKUP($B23,'[13]Table 1'!$B$13:$G$40,6,FALSE)</f>
        <v>37.446616157587343</v>
      </c>
      <c r="H23" s="358">
        <f>VLOOKUP($B23,'[14]Table 1'!$B$13:$G$40,6,FALSE)</f>
        <v>53.160084224401565</v>
      </c>
      <c r="I23" s="358">
        <f t="shared" si="0"/>
        <v>3.5168433138862483</v>
      </c>
      <c r="J23" s="358">
        <f t="shared" si="0"/>
        <v>4.684784895907292</v>
      </c>
      <c r="K23" s="359">
        <f t="shared" ca="1" si="0"/>
        <v>4.0950690447766291</v>
      </c>
      <c r="L23" s="351"/>
      <c r="M23" s="356"/>
    </row>
    <row r="24" spans="1:13">
      <c r="M24" s="356"/>
    </row>
    <row r="25" spans="1:13">
      <c r="B25" s="49" t="s">
        <v>241</v>
      </c>
      <c r="L25" s="360"/>
      <c r="M25" s="356"/>
    </row>
    <row r="26" spans="1:13">
      <c r="A26" t="s">
        <v>242</v>
      </c>
      <c r="B26" s="361" t="s">
        <v>31</v>
      </c>
      <c r="C26" s="354">
        <f>ROUND('[7]Table 1'!$G$50,2)</f>
        <v>55.03</v>
      </c>
      <c r="D26" s="354">
        <f>ROUND('[12]Table 1'!$G$50,2)</f>
        <v>33.159999999999997</v>
      </c>
      <c r="E26" s="354">
        <f ca="1">ROUND('Table 1'!$G$50,2)</f>
        <v>44.45</v>
      </c>
      <c r="F26" s="354">
        <f>ROUND('[1]Table 1'!$G$50,2)</f>
        <v>49.82</v>
      </c>
      <c r="G26" s="354">
        <f>ROUND('[13]Table 1'!$G$50,2)</f>
        <v>32.01</v>
      </c>
      <c r="H26" s="354">
        <f>ROUND('[14]Table 1'!$G$50,2)</f>
        <v>40.18</v>
      </c>
      <c r="I26" s="354">
        <f>C26-F26</f>
        <v>5.2100000000000009</v>
      </c>
      <c r="J26" s="354">
        <f>D26-G26</f>
        <v>1.1499999999999986</v>
      </c>
      <c r="K26" s="354">
        <f ca="1">E26-H26</f>
        <v>4.2700000000000031</v>
      </c>
      <c r="L26" s="362"/>
      <c r="M26" s="356"/>
    </row>
    <row r="27" spans="1:13" ht="17.25" customHeight="1">
      <c r="B27" s="363"/>
      <c r="C27" s="354"/>
      <c r="D27" s="354"/>
      <c r="E27" s="354"/>
      <c r="F27" s="354"/>
      <c r="G27" s="354"/>
      <c r="H27" s="354"/>
      <c r="I27" s="364">
        <f>I26/F26</f>
        <v>0.10457647531112005</v>
      </c>
      <c r="J27" s="364">
        <f>J26/G26</f>
        <v>3.5926273039675057E-2</v>
      </c>
      <c r="K27" s="364">
        <f ca="1">K26/H26</f>
        <v>0.10627177700348441</v>
      </c>
    </row>
    <row r="28" spans="1:13" ht="10.5" customHeight="1">
      <c r="B28" s="361"/>
      <c r="C28" s="354"/>
      <c r="D28" s="354"/>
      <c r="E28" s="354"/>
      <c r="F28" s="354"/>
      <c r="G28" s="354"/>
      <c r="H28" s="354"/>
      <c r="I28" s="354"/>
      <c r="J28" s="354"/>
      <c r="K28" s="354"/>
    </row>
    <row r="29" spans="1:13" ht="5.25" customHeight="1">
      <c r="F29" s="365"/>
      <c r="G29" s="365"/>
      <c r="H29" s="365"/>
    </row>
    <row r="30" spans="1:13">
      <c r="B30" s="48" t="s">
        <v>243</v>
      </c>
      <c r="C30" s="366"/>
      <c r="D30" s="366"/>
      <c r="E30" s="366"/>
      <c r="F30" s="367"/>
      <c r="G30" s="367"/>
      <c r="H30" s="367"/>
      <c r="I30" s="367"/>
      <c r="J30" s="367"/>
      <c r="K30" s="367"/>
    </row>
    <row r="31" spans="1:13">
      <c r="B31" s="45" t="s">
        <v>244</v>
      </c>
      <c r="C31" s="366"/>
      <c r="D31" s="366"/>
      <c r="E31" s="366"/>
      <c r="F31" s="367"/>
      <c r="G31" s="367"/>
      <c r="H31" s="367"/>
      <c r="I31" s="367"/>
      <c r="J31" s="367"/>
      <c r="K31" s="367"/>
    </row>
    <row r="32" spans="1:13">
      <c r="B32" s="232" t="str">
        <f>"(2)   Total Avoided Costs with Capacity, based on stated CF"</f>
        <v>(2)   Total Avoided Costs with Capacity, based on stated CF</v>
      </c>
    </row>
    <row r="33" spans="2:11">
      <c r="B33" s="48" t="str">
        <f>"(3)   15-Years: "&amp;B9&amp;" - "&amp;B23&amp;", levelized monthly"</f>
        <v>(3)   15-Years: 2023 - 2037, levelized monthly</v>
      </c>
    </row>
    <row r="34" spans="2:11">
      <c r="B34" s="9"/>
    </row>
    <row r="35" spans="2:11">
      <c r="B35" s="9"/>
    </row>
    <row r="36" spans="2:11">
      <c r="B36" s="9"/>
    </row>
    <row r="37" spans="2:11" hidden="1"/>
    <row r="38" spans="2:11">
      <c r="C38" s="354"/>
      <c r="D38" s="354"/>
      <c r="E38" s="354"/>
      <c r="F38" s="354"/>
      <c r="G38" s="354"/>
      <c r="H38" s="354"/>
    </row>
    <row r="40" spans="2:11">
      <c r="C40" s="365"/>
      <c r="D40" s="365"/>
      <c r="E40" s="365"/>
      <c r="F40" s="365"/>
      <c r="G40" s="365"/>
      <c r="H40" s="365"/>
      <c r="I40" s="365"/>
      <c r="J40" s="365"/>
      <c r="K40" s="365"/>
    </row>
  </sheetData>
  <conditionalFormatting sqref="I8:J21">
    <cfRule type="expression" dxfId="3" priority="3">
      <formula>ISNA(N8)</formula>
    </cfRule>
  </conditionalFormatting>
  <conditionalFormatting sqref="I23:J23">
    <cfRule type="expression" dxfId="2" priority="2">
      <formula>ISNA(N23)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480F-F259-40F5-B211-CF5B946198C9}">
  <sheetPr>
    <tabColor rgb="FFFFC000"/>
    <pageSetUpPr fitToPage="1"/>
  </sheetPr>
  <dimension ref="B1:AB91"/>
  <sheetViews>
    <sheetView view="pageBreakPreview" zoomScale="60" zoomScaleNormal="70" workbookViewId="0">
      <selection activeCell="S5" sqref="S5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3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3" ht="15.75">
      <c r="B2" s="102" t="s">
        <v>221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3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3">
      <c r="B4" s="103"/>
      <c r="C4" s="103"/>
      <c r="D4" s="103"/>
      <c r="E4" s="103"/>
      <c r="F4" s="103"/>
      <c r="G4" s="103"/>
      <c r="H4" s="103"/>
      <c r="I4" s="103"/>
    </row>
    <row r="5" spans="2:23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185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</row>
    <row r="6" spans="2:23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3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3" ht="6" customHeight="1"/>
    <row r="9" spans="2:23" ht="15.75">
      <c r="B9" s="40" t="str">
        <f>C52</f>
        <v>2021 IRP Update Portland North Coast Wind Resource - 37% Capacity Factor</v>
      </c>
    </row>
    <row r="10" spans="2:23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3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3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3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3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3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3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32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10"/>
      <c r="G19" s="114"/>
      <c r="H19" s="113"/>
      <c r="I19" s="113"/>
      <c r="J19" s="114"/>
      <c r="K19" s="114"/>
      <c r="L19" s="113"/>
      <c r="Q19" s="324"/>
      <c r="R19" s="309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>
        <v>1417.9949999999999</v>
      </c>
      <c r="D20" s="113">
        <f>C20*$C$62</f>
        <v>98.965825152287621</v>
      </c>
      <c r="E20" s="129">
        <f>C56</f>
        <v>67.885445280087083</v>
      </c>
      <c r="F20" s="161">
        <f>$C$60</f>
        <v>24.740174248339812</v>
      </c>
      <c r="G20" s="114">
        <f t="shared" ref="G20:G23" si="1">(D20+E20+F20)/(8.76*$C$63)</f>
        <v>59.031496725829669</v>
      </c>
      <c r="H20" s="113">
        <v>0</v>
      </c>
      <c r="I20" s="113">
        <v>-22.278000000000002</v>
      </c>
      <c r="J20" s="114">
        <f t="shared" ref="J20:J23" si="2">(G20+H20+I20)</f>
        <v>36.753496725829663</v>
      </c>
      <c r="K20" s="114">
        <f t="shared" ref="K20:K23" si="3">ROUND(J20*$C$63*8.76,2)</f>
        <v>119.29</v>
      </c>
      <c r="L20" s="113">
        <f t="shared" ref="L20:L23" si="4">(D20+E20+F20)</f>
        <v>191.59144468071452</v>
      </c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>
        <f t="shared" ref="D21:D37" si="5">ROUND(D20*(1+IRP21_Infl_Rate),2)</f>
        <v>101.1</v>
      </c>
      <c r="E21" s="113">
        <f t="shared" ref="E21:E37" si="6">ROUND(E20*(1+IRP21_Infl_Rate),2)</f>
        <v>69.349999999999994</v>
      </c>
      <c r="F21" s="113">
        <f t="shared" ref="F21:F37" si="7">ROUND(F20*(1+IRP21_Infl_Rate),2)</f>
        <v>25.27</v>
      </c>
      <c r="G21" s="114">
        <f t="shared" si="1"/>
        <v>60.303551436930974</v>
      </c>
      <c r="H21" s="113">
        <v>0</v>
      </c>
      <c r="I21" s="113">
        <v>-23.07</v>
      </c>
      <c r="J21" s="114">
        <f t="shared" si="2"/>
        <v>37.233551436930973</v>
      </c>
      <c r="K21" s="114">
        <f t="shared" si="3"/>
        <v>120.84</v>
      </c>
      <c r="L21" s="113">
        <f t="shared" si="4"/>
        <v>195.72</v>
      </c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>
        <f t="shared" si="5"/>
        <v>103.28</v>
      </c>
      <c r="E22" s="113">
        <f t="shared" si="6"/>
        <v>70.84</v>
      </c>
      <c r="F22" s="113">
        <f t="shared" si="7"/>
        <v>25.81</v>
      </c>
      <c r="G22" s="114">
        <f t="shared" si="1"/>
        <v>61.600700177731504</v>
      </c>
      <c r="H22" s="113">
        <v>0</v>
      </c>
      <c r="I22" s="113">
        <v>-23.07</v>
      </c>
      <c r="J22" s="114">
        <f t="shared" si="2"/>
        <v>38.530700177731504</v>
      </c>
      <c r="K22" s="114">
        <f t="shared" si="3"/>
        <v>125.05</v>
      </c>
      <c r="L22" s="113">
        <f t="shared" si="4"/>
        <v>199.93</v>
      </c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>
        <f t="shared" si="5"/>
        <v>105.51</v>
      </c>
      <c r="E23" s="113">
        <f t="shared" si="6"/>
        <v>72.37</v>
      </c>
      <c r="F23" s="113">
        <f t="shared" si="7"/>
        <v>26.37</v>
      </c>
      <c r="G23" s="114">
        <f t="shared" si="1"/>
        <v>62.931741165916364</v>
      </c>
      <c r="H23" s="113">
        <v>0</v>
      </c>
      <c r="I23" s="113">
        <v>-23.867999999999999</v>
      </c>
      <c r="J23" s="114">
        <f t="shared" si="2"/>
        <v>39.063741165916369</v>
      </c>
      <c r="K23" s="114">
        <f t="shared" si="3"/>
        <v>126.78</v>
      </c>
      <c r="L23" s="113">
        <f t="shared" si="4"/>
        <v>204.25</v>
      </c>
      <c r="P23" s="104">
        <v>60.865259183673459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si="5"/>
        <v>107.78</v>
      </c>
      <c r="E24" s="113">
        <f t="shared" si="6"/>
        <v>73.930000000000007</v>
      </c>
      <c r="F24" s="113">
        <f t="shared" si="7"/>
        <v>26.94</v>
      </c>
      <c r="G24" s="114">
        <f t="shared" ref="G24:G37" si="8">(D24+E24+F24)/(8.76*$C$63)</f>
        <v>64.287431061289837</v>
      </c>
      <c r="H24" s="113">
        <v>0</v>
      </c>
      <c r="I24" s="113">
        <v>-24.666</v>
      </c>
      <c r="J24" s="114">
        <f t="shared" ref="J24:J37" si="9">(G24+H24+I24)</f>
        <v>39.62143106128984</v>
      </c>
      <c r="K24" s="114">
        <f t="shared" ref="K24:K37" si="10">ROUND(J24*$C$63*8.76,2)</f>
        <v>128.59</v>
      </c>
      <c r="L24" s="113">
        <f t="shared" ref="L24:L37" si="11">(D24+E24+F24)</f>
        <v>208.65</v>
      </c>
      <c r="P24" s="104">
        <v>65.265259183673464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110.1</v>
      </c>
      <c r="E25" s="113">
        <f t="shared" si="6"/>
        <v>75.52</v>
      </c>
      <c r="F25" s="113">
        <f t="shared" si="7"/>
        <v>27.52</v>
      </c>
      <c r="G25" s="114">
        <f t="shared" si="8"/>
        <v>65.67085097725051</v>
      </c>
      <c r="H25" s="113">
        <v>0</v>
      </c>
      <c r="I25" s="113">
        <v>-24.666</v>
      </c>
      <c r="J25" s="114">
        <f t="shared" si="9"/>
        <v>41.004850977250513</v>
      </c>
      <c r="K25" s="114">
        <f t="shared" si="10"/>
        <v>133.08000000000001</v>
      </c>
      <c r="L25" s="113">
        <f t="shared" si="11"/>
        <v>213.14000000000001</v>
      </c>
      <c r="P25" s="104">
        <v>69.755259183673473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112.47</v>
      </c>
      <c r="E26" s="113">
        <f t="shared" si="6"/>
        <v>77.150000000000006</v>
      </c>
      <c r="F26" s="113">
        <f t="shared" si="7"/>
        <v>28.11</v>
      </c>
      <c r="G26" s="114">
        <f t="shared" si="8"/>
        <v>67.085082027196918</v>
      </c>
      <c r="H26" s="113">
        <v>0</v>
      </c>
      <c r="I26" s="113">
        <v>-25.457999999999998</v>
      </c>
      <c r="J26" s="114">
        <f t="shared" si="9"/>
        <v>41.62708202719692</v>
      </c>
      <c r="K26" s="114">
        <f t="shared" si="10"/>
        <v>135.1</v>
      </c>
      <c r="L26" s="113">
        <f t="shared" si="11"/>
        <v>217.73000000000002</v>
      </c>
      <c r="P26" s="104">
        <v>74.345259183673477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114.89</v>
      </c>
      <c r="E27" s="113">
        <f t="shared" si="6"/>
        <v>78.81</v>
      </c>
      <c r="F27" s="113">
        <f t="shared" si="7"/>
        <v>28.72</v>
      </c>
      <c r="G27" s="114">
        <f t="shared" si="8"/>
        <v>68.530124211129092</v>
      </c>
      <c r="H27" s="113">
        <v>0</v>
      </c>
      <c r="I27" s="113">
        <v>-26.255999999999997</v>
      </c>
      <c r="J27" s="114">
        <f t="shared" si="9"/>
        <v>42.274124211129092</v>
      </c>
      <c r="K27" s="114">
        <f t="shared" si="10"/>
        <v>137.19999999999999</v>
      </c>
      <c r="L27" s="113">
        <f t="shared" si="11"/>
        <v>222.42</v>
      </c>
      <c r="P27" s="104">
        <v>79.035259183673446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117.37</v>
      </c>
      <c r="E28" s="113">
        <f t="shared" si="6"/>
        <v>80.510000000000005</v>
      </c>
      <c r="F28" s="113">
        <f t="shared" si="7"/>
        <v>29.34</v>
      </c>
      <c r="G28" s="114">
        <f t="shared" si="8"/>
        <v>70.009058642445609</v>
      </c>
      <c r="H28" s="113">
        <v>0</v>
      </c>
      <c r="I28" s="113">
        <v>-26.255999999999997</v>
      </c>
      <c r="J28" s="114">
        <f t="shared" si="9"/>
        <v>43.753058642445609</v>
      </c>
      <c r="K28" s="114">
        <f t="shared" si="10"/>
        <v>142</v>
      </c>
      <c r="L28" s="113">
        <f t="shared" si="11"/>
        <v>227.22</v>
      </c>
      <c r="P28" s="104">
        <v>83.835259183673458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119.9</v>
      </c>
      <c r="E29" s="113">
        <f t="shared" si="6"/>
        <v>82.24</v>
      </c>
      <c r="F29" s="113">
        <f t="shared" si="7"/>
        <v>29.97</v>
      </c>
      <c r="G29" s="114">
        <f t="shared" si="8"/>
        <v>71.515723094349312</v>
      </c>
      <c r="H29" s="113">
        <v>0</v>
      </c>
      <c r="I29" s="113">
        <v>-27.054000000000002</v>
      </c>
      <c r="J29" s="114">
        <f t="shared" si="9"/>
        <v>44.46172309434931</v>
      </c>
      <c r="K29" s="114">
        <f t="shared" si="10"/>
        <v>144.30000000000001</v>
      </c>
      <c r="L29" s="113">
        <f t="shared" si="11"/>
        <v>232.10999999999999</v>
      </c>
      <c r="P29" s="104">
        <v>88.725259183673444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122.48</v>
      </c>
      <c r="E30" s="113">
        <f t="shared" si="6"/>
        <v>84.01</v>
      </c>
      <c r="F30" s="113">
        <f t="shared" si="7"/>
        <v>30.62</v>
      </c>
      <c r="G30" s="114">
        <f t="shared" si="8"/>
        <v>73.056279793637358</v>
      </c>
      <c r="H30" s="113">
        <v>0</v>
      </c>
      <c r="I30" s="113">
        <v>0</v>
      </c>
      <c r="J30" s="114">
        <f t="shared" si="9"/>
        <v>73.056279793637358</v>
      </c>
      <c r="K30" s="114">
        <f t="shared" si="10"/>
        <v>237.11</v>
      </c>
      <c r="L30" s="113">
        <f t="shared" si="11"/>
        <v>237.11</v>
      </c>
      <c r="P30" s="104">
        <v>93.725259183673472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125.12</v>
      </c>
      <c r="E31" s="113">
        <f t="shared" si="6"/>
        <v>85.82</v>
      </c>
      <c r="F31" s="113">
        <f t="shared" si="7"/>
        <v>31.28</v>
      </c>
      <c r="G31" s="114">
        <f t="shared" si="8"/>
        <v>74.630728740309735</v>
      </c>
      <c r="H31" s="113">
        <v>0</v>
      </c>
      <c r="I31" s="113">
        <v>0</v>
      </c>
      <c r="J31" s="114">
        <f t="shared" si="9"/>
        <v>74.630728740309735</v>
      </c>
      <c r="K31" s="114">
        <f t="shared" si="10"/>
        <v>242.22</v>
      </c>
      <c r="L31" s="113">
        <f t="shared" si="11"/>
        <v>242.22</v>
      </c>
      <c r="P31" s="104">
        <v>98.835259183673458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127.82</v>
      </c>
      <c r="E32" s="113">
        <f t="shared" si="6"/>
        <v>87.67</v>
      </c>
      <c r="F32" s="113">
        <f t="shared" si="7"/>
        <v>31.95</v>
      </c>
      <c r="G32" s="114">
        <f t="shared" si="8"/>
        <v>76.239069934366441</v>
      </c>
      <c r="H32" s="113">
        <v>0</v>
      </c>
      <c r="I32" s="113">
        <v>0</v>
      </c>
      <c r="J32" s="114">
        <f t="shared" si="9"/>
        <v>76.239069934366441</v>
      </c>
      <c r="K32" s="114">
        <f t="shared" si="10"/>
        <v>247.44</v>
      </c>
      <c r="L32" s="113">
        <f t="shared" si="11"/>
        <v>247.44</v>
      </c>
      <c r="P32" s="104">
        <v>104.05525918367346</v>
      </c>
      <c r="Q32" s="114"/>
      <c r="S32" s="134"/>
      <c r="V32" s="134"/>
      <c r="W32" s="134"/>
      <c r="X32" s="134"/>
      <c r="Y32" s="134"/>
      <c r="Z32" s="134"/>
    </row>
    <row r="33" spans="2:17">
      <c r="B33" s="111">
        <f t="shared" si="0"/>
        <v>2039</v>
      </c>
      <c r="C33" s="115"/>
      <c r="D33" s="113">
        <f t="shared" si="5"/>
        <v>130.57</v>
      </c>
      <c r="E33" s="113">
        <f t="shared" si="6"/>
        <v>89.56</v>
      </c>
      <c r="F33" s="113">
        <f t="shared" si="7"/>
        <v>32.64</v>
      </c>
      <c r="G33" s="114">
        <f t="shared" si="8"/>
        <v>77.881303375807491</v>
      </c>
      <c r="H33" s="113">
        <v>0</v>
      </c>
      <c r="I33" s="113">
        <v>0</v>
      </c>
      <c r="J33" s="114">
        <f t="shared" si="9"/>
        <v>77.881303375807491</v>
      </c>
      <c r="K33" s="114">
        <f t="shared" si="10"/>
        <v>252.77</v>
      </c>
      <c r="L33" s="113">
        <f t="shared" si="11"/>
        <v>252.76999999999998</v>
      </c>
      <c r="P33" s="104">
        <v>109.38525918367344</v>
      </c>
      <c r="Q33" s="114"/>
    </row>
    <row r="34" spans="2:17">
      <c r="B34" s="111">
        <f t="shared" si="0"/>
        <v>2040</v>
      </c>
      <c r="C34" s="115"/>
      <c r="D34" s="113">
        <f t="shared" si="5"/>
        <v>133.38</v>
      </c>
      <c r="E34" s="113">
        <f t="shared" si="6"/>
        <v>91.49</v>
      </c>
      <c r="F34" s="113">
        <f t="shared" si="7"/>
        <v>33.340000000000003</v>
      </c>
      <c r="G34" s="114">
        <f t="shared" si="8"/>
        <v>79.557429064632885</v>
      </c>
      <c r="H34" s="113">
        <v>0</v>
      </c>
      <c r="I34" s="113">
        <v>0</v>
      </c>
      <c r="J34" s="114">
        <f t="shared" si="9"/>
        <v>79.557429064632885</v>
      </c>
      <c r="K34" s="114">
        <f t="shared" si="10"/>
        <v>258.20999999999998</v>
      </c>
      <c r="L34" s="113">
        <f t="shared" si="11"/>
        <v>258.21000000000004</v>
      </c>
      <c r="P34" s="104">
        <v>114.8252591836735</v>
      </c>
      <c r="Q34" s="114"/>
    </row>
    <row r="35" spans="2:17">
      <c r="B35" s="111">
        <f t="shared" si="0"/>
        <v>2041</v>
      </c>
      <c r="C35" s="115"/>
      <c r="D35" s="113">
        <f t="shared" si="5"/>
        <v>136.25</v>
      </c>
      <c r="E35" s="113">
        <f t="shared" si="6"/>
        <v>93.46</v>
      </c>
      <c r="F35" s="113">
        <f t="shared" si="7"/>
        <v>34.06</v>
      </c>
      <c r="G35" s="114">
        <f t="shared" si="8"/>
        <v>81.270528114241174</v>
      </c>
      <c r="H35" s="113">
        <v>0</v>
      </c>
      <c r="I35" s="113">
        <v>0</v>
      </c>
      <c r="J35" s="114">
        <f t="shared" si="9"/>
        <v>81.270528114241174</v>
      </c>
      <c r="K35" s="114">
        <f t="shared" si="10"/>
        <v>263.77</v>
      </c>
      <c r="L35" s="113">
        <f t="shared" si="11"/>
        <v>263.77</v>
      </c>
      <c r="P35" s="104">
        <v>120.38525918367344</v>
      </c>
      <c r="Q35" s="114"/>
    </row>
    <row r="36" spans="2:17">
      <c r="B36" s="111">
        <f t="shared" si="0"/>
        <v>2042</v>
      </c>
      <c r="C36" s="115"/>
      <c r="D36" s="113">
        <f t="shared" si="5"/>
        <v>139.19</v>
      </c>
      <c r="E36" s="113">
        <f t="shared" si="6"/>
        <v>95.47</v>
      </c>
      <c r="F36" s="113">
        <f t="shared" si="7"/>
        <v>34.79</v>
      </c>
      <c r="G36" s="114">
        <f t="shared" si="8"/>
        <v>83.020600524632385</v>
      </c>
      <c r="H36" s="113">
        <v>0</v>
      </c>
      <c r="I36" s="113">
        <v>0</v>
      </c>
      <c r="J36" s="114">
        <f t="shared" si="9"/>
        <v>83.020600524632385</v>
      </c>
      <c r="K36" s="114">
        <f t="shared" si="10"/>
        <v>269.45</v>
      </c>
      <c r="L36" s="113">
        <f t="shared" si="11"/>
        <v>269.45</v>
      </c>
      <c r="P36" s="104">
        <v>126.06525918367345</v>
      </c>
      <c r="Q36" s="114"/>
    </row>
    <row r="37" spans="2:17">
      <c r="B37" s="111">
        <f t="shared" si="0"/>
        <v>2043</v>
      </c>
      <c r="C37" s="115"/>
      <c r="D37" s="113">
        <f t="shared" si="5"/>
        <v>142.19</v>
      </c>
      <c r="E37" s="113">
        <f t="shared" si="6"/>
        <v>97.53</v>
      </c>
      <c r="F37" s="113">
        <f t="shared" si="7"/>
        <v>35.54</v>
      </c>
      <c r="G37" s="114">
        <f t="shared" si="8"/>
        <v>84.810727409205086</v>
      </c>
      <c r="H37" s="113">
        <v>0</v>
      </c>
      <c r="I37" s="113">
        <v>0</v>
      </c>
      <c r="J37" s="114">
        <f t="shared" si="9"/>
        <v>84.810727409205086</v>
      </c>
      <c r="K37" s="114">
        <f t="shared" si="10"/>
        <v>275.26</v>
      </c>
      <c r="L37" s="113">
        <f t="shared" si="11"/>
        <v>275.26</v>
      </c>
      <c r="P37" s="104">
        <v>131.87525918367345</v>
      </c>
      <c r="Q37" s="114"/>
    </row>
    <row r="38" spans="2:17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7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7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7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7">
      <c r="B44" s="104" t="s">
        <v>63</v>
      </c>
      <c r="C44" s="122" t="s">
        <v>64</v>
      </c>
      <c r="D44" s="247" t="s">
        <v>155</v>
      </c>
    </row>
    <row r="45" spans="2:17">
      <c r="C45" s="122" t="str">
        <f>C7</f>
        <v>(a)</v>
      </c>
      <c r="D45" s="104" t="s">
        <v>65</v>
      </c>
    </row>
    <row r="46" spans="2:17">
      <c r="C46" s="122" t="str">
        <f>D7</f>
        <v>(b)</v>
      </c>
      <c r="D46" s="114" t="str">
        <f>"= "&amp;C7&amp;" x "&amp;C62</f>
        <v>= (a) x 0.0697927885163824</v>
      </c>
    </row>
    <row r="47" spans="2:17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7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Portland North Coast Wind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2026</v>
      </c>
    </row>
    <row r="55" spans="2:28">
      <c r="B55" s="302" t="s">
        <v>177</v>
      </c>
      <c r="C55" s="328">
        <f>184339.35/130</f>
        <v>1417.9950000000001</v>
      </c>
      <c r="D55" s="104" t="s">
        <v>65</v>
      </c>
      <c r="P55" s="104">
        <v>130</v>
      </c>
      <c r="Q55" s="104" t="s">
        <v>32</v>
      </c>
    </row>
    <row r="56" spans="2:28">
      <c r="B56" s="302" t="s">
        <v>177</v>
      </c>
      <c r="C56" s="129">
        <f>8825.10788641132/130</f>
        <v>67.885445280087083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/>
      <c r="C58" s="129"/>
      <c r="D58" s="104" t="s">
        <v>69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 t="s">
        <v>90</v>
      </c>
      <c r="M59" s="132"/>
      <c r="N59" s="133"/>
      <c r="P59" s="131"/>
    </row>
    <row r="60" spans="2:28">
      <c r="B60" s="302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24.740174248339812</v>
      </c>
      <c r="D60" s="104" t="s">
        <v>150</v>
      </c>
      <c r="F60" s="104" t="s">
        <v>166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0.37049999910522241</v>
      </c>
      <c r="D63" s="104" t="s">
        <v>37</v>
      </c>
    </row>
    <row r="64" spans="2:28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C123-38C6-4471-B26C-DCFA5BCB7883}">
  <sheetPr>
    <tabColor rgb="FFFFC000"/>
    <pageSetUpPr fitToPage="1"/>
  </sheetPr>
  <dimension ref="B1:AB90"/>
  <sheetViews>
    <sheetView view="pageBreakPreview" zoomScale="60" zoomScaleNormal="70" workbookViewId="0">
      <selection activeCell="D11" sqref="D11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3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3" ht="15.75">
      <c r="B2" s="102" t="s">
        <v>221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3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3">
      <c r="B4" s="103"/>
      <c r="C4" s="103"/>
      <c r="D4" s="103"/>
      <c r="E4" s="103"/>
      <c r="F4" s="103"/>
      <c r="G4" s="103"/>
      <c r="H4" s="103"/>
      <c r="I4" s="103"/>
    </row>
    <row r="5" spans="2:23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</row>
    <row r="6" spans="2:23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3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3" ht="6" customHeight="1"/>
    <row r="9" spans="2:23" ht="15.75">
      <c r="B9" s="40" t="str">
        <f>C52</f>
        <v>2021 IRP Update Portland North Coast Wind Resource - 37% Capacity Factor</v>
      </c>
    </row>
    <row r="10" spans="2:23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3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3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3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3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3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3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32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10"/>
      <c r="G19" s="114"/>
      <c r="H19" s="113"/>
      <c r="I19" s="113"/>
      <c r="J19" s="114"/>
      <c r="K19" s="114"/>
      <c r="L19" s="113"/>
      <c r="Q19" s="324"/>
      <c r="R19" s="309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161">
        <f>$C$60</f>
        <v>24.740174248339812</v>
      </c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113">
        <f t="shared" ref="D21:F36" si="1">ROUND(F20*(1+IRP21_Infl_Rate),2)</f>
        <v>25.27</v>
      </c>
      <c r="G21" s="114"/>
      <c r="H21" s="113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/>
      <c r="E22" s="129"/>
      <c r="F22" s="113">
        <f t="shared" si="1"/>
        <v>25.81</v>
      </c>
      <c r="G22" s="114"/>
      <c r="H22" s="113"/>
      <c r="I22" s="113"/>
      <c r="J22" s="114"/>
      <c r="K22" s="114"/>
      <c r="L22" s="113"/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/>
      <c r="E23" s="129"/>
      <c r="F23" s="113">
        <f t="shared" si="1"/>
        <v>26.37</v>
      </c>
      <c r="G23" s="114"/>
      <c r="H23" s="113"/>
      <c r="I23" s="113"/>
      <c r="J23" s="114"/>
      <c r="K23" s="114"/>
      <c r="L23" s="113"/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/>
      <c r="E24" s="129"/>
      <c r="F24" s="113">
        <f t="shared" si="1"/>
        <v>26.94</v>
      </c>
      <c r="G24" s="114"/>
      <c r="H24" s="113"/>
      <c r="I24" s="113"/>
      <c r="J24" s="114"/>
      <c r="K24" s="114"/>
      <c r="L24" s="113"/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/>
      <c r="E25" s="129"/>
      <c r="F25" s="113">
        <f t="shared" si="1"/>
        <v>27.52</v>
      </c>
      <c r="G25" s="114"/>
      <c r="H25" s="113"/>
      <c r="I25" s="113"/>
      <c r="J25" s="114"/>
      <c r="K25" s="114"/>
      <c r="L25" s="113"/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/>
      <c r="E26" s="129"/>
      <c r="F26" s="113">
        <f t="shared" si="1"/>
        <v>28.11</v>
      </c>
      <c r="G26" s="114"/>
      <c r="H26" s="113"/>
      <c r="I26" s="113"/>
      <c r="J26" s="114"/>
      <c r="K26" s="114"/>
      <c r="L26" s="113"/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/>
      <c r="E27" s="129"/>
      <c r="F27" s="113">
        <f t="shared" si="1"/>
        <v>28.72</v>
      </c>
      <c r="G27" s="114"/>
      <c r="H27" s="113"/>
      <c r="I27" s="113"/>
      <c r="J27" s="114"/>
      <c r="K27" s="114"/>
      <c r="L27" s="113"/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/>
      <c r="E28" s="129"/>
      <c r="F28" s="113">
        <f t="shared" si="1"/>
        <v>29.34</v>
      </c>
      <c r="G28" s="114"/>
      <c r="H28" s="113"/>
      <c r="I28" s="113"/>
      <c r="J28" s="114"/>
      <c r="K28" s="114"/>
      <c r="L28" s="113"/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/>
      <c r="E29" s="129"/>
      <c r="F29" s="113">
        <f t="shared" si="1"/>
        <v>29.97</v>
      </c>
      <c r="G29" s="114"/>
      <c r="H29" s="113"/>
      <c r="I29" s="113"/>
      <c r="J29" s="114"/>
      <c r="K29" s="114"/>
      <c r="L29" s="113"/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/>
      <c r="E30" s="129"/>
      <c r="F30" s="113">
        <f t="shared" si="1"/>
        <v>30.62</v>
      </c>
      <c r="G30" s="114"/>
      <c r="H30" s="113"/>
      <c r="I30" s="113"/>
      <c r="J30" s="114"/>
      <c r="K30" s="114"/>
      <c r="L30" s="113"/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/>
      <c r="E31" s="129"/>
      <c r="F31" s="113">
        <f t="shared" si="1"/>
        <v>31.28</v>
      </c>
      <c r="G31" s="114"/>
      <c r="H31" s="113"/>
      <c r="I31" s="113"/>
      <c r="J31" s="114"/>
      <c r="K31" s="114"/>
      <c r="L31" s="113"/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328">
        <f>713925.9/450</f>
        <v>1586.502</v>
      </c>
      <c r="D32" s="113">
        <f>C32*$C$62</f>
        <v>110.72639856681766</v>
      </c>
      <c r="E32" s="129">
        <f>$C$56</f>
        <v>107.36151635765734</v>
      </c>
      <c r="F32" s="113">
        <f t="shared" si="1"/>
        <v>31.95</v>
      </c>
      <c r="G32" s="114">
        <f t="shared" ref="G32:G37" si="2">(D32+E32+F32)/(8.76*$C$63)</f>
        <v>77.039516982582512</v>
      </c>
      <c r="H32" s="113">
        <v>0</v>
      </c>
      <c r="I32" s="113">
        <v>0</v>
      </c>
      <c r="J32" s="114">
        <f t="shared" ref="J32:J37" si="3">(G32+H32+I32)</f>
        <v>77.039516982582512</v>
      </c>
      <c r="K32" s="114">
        <f t="shared" ref="K32:K37" si="4">ROUND(J32*$C$63*8.76,2)</f>
        <v>250.04</v>
      </c>
      <c r="L32" s="113">
        <f t="shared" ref="L32:L37" si="5">(D32+E32+F32)</f>
        <v>250.03791492447499</v>
      </c>
      <c r="Q32" s="114"/>
      <c r="S32" s="134"/>
      <c r="V32" s="134"/>
      <c r="W32" s="134"/>
      <c r="X32" s="134"/>
      <c r="Y32" s="134"/>
      <c r="Z32" s="134"/>
    </row>
    <row r="33" spans="2:17">
      <c r="B33" s="111">
        <f t="shared" si="0"/>
        <v>2039</v>
      </c>
      <c r="C33" s="115"/>
      <c r="D33" s="113">
        <f t="shared" si="1"/>
        <v>113.11</v>
      </c>
      <c r="E33" s="113">
        <f t="shared" si="1"/>
        <v>109.68</v>
      </c>
      <c r="F33" s="113">
        <f t="shared" si="1"/>
        <v>32.64</v>
      </c>
      <c r="G33" s="114">
        <f t="shared" si="2"/>
        <v>78.700879539828733</v>
      </c>
      <c r="H33" s="113">
        <v>0</v>
      </c>
      <c r="I33" s="113">
        <v>0</v>
      </c>
      <c r="J33" s="114">
        <f t="shared" si="3"/>
        <v>78.700879539828733</v>
      </c>
      <c r="K33" s="114">
        <f t="shared" si="4"/>
        <v>255.43</v>
      </c>
      <c r="L33" s="113">
        <f t="shared" si="5"/>
        <v>255.43</v>
      </c>
      <c r="Q33" s="114"/>
    </row>
    <row r="34" spans="2:17">
      <c r="B34" s="111">
        <f t="shared" si="0"/>
        <v>2040</v>
      </c>
      <c r="C34" s="115"/>
      <c r="D34" s="113">
        <f t="shared" si="1"/>
        <v>115.55</v>
      </c>
      <c r="E34" s="113">
        <f t="shared" si="1"/>
        <v>112.04</v>
      </c>
      <c r="F34" s="113">
        <f t="shared" si="1"/>
        <v>33.340000000000003</v>
      </c>
      <c r="G34" s="114">
        <f t="shared" si="2"/>
        <v>80.395491909045575</v>
      </c>
      <c r="H34" s="113">
        <v>0</v>
      </c>
      <c r="I34" s="113">
        <v>0</v>
      </c>
      <c r="J34" s="114">
        <f t="shared" si="3"/>
        <v>80.395491909045575</v>
      </c>
      <c r="K34" s="114">
        <f t="shared" si="4"/>
        <v>260.93</v>
      </c>
      <c r="L34" s="113">
        <f t="shared" si="5"/>
        <v>260.93</v>
      </c>
      <c r="Q34" s="114"/>
    </row>
    <row r="35" spans="2:17">
      <c r="B35" s="111">
        <f t="shared" si="0"/>
        <v>2041</v>
      </c>
      <c r="C35" s="115"/>
      <c r="D35" s="113">
        <f t="shared" si="1"/>
        <v>118.04</v>
      </c>
      <c r="E35" s="113">
        <f t="shared" si="1"/>
        <v>114.45</v>
      </c>
      <c r="F35" s="113">
        <f t="shared" si="1"/>
        <v>34.06</v>
      </c>
      <c r="G35" s="114">
        <f t="shared" si="2"/>
        <v>82.127077639045325</v>
      </c>
      <c r="H35" s="113">
        <v>0</v>
      </c>
      <c r="I35" s="113">
        <v>0</v>
      </c>
      <c r="J35" s="114">
        <f t="shared" si="3"/>
        <v>82.127077639045325</v>
      </c>
      <c r="K35" s="114">
        <f t="shared" si="4"/>
        <v>266.55</v>
      </c>
      <c r="L35" s="113">
        <f t="shared" si="5"/>
        <v>266.55</v>
      </c>
      <c r="Q35" s="114"/>
    </row>
    <row r="36" spans="2:17">
      <c r="B36" s="111">
        <f t="shared" si="0"/>
        <v>2042</v>
      </c>
      <c r="C36" s="115"/>
      <c r="D36" s="113">
        <f t="shared" si="1"/>
        <v>120.58</v>
      </c>
      <c r="E36" s="113">
        <f t="shared" si="1"/>
        <v>116.92</v>
      </c>
      <c r="F36" s="113">
        <f t="shared" si="1"/>
        <v>34.79</v>
      </c>
      <c r="G36" s="114">
        <f t="shared" si="2"/>
        <v>83.895636729827999</v>
      </c>
      <c r="H36" s="113">
        <v>0</v>
      </c>
      <c r="I36" s="113">
        <v>0</v>
      </c>
      <c r="J36" s="114">
        <f t="shared" si="3"/>
        <v>83.895636729827999</v>
      </c>
      <c r="K36" s="114">
        <f t="shared" si="4"/>
        <v>272.29000000000002</v>
      </c>
      <c r="L36" s="113">
        <f t="shared" si="5"/>
        <v>272.29000000000002</v>
      </c>
      <c r="Q36" s="114"/>
    </row>
    <row r="37" spans="2:17">
      <c r="B37" s="111">
        <f t="shared" si="0"/>
        <v>2043</v>
      </c>
      <c r="C37" s="115"/>
      <c r="D37" s="113">
        <f t="shared" ref="D37:F37" si="6">ROUND(D36*(1+IRP21_Infl_Rate),2)</f>
        <v>123.18</v>
      </c>
      <c r="E37" s="113">
        <f t="shared" si="6"/>
        <v>119.44</v>
      </c>
      <c r="F37" s="113">
        <f t="shared" si="6"/>
        <v>35.54</v>
      </c>
      <c r="G37" s="114">
        <f t="shared" si="2"/>
        <v>85.704250294792161</v>
      </c>
      <c r="H37" s="113">
        <v>0</v>
      </c>
      <c r="I37" s="113">
        <v>0</v>
      </c>
      <c r="J37" s="114">
        <f t="shared" si="3"/>
        <v>85.704250294792161</v>
      </c>
      <c r="K37" s="114">
        <f t="shared" si="4"/>
        <v>278.16000000000003</v>
      </c>
      <c r="L37" s="113">
        <f t="shared" si="5"/>
        <v>278.16000000000003</v>
      </c>
      <c r="Q37" s="114"/>
    </row>
    <row r="38" spans="2:17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7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7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7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7">
      <c r="B44" s="104" t="s">
        <v>63</v>
      </c>
      <c r="C44" s="122" t="s">
        <v>64</v>
      </c>
      <c r="D44" s="247" t="s">
        <v>155</v>
      </c>
    </row>
    <row r="45" spans="2:17">
      <c r="C45" s="122" t="str">
        <f>C7</f>
        <v>(a)</v>
      </c>
      <c r="D45" s="104" t="s">
        <v>65</v>
      </c>
    </row>
    <row r="46" spans="2:17">
      <c r="C46" s="122" t="str">
        <f>D7</f>
        <v>(b)</v>
      </c>
      <c r="D46" s="114" t="str">
        <f>"= "&amp;C7&amp;" x "&amp;C62</f>
        <v>= (a) x 0.0697927885163824</v>
      </c>
    </row>
    <row r="47" spans="2:17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7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Portland North Coast Wind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2038</v>
      </c>
    </row>
    <row r="55" spans="2:28">
      <c r="B55" s="302" t="s">
        <v>211</v>
      </c>
      <c r="C55" s="328">
        <f>713925.9/450</f>
        <v>1586.502</v>
      </c>
      <c r="D55" s="104" t="s">
        <v>65</v>
      </c>
      <c r="P55" s="104">
        <v>450</v>
      </c>
      <c r="Q55" s="104" t="s">
        <v>32</v>
      </c>
    </row>
    <row r="56" spans="2:28">
      <c r="B56" s="302" t="s">
        <v>211</v>
      </c>
      <c r="C56" s="129">
        <f>48312.6823609458/450</f>
        <v>107.36151635765734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/>
      <c r="C58" s="129"/>
      <c r="D58" s="104" t="s">
        <v>69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 t="s">
        <v>90</v>
      </c>
      <c r="M59" s="132"/>
      <c r="N59" s="133"/>
      <c r="P59" s="131"/>
    </row>
    <row r="60" spans="2:28">
      <c r="B60" s="302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24.740174248339812</v>
      </c>
      <c r="D60" s="104" t="s">
        <v>150</v>
      </c>
      <c r="F60" s="104" t="s">
        <v>166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0.37049999910522241</v>
      </c>
      <c r="D63" s="104" t="s">
        <v>37</v>
      </c>
    </row>
    <row r="64" spans="2:28">
      <c r="D64" s="135"/>
    </row>
    <row r="81" spans="3:4">
      <c r="C81" s="131"/>
      <c r="D81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57AAA-2F43-44A6-A6C5-B807D2846D31}">
  <sheetPr>
    <tabColor rgb="FFFFC000"/>
    <pageSetUpPr fitToPage="1"/>
  </sheetPr>
  <dimension ref="B1:AB91"/>
  <sheetViews>
    <sheetView view="pageBreakPreview" zoomScale="60" zoomScaleNormal="8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222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185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  <c r="U5" s="224"/>
      <c r="V5" s="225"/>
      <c r="W5" s="224"/>
      <c r="X5" s="225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Wilamette Valley Resource - 37% Capacity Factor</v>
      </c>
    </row>
    <row r="10" spans="2:24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10"/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>
        <v>1498.7239999999999</v>
      </c>
      <c r="D20" s="113">
        <f>C20*$C$62</f>
        <v>104.60012717642665</v>
      </c>
      <c r="E20" s="129">
        <f>41749.5488472448/615</f>
        <v>67.885445280072844</v>
      </c>
      <c r="F20" s="161">
        <f>$C$60</f>
        <v>2.5355612781817829</v>
      </c>
      <c r="G20" s="114">
        <f t="shared" ref="G20:G37" si="1">(D20+E20+F20)/(8.76*$C$63)</f>
        <v>53.92599601839018</v>
      </c>
      <c r="H20" s="113">
        <v>0</v>
      </c>
      <c r="I20" s="113">
        <v>-22.278000000000002</v>
      </c>
      <c r="J20" s="114">
        <f t="shared" ref="J20:J37" si="2">(G20+H20+I20)</f>
        <v>31.647996018390177</v>
      </c>
      <c r="K20" s="114">
        <f t="shared" ref="K20:K37" si="3">ROUND(J20*$C$63*8.76,2)</f>
        <v>102.72</v>
      </c>
      <c r="L20" s="113">
        <f t="shared" ref="L20:L37" si="4">(D20+E20+F20)</f>
        <v>175.02113373468126</v>
      </c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>
        <f t="shared" ref="D21:D37" si="5">ROUND(D20*(1+IRP21_Infl_Rate),2)</f>
        <v>106.85</v>
      </c>
      <c r="E21" s="113">
        <f t="shared" ref="E21:E37" si="6">ROUND(E20*(1+IRP21_Infl_Rate),2)</f>
        <v>69.349999999999994</v>
      </c>
      <c r="F21" s="113">
        <f t="shared" ref="F21:F37" si="7">ROUND(F20*(1+IRP21_Infl_Rate),2)</f>
        <v>2.59</v>
      </c>
      <c r="G21" s="114">
        <f t="shared" si="1"/>
        <v>55.087226453141675</v>
      </c>
      <c r="H21" s="113">
        <v>0</v>
      </c>
      <c r="I21" s="113">
        <v>-23.07</v>
      </c>
      <c r="J21" s="114">
        <f t="shared" si="2"/>
        <v>32.017226453141674</v>
      </c>
      <c r="K21" s="114">
        <f t="shared" si="3"/>
        <v>103.91</v>
      </c>
      <c r="L21" s="113">
        <f t="shared" si="4"/>
        <v>178.79</v>
      </c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>
        <f t="shared" si="5"/>
        <v>109.15</v>
      </c>
      <c r="E22" s="113">
        <f t="shared" si="6"/>
        <v>70.84</v>
      </c>
      <c r="F22" s="113">
        <f t="shared" si="7"/>
        <v>2.65</v>
      </c>
      <c r="G22" s="114">
        <f t="shared" si="1"/>
        <v>56.273455111593471</v>
      </c>
      <c r="H22" s="113">
        <v>0</v>
      </c>
      <c r="I22" s="113">
        <v>-23.07</v>
      </c>
      <c r="J22" s="114">
        <f t="shared" si="2"/>
        <v>33.20345511159347</v>
      </c>
      <c r="K22" s="114">
        <f t="shared" si="3"/>
        <v>107.76</v>
      </c>
      <c r="L22" s="113">
        <f t="shared" si="4"/>
        <v>182.64000000000001</v>
      </c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>
        <f t="shared" si="5"/>
        <v>111.5</v>
      </c>
      <c r="E23" s="113">
        <f t="shared" si="6"/>
        <v>72.37</v>
      </c>
      <c r="F23" s="113">
        <f t="shared" si="7"/>
        <v>2.71</v>
      </c>
      <c r="G23" s="114">
        <f t="shared" si="1"/>
        <v>57.487413790632445</v>
      </c>
      <c r="H23" s="113">
        <v>0</v>
      </c>
      <c r="I23" s="113">
        <v>-23.867999999999999</v>
      </c>
      <c r="J23" s="114">
        <f t="shared" si="2"/>
        <v>33.61941379063245</v>
      </c>
      <c r="K23" s="114">
        <f t="shared" si="3"/>
        <v>109.11</v>
      </c>
      <c r="L23" s="113">
        <f t="shared" si="4"/>
        <v>186.58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si="5"/>
        <v>113.9</v>
      </c>
      <c r="E24" s="113">
        <f t="shared" si="6"/>
        <v>73.930000000000007</v>
      </c>
      <c r="F24" s="113">
        <f t="shared" si="7"/>
        <v>2.77</v>
      </c>
      <c r="G24" s="114">
        <f t="shared" si="1"/>
        <v>58.726021376860032</v>
      </c>
      <c r="H24" s="113">
        <v>0</v>
      </c>
      <c r="I24" s="113">
        <v>-24.666</v>
      </c>
      <c r="J24" s="114">
        <f t="shared" si="2"/>
        <v>34.060021376860036</v>
      </c>
      <c r="K24" s="114">
        <f t="shared" si="3"/>
        <v>110.54</v>
      </c>
      <c r="L24" s="113">
        <f t="shared" si="4"/>
        <v>190.60000000000002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116.35</v>
      </c>
      <c r="E25" s="113">
        <f t="shared" si="6"/>
        <v>75.52</v>
      </c>
      <c r="F25" s="113">
        <f t="shared" si="7"/>
        <v>2.83</v>
      </c>
      <c r="G25" s="114">
        <f t="shared" si="1"/>
        <v>59.989277870276219</v>
      </c>
      <c r="H25" s="113">
        <v>0</v>
      </c>
      <c r="I25" s="113">
        <v>-24.666</v>
      </c>
      <c r="J25" s="114">
        <f t="shared" si="2"/>
        <v>35.323277870276215</v>
      </c>
      <c r="K25" s="114">
        <f t="shared" si="3"/>
        <v>114.64</v>
      </c>
      <c r="L25" s="113">
        <f t="shared" si="4"/>
        <v>194.70000000000002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118.86</v>
      </c>
      <c r="E26" s="113">
        <f t="shared" si="6"/>
        <v>77.150000000000006</v>
      </c>
      <c r="F26" s="113">
        <f t="shared" si="7"/>
        <v>2.89</v>
      </c>
      <c r="G26" s="114">
        <f t="shared" si="1"/>
        <v>61.283345497678155</v>
      </c>
      <c r="H26" s="113">
        <v>0</v>
      </c>
      <c r="I26" s="113">
        <v>-25.457999999999998</v>
      </c>
      <c r="J26" s="114">
        <f t="shared" si="2"/>
        <v>35.825345497678157</v>
      </c>
      <c r="K26" s="114">
        <f t="shared" si="3"/>
        <v>116.27</v>
      </c>
      <c r="L26" s="113">
        <f t="shared" si="4"/>
        <v>198.89999999999998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121.42</v>
      </c>
      <c r="E27" s="113">
        <f t="shared" si="6"/>
        <v>78.81</v>
      </c>
      <c r="F27" s="113">
        <f t="shared" si="7"/>
        <v>2.95</v>
      </c>
      <c r="G27" s="114">
        <f t="shared" si="1"/>
        <v>62.602062032268726</v>
      </c>
      <c r="H27" s="113">
        <v>0</v>
      </c>
      <c r="I27" s="113">
        <v>-26.255999999999997</v>
      </c>
      <c r="J27" s="114">
        <f t="shared" si="2"/>
        <v>36.346062032268733</v>
      </c>
      <c r="K27" s="114">
        <f t="shared" si="3"/>
        <v>117.96</v>
      </c>
      <c r="L27" s="113">
        <f t="shared" si="4"/>
        <v>203.18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124.04</v>
      </c>
      <c r="E28" s="113">
        <f t="shared" si="6"/>
        <v>80.510000000000005</v>
      </c>
      <c r="F28" s="113">
        <f t="shared" si="7"/>
        <v>3.01</v>
      </c>
      <c r="G28" s="114">
        <f t="shared" si="1"/>
        <v>63.951589700845048</v>
      </c>
      <c r="H28" s="113">
        <v>0</v>
      </c>
      <c r="I28" s="113">
        <v>-26.255999999999997</v>
      </c>
      <c r="J28" s="114">
        <f t="shared" si="2"/>
        <v>37.695589700845048</v>
      </c>
      <c r="K28" s="114">
        <f t="shared" si="3"/>
        <v>122.34</v>
      </c>
      <c r="L28" s="113">
        <f t="shared" si="4"/>
        <v>207.56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126.71</v>
      </c>
      <c r="E29" s="113">
        <f t="shared" si="6"/>
        <v>82.24</v>
      </c>
      <c r="F29" s="113">
        <f t="shared" si="7"/>
        <v>3.07</v>
      </c>
      <c r="G29" s="114">
        <f t="shared" si="1"/>
        <v>65.325766276609968</v>
      </c>
      <c r="H29" s="113">
        <v>0</v>
      </c>
      <c r="I29" s="113">
        <v>-27.054000000000002</v>
      </c>
      <c r="J29" s="114">
        <f t="shared" si="2"/>
        <v>38.271766276609966</v>
      </c>
      <c r="K29" s="114">
        <f t="shared" si="3"/>
        <v>124.21</v>
      </c>
      <c r="L29" s="113">
        <f t="shared" si="4"/>
        <v>212.01999999999998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129.44</v>
      </c>
      <c r="E30" s="113">
        <f t="shared" si="6"/>
        <v>84.01</v>
      </c>
      <c r="F30" s="113">
        <f t="shared" si="7"/>
        <v>3.14</v>
      </c>
      <c r="G30" s="114">
        <f t="shared" si="1"/>
        <v>66.733835099759233</v>
      </c>
      <c r="H30" s="113">
        <v>0</v>
      </c>
      <c r="I30" s="113">
        <v>0</v>
      </c>
      <c r="J30" s="114">
        <f t="shared" si="2"/>
        <v>66.733835099759233</v>
      </c>
      <c r="K30" s="114">
        <f t="shared" si="3"/>
        <v>216.59</v>
      </c>
      <c r="L30" s="113">
        <f t="shared" si="4"/>
        <v>216.58999999999997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132.22999999999999</v>
      </c>
      <c r="E31" s="113">
        <f t="shared" si="6"/>
        <v>85.82</v>
      </c>
      <c r="F31" s="113">
        <f t="shared" si="7"/>
        <v>3.21</v>
      </c>
      <c r="G31" s="114">
        <f t="shared" si="1"/>
        <v>68.172715056894276</v>
      </c>
      <c r="H31" s="113">
        <v>0</v>
      </c>
      <c r="I31" s="113">
        <v>0</v>
      </c>
      <c r="J31" s="114">
        <f t="shared" si="2"/>
        <v>68.172715056894276</v>
      </c>
      <c r="K31" s="114">
        <f t="shared" si="3"/>
        <v>221.26</v>
      </c>
      <c r="L31" s="113">
        <f t="shared" si="4"/>
        <v>221.26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135.08000000000001</v>
      </c>
      <c r="E32" s="113">
        <f t="shared" si="6"/>
        <v>87.67</v>
      </c>
      <c r="F32" s="113">
        <f t="shared" si="7"/>
        <v>3.28</v>
      </c>
      <c r="G32" s="114">
        <f t="shared" si="1"/>
        <v>69.642406148015056</v>
      </c>
      <c r="H32" s="113">
        <v>0</v>
      </c>
      <c r="I32" s="113">
        <v>0</v>
      </c>
      <c r="J32" s="114">
        <f t="shared" si="2"/>
        <v>69.642406148015056</v>
      </c>
      <c r="K32" s="114">
        <f t="shared" si="3"/>
        <v>226.03</v>
      </c>
      <c r="L32" s="113">
        <f t="shared" si="4"/>
        <v>226.03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137.99</v>
      </c>
      <c r="E33" s="113">
        <f t="shared" si="6"/>
        <v>89.56</v>
      </c>
      <c r="F33" s="113">
        <f t="shared" si="7"/>
        <v>3.35</v>
      </c>
      <c r="G33" s="114">
        <f t="shared" si="1"/>
        <v>71.142908373121614</v>
      </c>
      <c r="H33" s="113">
        <v>0</v>
      </c>
      <c r="I33" s="113">
        <v>0</v>
      </c>
      <c r="J33" s="114">
        <f t="shared" si="2"/>
        <v>71.142908373121614</v>
      </c>
      <c r="K33" s="114">
        <f t="shared" si="3"/>
        <v>230.9</v>
      </c>
      <c r="L33" s="113">
        <f t="shared" si="4"/>
        <v>230.9</v>
      </c>
    </row>
    <row r="34" spans="2:12">
      <c r="B34" s="111">
        <f t="shared" si="0"/>
        <v>2040</v>
      </c>
      <c r="C34" s="115"/>
      <c r="D34" s="113">
        <f t="shared" si="5"/>
        <v>140.96</v>
      </c>
      <c r="E34" s="113">
        <f t="shared" si="6"/>
        <v>91.49</v>
      </c>
      <c r="F34" s="113">
        <f t="shared" si="7"/>
        <v>3.42</v>
      </c>
      <c r="G34" s="114">
        <f t="shared" si="1"/>
        <v>72.674221732213908</v>
      </c>
      <c r="H34" s="113">
        <v>0</v>
      </c>
      <c r="I34" s="113">
        <v>0</v>
      </c>
      <c r="J34" s="114">
        <f t="shared" si="2"/>
        <v>72.674221732213908</v>
      </c>
      <c r="K34" s="114">
        <f t="shared" si="3"/>
        <v>235.87</v>
      </c>
      <c r="L34" s="113">
        <f t="shared" si="4"/>
        <v>235.86999999999998</v>
      </c>
    </row>
    <row r="35" spans="2:12">
      <c r="B35" s="111">
        <f t="shared" si="0"/>
        <v>2041</v>
      </c>
      <c r="C35" s="115"/>
      <c r="D35" s="113">
        <f t="shared" si="5"/>
        <v>144</v>
      </c>
      <c r="E35" s="113">
        <f t="shared" si="6"/>
        <v>93.46</v>
      </c>
      <c r="F35" s="113">
        <f t="shared" si="7"/>
        <v>3.49</v>
      </c>
      <c r="G35" s="114">
        <f t="shared" si="1"/>
        <v>74.239427338690561</v>
      </c>
      <c r="H35" s="113">
        <v>0</v>
      </c>
      <c r="I35" s="113">
        <v>0</v>
      </c>
      <c r="J35" s="114">
        <f t="shared" si="2"/>
        <v>74.239427338690561</v>
      </c>
      <c r="K35" s="114">
        <f t="shared" si="3"/>
        <v>240.95</v>
      </c>
      <c r="L35" s="113">
        <f t="shared" si="4"/>
        <v>240.95</v>
      </c>
    </row>
    <row r="36" spans="2:12">
      <c r="B36" s="111">
        <f t="shared" si="0"/>
        <v>2042</v>
      </c>
      <c r="C36" s="115"/>
      <c r="D36" s="113">
        <f t="shared" si="5"/>
        <v>147.1</v>
      </c>
      <c r="E36" s="113">
        <f t="shared" si="6"/>
        <v>95.47</v>
      </c>
      <c r="F36" s="113">
        <f t="shared" si="7"/>
        <v>3.57</v>
      </c>
      <c r="G36" s="114">
        <f t="shared" si="1"/>
        <v>75.838525192551543</v>
      </c>
      <c r="H36" s="113">
        <v>0</v>
      </c>
      <c r="I36" s="113">
        <v>0</v>
      </c>
      <c r="J36" s="114">
        <f t="shared" si="2"/>
        <v>75.838525192551543</v>
      </c>
      <c r="K36" s="114">
        <f t="shared" si="3"/>
        <v>246.14</v>
      </c>
      <c r="L36" s="113">
        <f t="shared" si="4"/>
        <v>246.14</v>
      </c>
    </row>
    <row r="37" spans="2:12">
      <c r="B37" s="111">
        <f t="shared" si="0"/>
        <v>2043</v>
      </c>
      <c r="C37" s="115"/>
      <c r="D37" s="113">
        <f t="shared" si="5"/>
        <v>150.27000000000001</v>
      </c>
      <c r="E37" s="113">
        <f t="shared" si="6"/>
        <v>97.53</v>
      </c>
      <c r="F37" s="113">
        <f t="shared" si="7"/>
        <v>3.65</v>
      </c>
      <c r="G37" s="114">
        <f t="shared" si="1"/>
        <v>77.474596407195449</v>
      </c>
      <c r="H37" s="113">
        <v>0</v>
      </c>
      <c r="I37" s="113">
        <v>0</v>
      </c>
      <c r="J37" s="114">
        <f t="shared" si="2"/>
        <v>77.474596407195449</v>
      </c>
      <c r="K37" s="114">
        <f t="shared" si="3"/>
        <v>251.45</v>
      </c>
      <c r="L37" s="113">
        <f t="shared" si="4"/>
        <v>251.45000000000002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Wilamette Valley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2026</v>
      </c>
    </row>
    <row r="55" spans="2:28">
      <c r="B55" s="302" t="s">
        <v>177</v>
      </c>
      <c r="C55" s="328">
        <f>621970.46/415</f>
        <v>1498.7239999999999</v>
      </c>
      <c r="D55" s="104" t="s">
        <v>65</v>
      </c>
      <c r="P55" s="104">
        <v>415</v>
      </c>
      <c r="Q55" s="104" t="s">
        <v>32</v>
      </c>
    </row>
    <row r="56" spans="2:28">
      <c r="B56" s="302" t="s">
        <v>177</v>
      </c>
      <c r="C56" s="129">
        <f>28172.4597912315/415</f>
        <v>67.885445280075899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/>
      <c r="C58" s="129"/>
      <c r="D58" s="104" t="s">
        <v>69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 t="s">
        <v>90</v>
      </c>
      <c r="M59" s="132"/>
      <c r="N59" s="133"/>
      <c r="P59" s="131"/>
    </row>
    <row r="60" spans="2:28">
      <c r="B60" s="302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2.5355612781817829</v>
      </c>
      <c r="D60" s="104" t="s">
        <v>150</v>
      </c>
      <c r="F60" s="104" t="s">
        <v>172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0.37049999910522241</v>
      </c>
      <c r="D63" s="104" t="s">
        <v>37</v>
      </c>
    </row>
    <row r="64" spans="2:28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B83F6-9553-4E83-8499-186A4FF19796}">
  <sheetPr>
    <tabColor rgb="FFFFC000"/>
    <pageSetUpPr fitToPage="1"/>
  </sheetPr>
  <dimension ref="B1:AB91"/>
  <sheetViews>
    <sheetView view="pageBreakPreview" zoomScale="60" zoomScaleNormal="80" workbookViewId="0">
      <selection activeCell="A14" sqref="A14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222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  <c r="U5" s="224"/>
      <c r="V5" s="225"/>
      <c r="W5" s="224"/>
      <c r="X5" s="225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Wilamette Valley Resource - 37% Capacity Factor</v>
      </c>
    </row>
    <row r="10" spans="2:24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10"/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310"/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310"/>
      <c r="G21" s="114"/>
      <c r="H21" s="113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/>
      <c r="E22" s="129"/>
      <c r="F22" s="310"/>
      <c r="G22" s="114"/>
      <c r="H22" s="113"/>
      <c r="I22" s="113"/>
      <c r="J22" s="114"/>
      <c r="K22" s="114"/>
      <c r="L22" s="113"/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>
        <v>1568.354</v>
      </c>
      <c r="D23" s="113">
        <f>C23*$C$62</f>
        <v>109.45979904082236</v>
      </c>
      <c r="E23" s="129">
        <f>$C$56</f>
        <v>72.369493474950005</v>
      </c>
      <c r="F23" s="161">
        <f>$C$60</f>
        <v>5.6747035126682794</v>
      </c>
      <c r="G23" s="114">
        <f t="shared" ref="G23" si="1">(D23+E23+F23)/(8.76*$C$63)</f>
        <v>57.772107308597036</v>
      </c>
      <c r="H23" s="113">
        <v>0</v>
      </c>
      <c r="I23" s="113"/>
      <c r="J23" s="114">
        <f t="shared" ref="J23" si="2">(G23+H23+I23)</f>
        <v>57.772107308597036</v>
      </c>
      <c r="K23" s="114">
        <f t="shared" ref="K23" si="3">ROUND(J23*$C$63*8.76,2)</f>
        <v>187.5</v>
      </c>
      <c r="L23" s="113">
        <f t="shared" ref="L23" si="4">(D23+E23+F23)</f>
        <v>187.50399602844064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ref="D24:F36" si="5">ROUND(D23*(1+IRP21_Infl_Rate),2)</f>
        <v>111.82</v>
      </c>
      <c r="E24" s="113">
        <f t="shared" si="5"/>
        <v>73.930000000000007</v>
      </c>
      <c r="F24" s="113">
        <f t="shared" si="5"/>
        <v>5.8</v>
      </c>
      <c r="G24" s="114">
        <f t="shared" ref="G24" si="6">(D24+E24+F24)/(8.76*$C$63)</f>
        <v>59.018727010400532</v>
      </c>
      <c r="H24" s="113">
        <v>0</v>
      </c>
      <c r="I24" s="113"/>
      <c r="J24" s="114">
        <f t="shared" ref="J24" si="7">(G24+H24+I24)</f>
        <v>59.018727010400532</v>
      </c>
      <c r="K24" s="114">
        <f t="shared" ref="K24" si="8">ROUND(J24*$C$63*8.76,2)</f>
        <v>191.55</v>
      </c>
      <c r="L24" s="113">
        <f t="shared" ref="L24" si="9">(D24+E24+F24)</f>
        <v>191.55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114.23</v>
      </c>
      <c r="E25" s="113">
        <f t="shared" si="5"/>
        <v>75.52</v>
      </c>
      <c r="F25" s="113">
        <f t="shared" si="5"/>
        <v>5.92</v>
      </c>
      <c r="G25" s="114">
        <f t="shared" ref="G25:G37" si="10">(D25+E25+F25)/(8.76*$C$63)</f>
        <v>60.288145727617177</v>
      </c>
      <c r="H25" s="113">
        <v>0</v>
      </c>
      <c r="I25" s="113"/>
      <c r="J25" s="114">
        <f t="shared" ref="J25:J37" si="11">(G25+H25+I25)</f>
        <v>60.288145727617177</v>
      </c>
      <c r="K25" s="114">
        <f t="shared" ref="K25:K37" si="12">ROUND(J25*$C$63*8.76,2)</f>
        <v>195.67</v>
      </c>
      <c r="L25" s="113">
        <f t="shared" ref="L25:L37" si="13">(D25+E25+F25)</f>
        <v>195.67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116.69</v>
      </c>
      <c r="E26" s="113">
        <f t="shared" si="5"/>
        <v>77.150000000000006</v>
      </c>
      <c r="F26" s="113">
        <f t="shared" si="5"/>
        <v>6.05</v>
      </c>
      <c r="G26" s="114">
        <f t="shared" si="10"/>
        <v>61.58837557874687</v>
      </c>
      <c r="H26" s="113">
        <v>0</v>
      </c>
      <c r="I26" s="113"/>
      <c r="J26" s="114">
        <f t="shared" si="11"/>
        <v>61.58837557874687</v>
      </c>
      <c r="K26" s="114">
        <f t="shared" si="12"/>
        <v>199.89</v>
      </c>
      <c r="L26" s="113">
        <f t="shared" si="13"/>
        <v>199.89000000000001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119.2</v>
      </c>
      <c r="E27" s="113">
        <f t="shared" si="5"/>
        <v>78.81</v>
      </c>
      <c r="F27" s="113">
        <f t="shared" si="5"/>
        <v>6.18</v>
      </c>
      <c r="G27" s="114">
        <f t="shared" si="10"/>
        <v>62.913254337006961</v>
      </c>
      <c r="H27" s="113">
        <v>0</v>
      </c>
      <c r="I27" s="113"/>
      <c r="J27" s="114">
        <f t="shared" si="11"/>
        <v>62.913254337006961</v>
      </c>
      <c r="K27" s="114">
        <f t="shared" si="12"/>
        <v>204.19</v>
      </c>
      <c r="L27" s="113">
        <f t="shared" si="13"/>
        <v>204.19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121.77</v>
      </c>
      <c r="E28" s="113">
        <f t="shared" si="5"/>
        <v>80.510000000000005</v>
      </c>
      <c r="F28" s="113">
        <f t="shared" si="5"/>
        <v>6.31</v>
      </c>
      <c r="G28" s="114">
        <f t="shared" si="10"/>
        <v>64.268944229180093</v>
      </c>
      <c r="H28" s="113">
        <v>0</v>
      </c>
      <c r="I28" s="113"/>
      <c r="J28" s="114">
        <f t="shared" si="11"/>
        <v>64.268944229180093</v>
      </c>
      <c r="K28" s="114">
        <f t="shared" si="12"/>
        <v>208.59</v>
      </c>
      <c r="L28" s="113">
        <f t="shared" si="13"/>
        <v>208.59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124.39</v>
      </c>
      <c r="E29" s="113">
        <f t="shared" si="5"/>
        <v>82.24</v>
      </c>
      <c r="F29" s="113">
        <f t="shared" si="5"/>
        <v>6.45</v>
      </c>
      <c r="G29" s="114">
        <f t="shared" si="10"/>
        <v>65.652364141874926</v>
      </c>
      <c r="H29" s="113">
        <v>0</v>
      </c>
      <c r="I29" s="113"/>
      <c r="J29" s="114">
        <f t="shared" si="11"/>
        <v>65.652364141874926</v>
      </c>
      <c r="K29" s="114">
        <f t="shared" si="12"/>
        <v>213.08</v>
      </c>
      <c r="L29" s="113">
        <f t="shared" si="13"/>
        <v>213.07999999999998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127.07</v>
      </c>
      <c r="E30" s="113">
        <f t="shared" si="5"/>
        <v>84.01</v>
      </c>
      <c r="F30" s="113">
        <f t="shared" si="5"/>
        <v>6.59</v>
      </c>
      <c r="G30" s="114">
        <f t="shared" si="10"/>
        <v>67.066595188482808</v>
      </c>
      <c r="H30" s="113">
        <v>0</v>
      </c>
      <c r="I30" s="113"/>
      <c r="J30" s="114">
        <f t="shared" si="11"/>
        <v>67.066595188482808</v>
      </c>
      <c r="K30" s="114">
        <f t="shared" si="12"/>
        <v>217.67</v>
      </c>
      <c r="L30" s="113">
        <f t="shared" si="13"/>
        <v>217.67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129.81</v>
      </c>
      <c r="E31" s="113">
        <f t="shared" si="5"/>
        <v>85.82</v>
      </c>
      <c r="F31" s="113">
        <f t="shared" si="5"/>
        <v>6.73</v>
      </c>
      <c r="G31" s="114">
        <f t="shared" si="10"/>
        <v>68.511637369003708</v>
      </c>
      <c r="H31" s="113">
        <v>0</v>
      </c>
      <c r="I31" s="113"/>
      <c r="J31" s="114">
        <f t="shared" si="11"/>
        <v>68.511637369003708</v>
      </c>
      <c r="K31" s="114">
        <f t="shared" si="12"/>
        <v>222.36</v>
      </c>
      <c r="L31" s="113">
        <f t="shared" si="13"/>
        <v>222.35999999999999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132.61000000000001</v>
      </c>
      <c r="E32" s="113">
        <f t="shared" si="5"/>
        <v>87.67</v>
      </c>
      <c r="F32" s="113">
        <f t="shared" si="5"/>
        <v>6.88</v>
      </c>
      <c r="G32" s="114">
        <f t="shared" si="10"/>
        <v>69.990571796828945</v>
      </c>
      <c r="H32" s="113">
        <v>0</v>
      </c>
      <c r="I32" s="113"/>
      <c r="J32" s="114">
        <f t="shared" si="11"/>
        <v>69.990571796828945</v>
      </c>
      <c r="K32" s="114">
        <f t="shared" si="12"/>
        <v>227.16</v>
      </c>
      <c r="L32" s="113">
        <f t="shared" si="13"/>
        <v>227.16000000000003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135.47</v>
      </c>
      <c r="E33" s="113">
        <f t="shared" si="5"/>
        <v>89.56</v>
      </c>
      <c r="F33" s="113">
        <f t="shared" si="5"/>
        <v>7.03</v>
      </c>
      <c r="G33" s="114">
        <f t="shared" si="10"/>
        <v>71.500317358567202</v>
      </c>
      <c r="H33" s="113">
        <v>0</v>
      </c>
      <c r="I33" s="113"/>
      <c r="J33" s="114">
        <f t="shared" si="11"/>
        <v>71.500317358567202</v>
      </c>
      <c r="K33" s="114">
        <f t="shared" si="12"/>
        <v>232.06</v>
      </c>
      <c r="L33" s="113">
        <f t="shared" si="13"/>
        <v>232.06</v>
      </c>
    </row>
    <row r="34" spans="2:12">
      <c r="B34" s="111">
        <f t="shared" si="0"/>
        <v>2040</v>
      </c>
      <c r="C34" s="115"/>
      <c r="D34" s="113">
        <f t="shared" si="5"/>
        <v>138.38999999999999</v>
      </c>
      <c r="E34" s="113">
        <f t="shared" si="5"/>
        <v>91.49</v>
      </c>
      <c r="F34" s="113">
        <f t="shared" si="5"/>
        <v>7.18</v>
      </c>
      <c r="G34" s="114">
        <f t="shared" si="10"/>
        <v>73.040874054218477</v>
      </c>
      <c r="H34" s="113">
        <v>0</v>
      </c>
      <c r="I34" s="113"/>
      <c r="J34" s="114">
        <f t="shared" si="11"/>
        <v>73.040874054218477</v>
      </c>
      <c r="K34" s="114">
        <f t="shared" si="12"/>
        <v>237.06</v>
      </c>
      <c r="L34" s="113">
        <f t="shared" si="13"/>
        <v>237.06</v>
      </c>
    </row>
    <row r="35" spans="2:12">
      <c r="B35" s="111">
        <f t="shared" si="0"/>
        <v>2041</v>
      </c>
      <c r="C35" s="115"/>
      <c r="D35" s="113">
        <f t="shared" si="5"/>
        <v>141.37</v>
      </c>
      <c r="E35" s="113">
        <f t="shared" si="5"/>
        <v>93.46</v>
      </c>
      <c r="F35" s="113">
        <f t="shared" si="5"/>
        <v>7.33</v>
      </c>
      <c r="G35" s="114">
        <f t="shared" si="10"/>
        <v>74.612241883782787</v>
      </c>
      <c r="H35" s="113">
        <v>0</v>
      </c>
      <c r="I35" s="113"/>
      <c r="J35" s="114">
        <f t="shared" si="11"/>
        <v>74.612241883782787</v>
      </c>
      <c r="K35" s="114">
        <f t="shared" si="12"/>
        <v>242.16</v>
      </c>
      <c r="L35" s="113">
        <f t="shared" si="13"/>
        <v>242.16</v>
      </c>
    </row>
    <row r="36" spans="2:12">
      <c r="B36" s="111">
        <f t="shared" si="0"/>
        <v>2042</v>
      </c>
      <c r="C36" s="115"/>
      <c r="D36" s="113">
        <f t="shared" si="5"/>
        <v>144.41999999999999</v>
      </c>
      <c r="E36" s="113">
        <f t="shared" si="5"/>
        <v>95.47</v>
      </c>
      <c r="F36" s="113">
        <f t="shared" si="5"/>
        <v>7.49</v>
      </c>
      <c r="G36" s="114">
        <f t="shared" si="10"/>
        <v>76.220583074042722</v>
      </c>
      <c r="H36" s="113">
        <v>0</v>
      </c>
      <c r="I36" s="113"/>
      <c r="J36" s="114">
        <f t="shared" si="11"/>
        <v>76.220583074042722</v>
      </c>
      <c r="K36" s="114">
        <f t="shared" si="12"/>
        <v>247.38</v>
      </c>
      <c r="L36" s="113">
        <f t="shared" si="13"/>
        <v>247.38</v>
      </c>
    </row>
    <row r="37" spans="2:12">
      <c r="B37" s="111">
        <f t="shared" si="0"/>
        <v>2043</v>
      </c>
      <c r="C37" s="115"/>
      <c r="D37" s="113">
        <f t="shared" ref="D37:F37" si="14">ROUND(D36*(1+IRP21_Infl_Rate),2)</f>
        <v>147.53</v>
      </c>
      <c r="E37" s="113">
        <f t="shared" si="14"/>
        <v>97.53</v>
      </c>
      <c r="F37" s="113">
        <f t="shared" si="14"/>
        <v>7.65</v>
      </c>
      <c r="G37" s="114">
        <f t="shared" si="10"/>
        <v>77.862816511606979</v>
      </c>
      <c r="H37" s="113">
        <v>0</v>
      </c>
      <c r="I37" s="113"/>
      <c r="J37" s="114">
        <f t="shared" si="11"/>
        <v>77.862816511606979</v>
      </c>
      <c r="K37" s="114">
        <f t="shared" si="12"/>
        <v>252.71</v>
      </c>
      <c r="L37" s="113">
        <f t="shared" si="13"/>
        <v>252.71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Wilamette Valley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2029</v>
      </c>
    </row>
    <row r="55" spans="2:28">
      <c r="B55" s="302" t="s">
        <v>212</v>
      </c>
      <c r="C55" s="328">
        <f>250936.64/160</f>
        <v>1568.354</v>
      </c>
      <c r="D55" s="104" t="s">
        <v>65</v>
      </c>
      <c r="P55" s="104">
        <v>160</v>
      </c>
      <c r="Q55" s="104" t="s">
        <v>32</v>
      </c>
    </row>
    <row r="56" spans="2:28">
      <c r="B56" s="302" t="s">
        <v>212</v>
      </c>
      <c r="C56" s="129">
        <f>11579.118955992/160</f>
        <v>72.369493474950005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/>
      <c r="C58" s="129"/>
      <c r="D58" s="104" t="s">
        <v>69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 t="s">
        <v>90</v>
      </c>
      <c r="M59" s="132"/>
      <c r="N59" s="133"/>
      <c r="P59" s="131"/>
    </row>
    <row r="60" spans="2:28">
      <c r="B60" s="302" t="str">
        <f>LEFT(RIGHT(INDEX('Table 3 TransCost'!$39:$39,1,MATCH(F60,'Table 3 TransCost'!$4:$4,0)),6),5)</f>
        <v>2029$</v>
      </c>
      <c r="C60" s="134">
        <f>INDEX('Table 3 TransCost'!$39:$39,1,MATCH(F60,'Table 3 TransCost'!$4:$4,0)+2)</f>
        <v>5.6747035126682794</v>
      </c>
      <c r="D60" s="104" t="s">
        <v>150</v>
      </c>
      <c r="F60" s="104" t="s">
        <v>147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0.37049999997985367</v>
      </c>
      <c r="D63" s="104" t="s">
        <v>37</v>
      </c>
    </row>
    <row r="64" spans="2:28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C000"/>
    <pageSetUpPr fitToPage="1"/>
  </sheetPr>
  <dimension ref="B1:AB92"/>
  <sheetViews>
    <sheetView view="pageBreakPreview" zoomScale="60" zoomScaleNormal="70" workbookViewId="0">
      <selection activeCell="B18" sqref="B18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223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44%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  <c r="U5" s="224"/>
      <c r="V5" s="225"/>
      <c r="W5" s="224"/>
      <c r="X5" s="225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Wyoming Wind Resource - 44% Capacity Factor</v>
      </c>
    </row>
    <row r="10" spans="2:24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161">
        <f>$C$60</f>
        <v>58.544856686682266</v>
      </c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113">
        <f t="shared" ref="F20:F37" si="1">ROUND(F19*(1+IRP21_Infl_Rate),2)</f>
        <v>59.81</v>
      </c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113">
        <f t="shared" si="1"/>
        <v>61.1</v>
      </c>
      <c r="G21" s="114"/>
      <c r="H21" s="161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/>
      <c r="E22" s="129"/>
      <c r="F22" s="113">
        <f t="shared" si="1"/>
        <v>62.42</v>
      </c>
      <c r="G22" s="114"/>
      <c r="H22" s="161"/>
      <c r="I22" s="113"/>
      <c r="J22" s="114"/>
      <c r="K22" s="114"/>
      <c r="L22" s="113"/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>
        <v>1530.337</v>
      </c>
      <c r="D23" s="113">
        <f>C23*$C$62</f>
        <v>106.80648659979505</v>
      </c>
      <c r="E23" s="129">
        <f>$C$56</f>
        <v>31.279197564107822</v>
      </c>
      <c r="F23" s="113">
        <f t="shared" si="1"/>
        <v>63.77</v>
      </c>
      <c r="G23" s="114">
        <f t="shared" ref="G23" si="2">(D23+E23+F23)/(8.76*$C$63)</f>
        <v>52.826424392634316</v>
      </c>
      <c r="H23" s="332">
        <v>0.80400000000000005</v>
      </c>
      <c r="I23" s="113"/>
      <c r="J23" s="114">
        <f t="shared" ref="J23" si="3">(G23+H23+I23)</f>
        <v>53.630424392634318</v>
      </c>
      <c r="K23" s="114">
        <f t="shared" ref="K23" si="4">ROUND(J23*$C$63*8.76,2)</f>
        <v>204.93</v>
      </c>
      <c r="L23" s="113">
        <f t="shared" ref="L23" si="5">(D23+E23+F23)</f>
        <v>201.85568416390288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ref="D24:D37" si="6">ROUND(D23*(1+IRP21_Infl_Rate),2)</f>
        <v>109.11</v>
      </c>
      <c r="E24" s="113">
        <f t="shared" ref="E24:E37" si="7">ROUND(E23*(1+IRP21_Infl_Rate),2)</f>
        <v>31.95</v>
      </c>
      <c r="F24" s="113">
        <f t="shared" si="1"/>
        <v>65.14</v>
      </c>
      <c r="G24" s="114">
        <f t="shared" ref="G24:G37" si="8">(D24+E24+F24)/(8.76*$C$63)</f>
        <v>53.96334888898371</v>
      </c>
      <c r="H24" s="113">
        <f t="shared" ref="H24:H37" si="9">ROUND(H23*(1+IRP21_Infl_Rate),2)</f>
        <v>0.82</v>
      </c>
      <c r="I24" s="113"/>
      <c r="J24" s="114">
        <f t="shared" ref="J24:J37" si="10">(G24+H24+I24)</f>
        <v>54.78334888898371</v>
      </c>
      <c r="K24" s="114">
        <f t="shared" ref="K24:K32" si="11">ROUND(J24*$C$63*8.76,2)</f>
        <v>209.33</v>
      </c>
      <c r="L24" s="113">
        <f t="shared" ref="L24:L37" si="12">(D24+E24+F24)</f>
        <v>206.2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6"/>
        <v>111.46</v>
      </c>
      <c r="E25" s="113">
        <f t="shared" si="7"/>
        <v>32.64</v>
      </c>
      <c r="F25" s="113">
        <f t="shared" si="1"/>
        <v>66.540000000000006</v>
      </c>
      <c r="G25" s="114">
        <f t="shared" si="8"/>
        <v>55.12531430637987</v>
      </c>
      <c r="H25" s="113">
        <f t="shared" si="9"/>
        <v>0.84</v>
      </c>
      <c r="I25" s="113"/>
      <c r="J25" s="114">
        <f t="shared" si="10"/>
        <v>55.965314306379874</v>
      </c>
      <c r="K25" s="114">
        <f t="shared" si="11"/>
        <v>213.85</v>
      </c>
      <c r="L25" s="113">
        <f t="shared" si="12"/>
        <v>210.64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6"/>
        <v>113.86</v>
      </c>
      <c r="E26" s="113">
        <f t="shared" si="7"/>
        <v>33.340000000000003</v>
      </c>
      <c r="F26" s="113">
        <f t="shared" si="1"/>
        <v>67.97</v>
      </c>
      <c r="G26" s="114">
        <f t="shared" si="8"/>
        <v>56.310833076831358</v>
      </c>
      <c r="H26" s="113">
        <f t="shared" si="9"/>
        <v>0.86</v>
      </c>
      <c r="I26" s="113"/>
      <c r="J26" s="114">
        <f t="shared" si="10"/>
        <v>57.170833076831357</v>
      </c>
      <c r="K26" s="114">
        <f t="shared" si="11"/>
        <v>218.46</v>
      </c>
      <c r="L26" s="113">
        <f t="shared" si="12"/>
        <v>215.17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6"/>
        <v>116.31</v>
      </c>
      <c r="E27" s="113">
        <f t="shared" si="7"/>
        <v>34.06</v>
      </c>
      <c r="F27" s="113">
        <f t="shared" si="1"/>
        <v>69.430000000000007</v>
      </c>
      <c r="G27" s="114">
        <f t="shared" si="8"/>
        <v>57.522522239566541</v>
      </c>
      <c r="H27" s="113">
        <f t="shared" si="9"/>
        <v>0.88</v>
      </c>
      <c r="I27" s="113"/>
      <c r="J27" s="114">
        <f t="shared" si="10"/>
        <v>58.402522239566544</v>
      </c>
      <c r="K27" s="114">
        <f t="shared" si="11"/>
        <v>223.16</v>
      </c>
      <c r="L27" s="113">
        <f t="shared" si="12"/>
        <v>219.8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6"/>
        <v>118.82</v>
      </c>
      <c r="E28" s="113">
        <f t="shared" si="7"/>
        <v>34.79</v>
      </c>
      <c r="F28" s="113">
        <f t="shared" si="1"/>
        <v>70.930000000000007</v>
      </c>
      <c r="G28" s="114">
        <f t="shared" si="8"/>
        <v>58.762998833813789</v>
      </c>
      <c r="H28" s="113">
        <f t="shared" si="9"/>
        <v>0.9</v>
      </c>
      <c r="I28" s="113"/>
      <c r="J28" s="114">
        <f t="shared" si="10"/>
        <v>59.662998833813788</v>
      </c>
      <c r="K28" s="114">
        <f t="shared" si="11"/>
        <v>227.98</v>
      </c>
      <c r="L28" s="113">
        <f t="shared" si="12"/>
        <v>224.54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6"/>
        <v>121.38</v>
      </c>
      <c r="E29" s="113">
        <f t="shared" si="7"/>
        <v>35.54</v>
      </c>
      <c r="F29" s="113">
        <f t="shared" si="1"/>
        <v>72.459999999999994</v>
      </c>
      <c r="G29" s="114">
        <f t="shared" si="8"/>
        <v>60.029645820344733</v>
      </c>
      <c r="H29" s="113">
        <f t="shared" si="9"/>
        <v>0.92</v>
      </c>
      <c r="I29" s="113"/>
      <c r="J29" s="114">
        <f t="shared" si="10"/>
        <v>60.949645820344735</v>
      </c>
      <c r="K29" s="114">
        <f t="shared" si="11"/>
        <v>232.9</v>
      </c>
      <c r="L29" s="113">
        <f t="shared" si="12"/>
        <v>229.38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6"/>
        <v>124</v>
      </c>
      <c r="E30" s="113">
        <f t="shared" si="7"/>
        <v>36.31</v>
      </c>
      <c r="F30" s="113">
        <f t="shared" si="1"/>
        <v>74.02</v>
      </c>
      <c r="G30" s="114">
        <f t="shared" si="8"/>
        <v>61.325080238387748</v>
      </c>
      <c r="H30" s="113">
        <f t="shared" si="9"/>
        <v>0.94</v>
      </c>
      <c r="I30" s="113"/>
      <c r="J30" s="114">
        <f t="shared" si="10"/>
        <v>62.265080238387746</v>
      </c>
      <c r="K30" s="114">
        <f t="shared" si="11"/>
        <v>237.92</v>
      </c>
      <c r="L30" s="113">
        <f t="shared" si="12"/>
        <v>234.32999999999998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6"/>
        <v>126.67</v>
      </c>
      <c r="E31" s="113">
        <f t="shared" si="7"/>
        <v>37.090000000000003</v>
      </c>
      <c r="F31" s="113">
        <f t="shared" si="1"/>
        <v>75.62</v>
      </c>
      <c r="G31" s="114">
        <f t="shared" si="8"/>
        <v>62.64668504871446</v>
      </c>
      <c r="H31" s="113">
        <f t="shared" si="9"/>
        <v>0.96</v>
      </c>
      <c r="I31" s="113"/>
      <c r="J31" s="114">
        <f t="shared" si="10"/>
        <v>63.606685048714461</v>
      </c>
      <c r="K31" s="114">
        <f t="shared" si="11"/>
        <v>243.05</v>
      </c>
      <c r="L31" s="113">
        <f t="shared" si="12"/>
        <v>239.38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6"/>
        <v>129.4</v>
      </c>
      <c r="E32" s="113">
        <f t="shared" si="7"/>
        <v>37.89</v>
      </c>
      <c r="F32" s="113">
        <f t="shared" si="1"/>
        <v>77.25</v>
      </c>
      <c r="G32" s="114">
        <f t="shared" si="8"/>
        <v>63.997077290553243</v>
      </c>
      <c r="H32" s="113">
        <f t="shared" si="9"/>
        <v>0.98</v>
      </c>
      <c r="I32" s="113"/>
      <c r="J32" s="114">
        <f t="shared" si="10"/>
        <v>64.97707729055324</v>
      </c>
      <c r="K32" s="114">
        <f t="shared" si="11"/>
        <v>248.28</v>
      </c>
      <c r="L32" s="113">
        <f t="shared" si="12"/>
        <v>244.54000000000002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6"/>
        <v>132.19</v>
      </c>
      <c r="E33" s="113">
        <f t="shared" si="7"/>
        <v>38.71</v>
      </c>
      <c r="F33" s="113">
        <f t="shared" si="1"/>
        <v>78.91</v>
      </c>
      <c r="G33" s="114">
        <f t="shared" si="8"/>
        <v>65.376256963904083</v>
      </c>
      <c r="H33" s="113">
        <f t="shared" si="9"/>
        <v>1</v>
      </c>
      <c r="I33" s="113"/>
      <c r="J33" s="114">
        <f t="shared" si="10"/>
        <v>66.376256963904083</v>
      </c>
      <c r="K33" s="114">
        <f t="shared" ref="K33:K37" si="13">ROUND(J33*$C$63*8.76,2)</f>
        <v>253.63</v>
      </c>
      <c r="L33" s="113">
        <f t="shared" si="12"/>
        <v>249.81</v>
      </c>
    </row>
    <row r="34" spans="2:12">
      <c r="B34" s="111">
        <f t="shared" si="0"/>
        <v>2040</v>
      </c>
      <c r="C34" s="115"/>
      <c r="D34" s="113">
        <f t="shared" si="6"/>
        <v>135.04</v>
      </c>
      <c r="E34" s="113">
        <f t="shared" si="7"/>
        <v>39.54</v>
      </c>
      <c r="F34" s="113">
        <f t="shared" si="1"/>
        <v>80.61</v>
      </c>
      <c r="G34" s="114">
        <f t="shared" si="8"/>
        <v>66.784224068766989</v>
      </c>
      <c r="H34" s="113">
        <f t="shared" si="9"/>
        <v>1.02</v>
      </c>
      <c r="I34" s="113"/>
      <c r="J34" s="114">
        <f t="shared" si="10"/>
        <v>67.804224068766985</v>
      </c>
      <c r="K34" s="114">
        <f t="shared" si="13"/>
        <v>259.08999999999997</v>
      </c>
      <c r="L34" s="113">
        <f t="shared" si="12"/>
        <v>255.19</v>
      </c>
    </row>
    <row r="35" spans="2:12">
      <c r="B35" s="111">
        <f t="shared" si="0"/>
        <v>2041</v>
      </c>
      <c r="C35" s="115"/>
      <c r="D35" s="113">
        <f t="shared" si="6"/>
        <v>137.94999999999999</v>
      </c>
      <c r="E35" s="113">
        <f t="shared" si="7"/>
        <v>40.39</v>
      </c>
      <c r="F35" s="113">
        <f t="shared" si="1"/>
        <v>82.35</v>
      </c>
      <c r="G35" s="114">
        <f t="shared" si="8"/>
        <v>68.223595644370334</v>
      </c>
      <c r="H35" s="113">
        <f t="shared" si="9"/>
        <v>1.04</v>
      </c>
      <c r="I35" s="113"/>
      <c r="J35" s="114">
        <f t="shared" si="10"/>
        <v>69.263595644370341</v>
      </c>
      <c r="K35" s="114">
        <f t="shared" si="13"/>
        <v>264.66000000000003</v>
      </c>
      <c r="L35" s="113">
        <f t="shared" si="12"/>
        <v>260.68999999999994</v>
      </c>
    </row>
    <row r="36" spans="2:12">
      <c r="B36" s="111">
        <f t="shared" si="0"/>
        <v>2042</v>
      </c>
      <c r="C36" s="115"/>
      <c r="D36" s="113">
        <f t="shared" si="6"/>
        <v>140.91999999999999</v>
      </c>
      <c r="E36" s="113">
        <f t="shared" si="7"/>
        <v>41.26</v>
      </c>
      <c r="F36" s="113">
        <f t="shared" si="1"/>
        <v>84.12</v>
      </c>
      <c r="G36" s="114">
        <f t="shared" si="8"/>
        <v>69.691754651485752</v>
      </c>
      <c r="H36" s="113">
        <f t="shared" si="9"/>
        <v>1.06</v>
      </c>
      <c r="I36" s="113"/>
      <c r="J36" s="114">
        <f t="shared" si="10"/>
        <v>70.751754651485754</v>
      </c>
      <c r="K36" s="114">
        <f t="shared" si="13"/>
        <v>270.35000000000002</v>
      </c>
      <c r="L36" s="113">
        <f t="shared" si="12"/>
        <v>266.29999999999995</v>
      </c>
    </row>
    <row r="37" spans="2:12">
      <c r="B37" s="111">
        <f t="shared" si="0"/>
        <v>2043</v>
      </c>
      <c r="C37" s="115"/>
      <c r="D37" s="113">
        <f t="shared" si="6"/>
        <v>143.96</v>
      </c>
      <c r="E37" s="113">
        <f t="shared" si="7"/>
        <v>42.15</v>
      </c>
      <c r="F37" s="113">
        <f t="shared" si="1"/>
        <v>85.93</v>
      </c>
      <c r="G37" s="114">
        <f t="shared" si="8"/>
        <v>71.193935168569979</v>
      </c>
      <c r="H37" s="113">
        <f t="shared" si="9"/>
        <v>1.08</v>
      </c>
      <c r="I37" s="113"/>
      <c r="J37" s="114">
        <f t="shared" si="10"/>
        <v>72.273935168569977</v>
      </c>
      <c r="K37" s="114">
        <f t="shared" si="13"/>
        <v>276.17</v>
      </c>
      <c r="L37" s="113">
        <f t="shared" si="12"/>
        <v>272.04000000000002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43.6%)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Wyoming Wind Resource - 44%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2029</v>
      </c>
    </row>
    <row r="55" spans="2:28">
      <c r="B55" s="302" t="s">
        <v>212</v>
      </c>
      <c r="C55" s="328">
        <f>124858.71752446/81.589034</f>
        <v>1530.3370000000245</v>
      </c>
      <c r="D55" s="104" t="s">
        <v>65</v>
      </c>
      <c r="P55" s="104">
        <v>81.589033999999998</v>
      </c>
      <c r="Q55" s="104" t="s">
        <v>32</v>
      </c>
    </row>
    <row r="56" spans="2:28">
      <c r="B56" s="302" t="s">
        <v>212</v>
      </c>
      <c r="C56" s="129">
        <f>2552.03951355071/81.589034</f>
        <v>31.279197564107822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 t="s">
        <v>212</v>
      </c>
      <c r="C58" s="129">
        <v>0.78700000000000003</v>
      </c>
      <c r="D58" s="104" t="s">
        <v>69</v>
      </c>
      <c r="F58" s="104" t="s">
        <v>128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/>
      <c r="M59" s="132"/>
      <c r="N59" s="133"/>
      <c r="P59" s="131"/>
    </row>
    <row r="60" spans="2:28">
      <c r="B60" s="302" t="str">
        <f>LEFT(RIGHT(INDEX('Table 3 TransCost'!$39:$39,1,MATCH(F60,'Table 3 TransCost'!$4:$4,0)),6),5)</f>
        <v>2025$</v>
      </c>
      <c r="C60" s="134">
        <f>INDEX('Table 3 TransCost'!$39:$39,1,MATCH(F60,'Table 3 TransCost'!$4:$4,0)+2)</f>
        <v>58.544856686682266</v>
      </c>
      <c r="D60" s="104" t="s">
        <v>150</v>
      </c>
      <c r="F60" s="104" t="s">
        <v>145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0.43620000000024889</v>
      </c>
      <c r="D63" s="104" t="s">
        <v>37</v>
      </c>
    </row>
    <row r="64" spans="2:28">
      <c r="D64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  <row r="92" spans="3:4">
      <c r="C92" s="131"/>
      <c r="D92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6C66-0A4D-4E3F-AAC5-C56585304D35}">
  <sheetPr>
    <tabColor rgb="FFFFC000"/>
    <pageSetUpPr fitToPage="1"/>
  </sheetPr>
  <dimension ref="B1:AB89"/>
  <sheetViews>
    <sheetView view="pageBreakPreview" zoomScale="60" zoomScaleNormal="70" workbookViewId="0">
      <selection activeCell="B6" sqref="B6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44%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  <c r="U5" s="224"/>
      <c r="V5" s="225"/>
      <c r="W5" s="224"/>
      <c r="X5" s="225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Wyoming DJ Wind Resource - 44% Capacity Factor</v>
      </c>
    </row>
    <row r="10" spans="2:24" hidden="1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 hidden="1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10"/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113"/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113"/>
      <c r="G21" s="114"/>
      <c r="H21" s="161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>
        <v>1507.771</v>
      </c>
      <c r="D22" s="113">
        <f>C22*$C$62</f>
        <v>105.23154253413436</v>
      </c>
      <c r="E22" s="113">
        <f>$C$56</f>
        <v>30.703238469381766</v>
      </c>
      <c r="F22" s="113"/>
      <c r="G22" s="114">
        <f t="shared" ref="G22:G23" si="1">(D22+E22+F22)/(8.76*$C$63)</f>
        <v>35.574665438604931</v>
      </c>
      <c r="H22" s="332">
        <f>C58</f>
        <v>0.77100000000000002</v>
      </c>
      <c r="I22" s="113"/>
      <c r="J22" s="114">
        <f t="shared" ref="J22:J23" si="2">(G22+H22+I22)</f>
        <v>36.345665438604932</v>
      </c>
      <c r="K22" s="114">
        <f t="shared" ref="K22:K23" si="3">ROUND(J22*$C$63*8.76,2)</f>
        <v>138.88</v>
      </c>
      <c r="L22" s="113">
        <f t="shared" ref="L22:L23" si="4">(D22+E22+F22)</f>
        <v>135.93478100351612</v>
      </c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>
        <f t="shared" ref="D23:D37" si="5">ROUND(D22*(1+IRP21_Infl_Rate),2)</f>
        <v>107.5</v>
      </c>
      <c r="E23" s="113">
        <f t="shared" ref="E23:E37" si="6">ROUND(E22*(1+IRP21_Infl_Rate),2)</f>
        <v>31.36</v>
      </c>
      <c r="F23" s="113"/>
      <c r="G23" s="114">
        <f t="shared" si="1"/>
        <v>36.340206725141996</v>
      </c>
      <c r="H23" s="113">
        <f t="shared" ref="H23:H37" si="7">ROUND(H22*(1+IRP21_Infl_Rate),2)</f>
        <v>0.79</v>
      </c>
      <c r="I23" s="113"/>
      <c r="J23" s="114">
        <f t="shared" si="2"/>
        <v>37.130206725141996</v>
      </c>
      <c r="K23" s="114">
        <f t="shared" si="3"/>
        <v>141.88</v>
      </c>
      <c r="L23" s="113">
        <f t="shared" si="4"/>
        <v>138.86000000000001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si="5"/>
        <v>109.82</v>
      </c>
      <c r="E24" s="113">
        <f t="shared" si="6"/>
        <v>32.04</v>
      </c>
      <c r="F24" s="113"/>
      <c r="G24" s="114">
        <f t="shared" ref="G24" si="8">(D24+E24+F24)/(8.76*$C$63)</f>
        <v>37.125318493652905</v>
      </c>
      <c r="H24" s="113">
        <f t="shared" si="7"/>
        <v>0.81</v>
      </c>
      <c r="I24" s="113"/>
      <c r="J24" s="114">
        <f t="shared" ref="J24" si="9">(G24+H24+I24)</f>
        <v>37.935318493652908</v>
      </c>
      <c r="K24" s="114">
        <f t="shared" ref="K24" si="10">ROUND(J24*$C$63*8.76,2)</f>
        <v>144.96</v>
      </c>
      <c r="L24" s="113">
        <f t="shared" ref="L24" si="11">(D24+E24+F24)</f>
        <v>141.85999999999999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112.19</v>
      </c>
      <c r="E25" s="113">
        <f t="shared" si="6"/>
        <v>32.729999999999997</v>
      </c>
      <c r="F25" s="113"/>
      <c r="G25" s="114">
        <f t="shared" ref="G25:G37" si="12">(D25+E25+F25)/(8.76*$C$63)</f>
        <v>37.926132497534041</v>
      </c>
      <c r="H25" s="113">
        <f t="shared" si="7"/>
        <v>0.83</v>
      </c>
      <c r="I25" s="113"/>
      <c r="J25" s="114">
        <f t="shared" ref="J25:J37" si="13">(G25+H25+I25)</f>
        <v>38.75613249753404</v>
      </c>
      <c r="K25" s="114">
        <f t="shared" ref="K25:K37" si="14">ROUND(J25*$C$63*8.76,2)</f>
        <v>148.09</v>
      </c>
      <c r="L25" s="113">
        <f t="shared" ref="L25:L37" si="15">(D25+E25+F25)</f>
        <v>144.91999999999999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114.61</v>
      </c>
      <c r="E26" s="113">
        <f t="shared" si="6"/>
        <v>33.44</v>
      </c>
      <c r="F26" s="113"/>
      <c r="G26" s="114">
        <f t="shared" si="12"/>
        <v>38.745265776013774</v>
      </c>
      <c r="H26" s="113">
        <f t="shared" si="7"/>
        <v>0.85</v>
      </c>
      <c r="I26" s="113"/>
      <c r="J26" s="114">
        <f t="shared" si="13"/>
        <v>39.595265776013775</v>
      </c>
      <c r="K26" s="114">
        <f t="shared" si="14"/>
        <v>151.30000000000001</v>
      </c>
      <c r="L26" s="113">
        <f t="shared" si="15"/>
        <v>148.05000000000001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117.08</v>
      </c>
      <c r="E27" s="113">
        <f t="shared" si="6"/>
        <v>34.159999999999997</v>
      </c>
      <c r="F27" s="113"/>
      <c r="G27" s="114">
        <f t="shared" si="12"/>
        <v>39.580101289863713</v>
      </c>
      <c r="H27" s="113">
        <f t="shared" si="7"/>
        <v>0.87</v>
      </c>
      <c r="I27" s="113"/>
      <c r="J27" s="114">
        <f t="shared" si="13"/>
        <v>40.45010128986371</v>
      </c>
      <c r="K27" s="114">
        <f t="shared" si="14"/>
        <v>154.56</v>
      </c>
      <c r="L27" s="113">
        <f t="shared" si="15"/>
        <v>151.24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119.6</v>
      </c>
      <c r="E28" s="113">
        <f t="shared" si="6"/>
        <v>34.9</v>
      </c>
      <c r="F28" s="113"/>
      <c r="G28" s="114">
        <f t="shared" si="12"/>
        <v>40.43325607831224</v>
      </c>
      <c r="H28" s="113">
        <f t="shared" si="7"/>
        <v>0.89</v>
      </c>
      <c r="I28" s="113"/>
      <c r="J28" s="114">
        <f t="shared" si="13"/>
        <v>41.323256078312241</v>
      </c>
      <c r="K28" s="114">
        <f t="shared" si="14"/>
        <v>157.9</v>
      </c>
      <c r="L28" s="113">
        <f t="shared" si="15"/>
        <v>154.5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122.18</v>
      </c>
      <c r="E29" s="113">
        <f t="shared" si="6"/>
        <v>35.65</v>
      </c>
      <c r="F29" s="113"/>
      <c r="G29" s="114">
        <f t="shared" si="12"/>
        <v>41.304730141359364</v>
      </c>
      <c r="H29" s="113">
        <f t="shared" si="7"/>
        <v>0.91</v>
      </c>
      <c r="I29" s="113"/>
      <c r="J29" s="114">
        <f t="shared" si="13"/>
        <v>42.214730141359361</v>
      </c>
      <c r="K29" s="114">
        <f t="shared" si="14"/>
        <v>161.31</v>
      </c>
      <c r="L29" s="113">
        <f t="shared" si="15"/>
        <v>157.83000000000001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124.81</v>
      </c>
      <c r="E30" s="113">
        <f t="shared" si="6"/>
        <v>36.42</v>
      </c>
      <c r="F30" s="113"/>
      <c r="G30" s="114">
        <f t="shared" si="12"/>
        <v>42.19452347900507</v>
      </c>
      <c r="H30" s="113">
        <f t="shared" si="7"/>
        <v>0.93</v>
      </c>
      <c r="I30" s="113"/>
      <c r="J30" s="114">
        <f t="shared" si="13"/>
        <v>43.12452347900507</v>
      </c>
      <c r="K30" s="114">
        <f t="shared" si="14"/>
        <v>164.78</v>
      </c>
      <c r="L30" s="113">
        <f t="shared" si="15"/>
        <v>161.23000000000002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127.5</v>
      </c>
      <c r="E31" s="113">
        <f t="shared" si="6"/>
        <v>37.200000000000003</v>
      </c>
      <c r="F31" s="113"/>
      <c r="G31" s="114">
        <f t="shared" si="12"/>
        <v>43.102636091249359</v>
      </c>
      <c r="H31" s="113">
        <f t="shared" si="7"/>
        <v>0.95</v>
      </c>
      <c r="I31" s="113"/>
      <c r="J31" s="114">
        <f t="shared" si="13"/>
        <v>44.052636091249362</v>
      </c>
      <c r="K31" s="114">
        <f t="shared" si="14"/>
        <v>168.33</v>
      </c>
      <c r="L31" s="113">
        <f t="shared" si="15"/>
        <v>164.7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130.25</v>
      </c>
      <c r="E32" s="113">
        <f t="shared" si="6"/>
        <v>38</v>
      </c>
      <c r="F32" s="113"/>
      <c r="G32" s="114">
        <f t="shared" si="12"/>
        <v>44.031685017320612</v>
      </c>
      <c r="H32" s="113">
        <f t="shared" si="7"/>
        <v>0.97</v>
      </c>
      <c r="I32" s="113"/>
      <c r="J32" s="114">
        <f t="shared" si="13"/>
        <v>45.001685017320611</v>
      </c>
      <c r="K32" s="114">
        <f t="shared" si="14"/>
        <v>171.96</v>
      </c>
      <c r="L32" s="113">
        <f t="shared" si="15"/>
        <v>168.25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133.06</v>
      </c>
      <c r="E33" s="113">
        <f t="shared" si="6"/>
        <v>38.82</v>
      </c>
      <c r="F33" s="113"/>
      <c r="G33" s="114">
        <f t="shared" si="12"/>
        <v>44.981670257218823</v>
      </c>
      <c r="H33" s="113">
        <f t="shared" si="7"/>
        <v>0.99</v>
      </c>
      <c r="I33" s="113"/>
      <c r="J33" s="114">
        <f t="shared" si="13"/>
        <v>45.971670257218825</v>
      </c>
      <c r="K33" s="114">
        <f t="shared" si="14"/>
        <v>175.66</v>
      </c>
      <c r="L33" s="113">
        <f t="shared" si="15"/>
        <v>171.88</v>
      </c>
    </row>
    <row r="34" spans="2:12">
      <c r="B34" s="111">
        <f t="shared" si="0"/>
        <v>2040</v>
      </c>
      <c r="C34" s="115"/>
      <c r="D34" s="113">
        <f t="shared" si="5"/>
        <v>135.93</v>
      </c>
      <c r="E34" s="113">
        <f t="shared" si="6"/>
        <v>39.659999999999997</v>
      </c>
      <c r="F34" s="113"/>
      <c r="G34" s="114">
        <f t="shared" si="12"/>
        <v>45.952591810943993</v>
      </c>
      <c r="H34" s="113">
        <f t="shared" si="7"/>
        <v>1.01</v>
      </c>
      <c r="I34" s="113"/>
      <c r="J34" s="114">
        <f t="shared" si="13"/>
        <v>46.962591810943991</v>
      </c>
      <c r="K34" s="114">
        <f t="shared" si="14"/>
        <v>179.45</v>
      </c>
      <c r="L34" s="113">
        <f t="shared" si="15"/>
        <v>175.59</v>
      </c>
    </row>
    <row r="35" spans="2:12">
      <c r="B35" s="111">
        <f t="shared" si="0"/>
        <v>2041</v>
      </c>
      <c r="C35" s="115"/>
      <c r="D35" s="113">
        <f t="shared" si="5"/>
        <v>138.86000000000001</v>
      </c>
      <c r="E35" s="113">
        <f t="shared" si="6"/>
        <v>40.51</v>
      </c>
      <c r="F35" s="113"/>
      <c r="G35" s="114">
        <f t="shared" si="12"/>
        <v>46.941832639267744</v>
      </c>
      <c r="H35" s="113">
        <f t="shared" si="7"/>
        <v>1.03</v>
      </c>
      <c r="I35" s="113"/>
      <c r="J35" s="114">
        <f t="shared" si="13"/>
        <v>47.971832639267745</v>
      </c>
      <c r="K35" s="114">
        <f t="shared" si="14"/>
        <v>183.31</v>
      </c>
      <c r="L35" s="113">
        <f t="shared" si="15"/>
        <v>179.37</v>
      </c>
    </row>
    <row r="36" spans="2:12">
      <c r="B36" s="111">
        <f t="shared" si="0"/>
        <v>2042</v>
      </c>
      <c r="C36" s="115"/>
      <c r="D36" s="113">
        <f t="shared" si="5"/>
        <v>141.85</v>
      </c>
      <c r="E36" s="113">
        <f t="shared" si="6"/>
        <v>41.38</v>
      </c>
      <c r="F36" s="113"/>
      <c r="G36" s="114">
        <f t="shared" si="12"/>
        <v>47.952009781418454</v>
      </c>
      <c r="H36" s="113">
        <f t="shared" si="7"/>
        <v>1.05</v>
      </c>
      <c r="I36" s="113"/>
      <c r="J36" s="114">
        <f t="shared" si="13"/>
        <v>49.002009781418451</v>
      </c>
      <c r="K36" s="114">
        <f t="shared" si="14"/>
        <v>187.24</v>
      </c>
      <c r="L36" s="113">
        <f t="shared" si="15"/>
        <v>183.23</v>
      </c>
    </row>
    <row r="37" spans="2:12">
      <c r="B37" s="111">
        <f t="shared" si="0"/>
        <v>2043</v>
      </c>
      <c r="C37" s="115"/>
      <c r="D37" s="113">
        <f t="shared" si="5"/>
        <v>144.91</v>
      </c>
      <c r="E37" s="113">
        <f t="shared" si="6"/>
        <v>42.27</v>
      </c>
      <c r="F37" s="113"/>
      <c r="G37" s="114">
        <f t="shared" si="12"/>
        <v>48.985740276624504</v>
      </c>
      <c r="H37" s="113">
        <f t="shared" si="7"/>
        <v>1.07</v>
      </c>
      <c r="I37" s="113"/>
      <c r="J37" s="114">
        <f t="shared" si="13"/>
        <v>50.055740276624505</v>
      </c>
      <c r="K37" s="114">
        <f t="shared" si="14"/>
        <v>191.27</v>
      </c>
      <c r="L37" s="113">
        <f t="shared" si="15"/>
        <v>187.18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43.6%)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Wyoming DJ Wind Resource - 44%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2028</v>
      </c>
    </row>
    <row r="55" spans="2:28">
      <c r="B55" s="302" t="s">
        <v>214</v>
      </c>
      <c r="C55" s="328">
        <f>384481.605/255</f>
        <v>1507.771</v>
      </c>
      <c r="D55" s="104" t="s">
        <v>65</v>
      </c>
      <c r="P55" s="104">
        <v>255</v>
      </c>
      <c r="Q55" s="104" t="s">
        <v>32</v>
      </c>
    </row>
    <row r="56" spans="2:28">
      <c r="B56" s="302" t="s">
        <v>214</v>
      </c>
      <c r="C56" s="129">
        <f>7829.32580969235/255</f>
        <v>30.703238469381766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 t="s">
        <v>214</v>
      </c>
      <c r="C58" s="129">
        <v>0.77100000000000002</v>
      </c>
      <c r="D58" s="104" t="s">
        <v>69</v>
      </c>
      <c r="F58" s="104" t="s">
        <v>128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 t="s">
        <v>90</v>
      </c>
      <c r="M59" s="132"/>
      <c r="N59" s="133"/>
      <c r="P59" s="131"/>
    </row>
    <row r="60" spans="2:28">
      <c r="B60" s="302"/>
      <c r="C60" s="134">
        <v>0</v>
      </c>
      <c r="D60" s="104" t="s">
        <v>150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0.43620000000024889</v>
      </c>
      <c r="D63" s="104" t="s">
        <v>37</v>
      </c>
    </row>
    <row r="64" spans="2:28">
      <c r="D64" s="135"/>
    </row>
    <row r="80" spans="3:4">
      <c r="C80" s="131"/>
      <c r="D80" s="135"/>
    </row>
    <row r="81" spans="3:4">
      <c r="C81" s="131"/>
      <c r="D81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</sheetData>
  <printOptions horizontalCentered="1"/>
  <pageMargins left="0.8" right="0.3" top="0.4" bottom="0.4" header="0.5" footer="0.2"/>
  <pageSetup scale="66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5C45-E661-4375-B0B1-086B6D4C020E}">
  <sheetPr>
    <tabColor rgb="FFFFC000"/>
    <pageSetUpPr fitToPage="1"/>
  </sheetPr>
  <dimension ref="B1:AD102"/>
  <sheetViews>
    <sheetView topLeftCell="A3" zoomScale="70" zoomScaleNormal="70" workbookViewId="0">
      <selection activeCell="C24" sqref="C24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184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29%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Southern Oregon Solar with Storage - 29%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223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290">
        <f>221123.288/83</f>
        <v>2664.136</v>
      </c>
      <c r="D22" s="113">
        <f>C22*$C$62</f>
        <v>144.36368381336902</v>
      </c>
      <c r="E22" s="308">
        <f>5722.71583561707/83</f>
        <v>68.948383561651454</v>
      </c>
      <c r="F22" s="311">
        <f>$C$60</f>
        <v>9.0939944302083777</v>
      </c>
      <c r="G22" s="114">
        <f t="shared" ref="G22:G37" si="1">(D22+E22+F22)/(8.76*$C$63)</f>
        <v>86.651262255220317</v>
      </c>
      <c r="H22" s="113"/>
      <c r="I22" s="114">
        <f t="shared" ref="I22:I37" si="2">(G22+H22)</f>
        <v>86.651262255220317</v>
      </c>
      <c r="J22" s="114">
        <f t="shared" ref="J22:J37" si="3">ROUND(I22*$C$63*8.76,2)</f>
        <v>222.41</v>
      </c>
      <c r="K22" s="113">
        <f t="shared" ref="K22:K37" si="4">(D22+E22+F22)</f>
        <v>222.40606180522886</v>
      </c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322">
        <f t="shared" ref="D23:F37" si="5">ROUND(D22*(1+IRP21_Infl_Rate),2)</f>
        <v>147.47</v>
      </c>
      <c r="E23" s="322">
        <f t="shared" si="5"/>
        <v>70.430000000000007</v>
      </c>
      <c r="F23" s="322">
        <f t="shared" si="5"/>
        <v>9.2899999999999991</v>
      </c>
      <c r="G23" s="114">
        <f t="shared" si="1"/>
        <v>88.515124596755342</v>
      </c>
      <c r="H23" s="113"/>
      <c r="I23" s="114">
        <f t="shared" si="2"/>
        <v>88.515124596755342</v>
      </c>
      <c r="J23" s="114">
        <f t="shared" si="3"/>
        <v>227.19</v>
      </c>
      <c r="K23" s="113">
        <f t="shared" si="4"/>
        <v>227.19</v>
      </c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322">
        <f t="shared" si="5"/>
        <v>150.65</v>
      </c>
      <c r="E24" s="322">
        <f t="shared" si="5"/>
        <v>71.95</v>
      </c>
      <c r="F24" s="322">
        <f t="shared" si="5"/>
        <v>9.49</v>
      </c>
      <c r="G24" s="114">
        <f t="shared" si="1"/>
        <v>90.424205588542421</v>
      </c>
      <c r="H24" s="113"/>
      <c r="I24" s="114">
        <f t="shared" si="2"/>
        <v>90.424205588542421</v>
      </c>
      <c r="J24" s="114">
        <f t="shared" si="3"/>
        <v>232.09</v>
      </c>
      <c r="K24" s="113">
        <f t="shared" si="4"/>
        <v>232.09000000000003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322">
        <f t="shared" si="5"/>
        <v>153.9</v>
      </c>
      <c r="E25" s="322">
        <f t="shared" si="5"/>
        <v>73.5</v>
      </c>
      <c r="F25" s="322">
        <f t="shared" si="5"/>
        <v>9.69</v>
      </c>
      <c r="G25" s="114">
        <f t="shared" si="1"/>
        <v>92.372247416896542</v>
      </c>
      <c r="H25" s="113"/>
      <c r="I25" s="114">
        <f t="shared" si="2"/>
        <v>92.372247416896542</v>
      </c>
      <c r="J25" s="114">
        <f t="shared" si="3"/>
        <v>237.09</v>
      </c>
      <c r="K25" s="113">
        <f t="shared" si="4"/>
        <v>237.09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322">
        <f t="shared" si="5"/>
        <v>157.22</v>
      </c>
      <c r="E26" s="322">
        <f t="shared" si="5"/>
        <v>75.08</v>
      </c>
      <c r="F26" s="322">
        <f t="shared" si="5"/>
        <v>9.9</v>
      </c>
      <c r="G26" s="114">
        <f t="shared" si="1"/>
        <v>94.363146165474475</v>
      </c>
      <c r="H26" s="113"/>
      <c r="I26" s="114">
        <f t="shared" si="2"/>
        <v>94.363146165474475</v>
      </c>
      <c r="J26" s="114">
        <f t="shared" si="3"/>
        <v>242.2</v>
      </c>
      <c r="K26" s="113">
        <f t="shared" si="4"/>
        <v>242.20000000000002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322">
        <f t="shared" si="5"/>
        <v>160.61000000000001</v>
      </c>
      <c r="E27" s="322">
        <f t="shared" si="5"/>
        <v>76.7</v>
      </c>
      <c r="F27" s="322">
        <f t="shared" si="5"/>
        <v>10.11</v>
      </c>
      <c r="G27" s="114">
        <f t="shared" si="1"/>
        <v>96.396901834276193</v>
      </c>
      <c r="H27" s="113"/>
      <c r="I27" s="114">
        <f t="shared" si="2"/>
        <v>96.396901834276193</v>
      </c>
      <c r="J27" s="114">
        <f t="shared" si="3"/>
        <v>247.42</v>
      </c>
      <c r="K27" s="113">
        <f t="shared" si="4"/>
        <v>247.42000000000002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322">
        <f t="shared" si="5"/>
        <v>164.07</v>
      </c>
      <c r="E28" s="322">
        <f t="shared" si="5"/>
        <v>78.349999999999994</v>
      </c>
      <c r="F28" s="322">
        <f t="shared" si="5"/>
        <v>10.33</v>
      </c>
      <c r="G28" s="114">
        <f t="shared" si="1"/>
        <v>98.473514423301708</v>
      </c>
      <c r="H28" s="113"/>
      <c r="I28" s="114">
        <f t="shared" si="2"/>
        <v>98.473514423301708</v>
      </c>
      <c r="J28" s="114">
        <f t="shared" si="3"/>
        <v>252.75</v>
      </c>
      <c r="K28" s="113">
        <f t="shared" si="4"/>
        <v>252.75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322">
        <f t="shared" si="5"/>
        <v>167.61</v>
      </c>
      <c r="E29" s="322">
        <f t="shared" si="5"/>
        <v>80.040000000000006</v>
      </c>
      <c r="F29" s="322">
        <f t="shared" si="5"/>
        <v>10.55</v>
      </c>
      <c r="G29" s="114">
        <f t="shared" si="1"/>
        <v>100.59688001620773</v>
      </c>
      <c r="H29" s="113"/>
      <c r="I29" s="114">
        <f t="shared" si="2"/>
        <v>100.59688001620773</v>
      </c>
      <c r="J29" s="114">
        <f t="shared" si="3"/>
        <v>258.2</v>
      </c>
      <c r="K29" s="113">
        <f t="shared" si="4"/>
        <v>258.20000000000005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322">
        <f t="shared" si="5"/>
        <v>171.22</v>
      </c>
      <c r="E30" s="322">
        <f t="shared" si="5"/>
        <v>81.760000000000005</v>
      </c>
      <c r="F30" s="322">
        <f t="shared" si="5"/>
        <v>10.78</v>
      </c>
      <c r="G30" s="114">
        <f t="shared" si="1"/>
        <v>102.76310252933752</v>
      </c>
      <c r="H30" s="113"/>
      <c r="I30" s="114">
        <f t="shared" si="2"/>
        <v>102.76310252933752</v>
      </c>
      <c r="J30" s="114">
        <f t="shared" si="3"/>
        <v>263.76</v>
      </c>
      <c r="K30" s="113">
        <f t="shared" si="4"/>
        <v>263.76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322">
        <f t="shared" si="5"/>
        <v>174.91</v>
      </c>
      <c r="E31" s="322">
        <f t="shared" si="5"/>
        <v>83.52</v>
      </c>
      <c r="F31" s="322">
        <f t="shared" si="5"/>
        <v>11.01</v>
      </c>
      <c r="G31" s="114">
        <f t="shared" si="1"/>
        <v>104.97607804634782</v>
      </c>
      <c r="H31" s="113"/>
      <c r="I31" s="114">
        <f t="shared" si="2"/>
        <v>104.97607804634782</v>
      </c>
      <c r="J31" s="114">
        <f t="shared" si="3"/>
        <v>269.44</v>
      </c>
      <c r="K31" s="113">
        <f t="shared" si="4"/>
        <v>269.44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322">
        <f t="shared" si="5"/>
        <v>178.68</v>
      </c>
      <c r="E32" s="322">
        <f t="shared" si="5"/>
        <v>85.32</v>
      </c>
      <c r="F32" s="322">
        <f t="shared" si="5"/>
        <v>11.25</v>
      </c>
      <c r="G32" s="114">
        <f t="shared" si="1"/>
        <v>107.23970265089532</v>
      </c>
      <c r="H32" s="113"/>
      <c r="I32" s="114">
        <f t="shared" si="2"/>
        <v>107.23970265089532</v>
      </c>
      <c r="J32" s="114">
        <f t="shared" si="3"/>
        <v>275.25</v>
      </c>
      <c r="K32" s="113">
        <f t="shared" si="4"/>
        <v>275.25</v>
      </c>
      <c r="R32" s="134"/>
      <c r="U32" s="134"/>
      <c r="V32" s="134"/>
      <c r="X32" s="134"/>
      <c r="Y32" s="134"/>
      <c r="Z32" s="134"/>
    </row>
    <row r="33" spans="2:30">
      <c r="B33" s="111">
        <f t="shared" si="0"/>
        <v>2039</v>
      </c>
      <c r="C33" s="115"/>
      <c r="D33" s="322">
        <f t="shared" si="5"/>
        <v>182.53</v>
      </c>
      <c r="E33" s="322">
        <f t="shared" si="5"/>
        <v>87.16</v>
      </c>
      <c r="F33" s="322">
        <f t="shared" si="5"/>
        <v>11.49</v>
      </c>
      <c r="G33" s="114">
        <f t="shared" si="1"/>
        <v>109.55008025932334</v>
      </c>
      <c r="H33" s="113"/>
      <c r="I33" s="114">
        <f t="shared" si="2"/>
        <v>109.55008025932334</v>
      </c>
      <c r="J33" s="114">
        <f t="shared" si="3"/>
        <v>281.18</v>
      </c>
      <c r="K33" s="113">
        <f t="shared" si="4"/>
        <v>281.18</v>
      </c>
      <c r="AC33" s="229"/>
    </row>
    <row r="34" spans="2:30">
      <c r="B34" s="111">
        <f t="shared" si="0"/>
        <v>2040</v>
      </c>
      <c r="C34" s="115"/>
      <c r="D34" s="322">
        <f t="shared" si="5"/>
        <v>186.46</v>
      </c>
      <c r="E34" s="322">
        <f t="shared" si="5"/>
        <v>89.04</v>
      </c>
      <c r="F34" s="322">
        <f t="shared" si="5"/>
        <v>11.74</v>
      </c>
      <c r="G34" s="114">
        <f t="shared" si="1"/>
        <v>111.91110695528856</v>
      </c>
      <c r="H34" s="113"/>
      <c r="I34" s="114">
        <f t="shared" si="2"/>
        <v>111.91110695528856</v>
      </c>
      <c r="J34" s="114">
        <f t="shared" si="3"/>
        <v>287.24</v>
      </c>
      <c r="K34" s="113">
        <f t="shared" si="4"/>
        <v>287.24</v>
      </c>
      <c r="AC34" s="229"/>
    </row>
    <row r="35" spans="2:30">
      <c r="B35" s="111">
        <f t="shared" si="0"/>
        <v>2041</v>
      </c>
      <c r="C35" s="115"/>
      <c r="D35" s="322">
        <f t="shared" si="5"/>
        <v>190.48</v>
      </c>
      <c r="E35" s="322">
        <f t="shared" si="5"/>
        <v>90.96</v>
      </c>
      <c r="F35" s="322">
        <f t="shared" si="5"/>
        <v>11.99</v>
      </c>
      <c r="G35" s="114">
        <f t="shared" si="1"/>
        <v>114.32278273879098</v>
      </c>
      <c r="H35" s="113"/>
      <c r="I35" s="114">
        <f t="shared" si="2"/>
        <v>114.32278273879098</v>
      </c>
      <c r="J35" s="114">
        <f t="shared" si="3"/>
        <v>293.43</v>
      </c>
      <c r="K35" s="113">
        <f t="shared" si="4"/>
        <v>293.43</v>
      </c>
      <c r="AC35" s="229"/>
    </row>
    <row r="36" spans="2:30">
      <c r="B36" s="111">
        <f t="shared" si="0"/>
        <v>2042</v>
      </c>
      <c r="C36" s="115"/>
      <c r="D36" s="322">
        <f t="shared" si="5"/>
        <v>194.58</v>
      </c>
      <c r="E36" s="322">
        <f t="shared" si="5"/>
        <v>92.92</v>
      </c>
      <c r="F36" s="322">
        <f t="shared" si="5"/>
        <v>12.25</v>
      </c>
      <c r="G36" s="114">
        <f t="shared" si="1"/>
        <v>116.7851076098306</v>
      </c>
      <c r="H36" s="113"/>
      <c r="I36" s="114">
        <f t="shared" si="2"/>
        <v>116.7851076098306</v>
      </c>
      <c r="J36" s="114">
        <f t="shared" si="3"/>
        <v>299.75</v>
      </c>
      <c r="K36" s="113">
        <f t="shared" si="4"/>
        <v>299.75</v>
      </c>
      <c r="AC36" s="229"/>
    </row>
    <row r="37" spans="2:30">
      <c r="B37" s="111">
        <f t="shared" si="0"/>
        <v>2043</v>
      </c>
      <c r="C37" s="115"/>
      <c r="D37" s="322">
        <f t="shared" si="5"/>
        <v>198.77</v>
      </c>
      <c r="E37" s="322">
        <f t="shared" si="5"/>
        <v>94.92</v>
      </c>
      <c r="F37" s="322">
        <f t="shared" si="5"/>
        <v>12.51</v>
      </c>
      <c r="G37" s="114">
        <f t="shared" si="1"/>
        <v>119.29808156840744</v>
      </c>
      <c r="H37" s="113"/>
      <c r="I37" s="114">
        <f t="shared" si="2"/>
        <v>119.29808156840744</v>
      </c>
      <c r="J37" s="114">
        <f t="shared" si="3"/>
        <v>306.2</v>
      </c>
      <c r="K37" s="113">
        <f t="shared" si="4"/>
        <v>306.2</v>
      </c>
      <c r="AC37" s="229"/>
    </row>
    <row r="38" spans="2:30">
      <c r="B38" s="111"/>
      <c r="C38" s="115"/>
      <c r="D38" s="113"/>
      <c r="E38" s="113"/>
      <c r="F38" s="113"/>
      <c r="G38" s="114"/>
      <c r="H38" s="113"/>
      <c r="I38" s="114"/>
      <c r="J38" s="114"/>
      <c r="K38" s="119"/>
      <c r="AC38" s="229"/>
    </row>
    <row r="39" spans="2:30">
      <c r="B39" s="111"/>
      <c r="C39" s="115"/>
      <c r="D39" s="113"/>
      <c r="E39" s="113"/>
      <c r="F39" s="113"/>
      <c r="G39" s="114"/>
      <c r="H39" s="113"/>
      <c r="I39" s="114"/>
      <c r="J39" s="114"/>
      <c r="K39" s="119"/>
      <c r="AC39" s="229"/>
    </row>
    <row r="40" spans="2:30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  <c r="AD40" s="229"/>
    </row>
    <row r="41" spans="2:30">
      <c r="AD41" s="229"/>
    </row>
    <row r="42" spans="2:30" ht="14.25">
      <c r="B42" s="120" t="s">
        <v>25</v>
      </c>
      <c r="C42" s="121"/>
      <c r="D42" s="121"/>
      <c r="E42" s="121"/>
      <c r="F42" s="121"/>
      <c r="G42" s="121"/>
      <c r="H42" s="121"/>
      <c r="AC42" s="229"/>
    </row>
    <row r="43" spans="2:30">
      <c r="AC43" s="229"/>
    </row>
    <row r="44" spans="2:30">
      <c r="B44" s="104" t="s">
        <v>63</v>
      </c>
      <c r="C44" s="122" t="s">
        <v>64</v>
      </c>
      <c r="D44" s="247" t="s">
        <v>155</v>
      </c>
      <c r="AC44" s="229"/>
    </row>
    <row r="45" spans="2:30">
      <c r="C45" s="122" t="str">
        <f>C7</f>
        <v>(a)</v>
      </c>
      <c r="D45" s="104" t="s">
        <v>65</v>
      </c>
      <c r="AC45" s="229"/>
    </row>
    <row r="46" spans="2:30">
      <c r="C46" s="122" t="str">
        <f>D7</f>
        <v>(b)</v>
      </c>
      <c r="D46" s="114" t="str">
        <f>"= "&amp;C7&amp;" x "&amp;C62</f>
        <v>= (a) x 0.0541878056575824</v>
      </c>
      <c r="AC46" s="229"/>
    </row>
    <row r="47" spans="2:30">
      <c r="C47" s="122" t="str">
        <f>F7</f>
        <v>(d)</v>
      </c>
      <c r="D47" s="114" t="str">
        <f>"= ("&amp;$D$7&amp;" + "&amp;$E$7&amp;") /  (8.76 x "&amp;TEXT(C63,"0.0%")&amp;")"</f>
        <v>= ((b) + (c)) /  (8.76 x 29.3%)</v>
      </c>
      <c r="AC47" s="229"/>
    </row>
    <row r="48" spans="2:30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Southern Oregon Solar with Storage - 29%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226">
        <v>2028</v>
      </c>
    </row>
    <row r="55" spans="2:17">
      <c r="B55" t="s">
        <v>156</v>
      </c>
      <c r="C55" s="147"/>
      <c r="D55" s="104" t="s">
        <v>65</v>
      </c>
      <c r="O55" s="230">
        <v>83</v>
      </c>
      <c r="P55" s="104" t="s">
        <v>32</v>
      </c>
    </row>
    <row r="56" spans="2:17">
      <c r="B56" t="s">
        <v>156</v>
      </c>
      <c r="C56" s="220"/>
      <c r="D56" s="104" t="s">
        <v>68</v>
      </c>
    </row>
    <row r="57" spans="2:17" ht="24" customHeight="1">
      <c r="B57"/>
      <c r="C57" s="222"/>
      <c r="D57" s="104" t="s">
        <v>99</v>
      </c>
      <c r="Q57" s="172"/>
    </row>
    <row r="58" spans="2:17">
      <c r="B58" t="s">
        <v>156</v>
      </c>
      <c r="C58" s="220"/>
      <c r="D58" s="104" t="s">
        <v>69</v>
      </c>
      <c r="L58" s="130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2028$</v>
      </c>
      <c r="C60" s="222">
        <f>INDEX('Table 3 TransCost'!$39:$39,1,MATCH(F60,'Table 3 TransCost'!$4:$4,0)+2)</f>
        <v>9.0939944302083777</v>
      </c>
      <c r="D60" s="104" t="s">
        <v>150</v>
      </c>
      <c r="F60" s="226" t="s">
        <v>168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221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168">
        <v>0.29299999999999998</v>
      </c>
      <c r="D63" s="104" t="s">
        <v>37</v>
      </c>
    </row>
    <row r="64" spans="2:17" ht="13.5" thickBot="1">
      <c r="D64" s="135"/>
    </row>
    <row r="65" spans="3:11" ht="13.5" thickBot="1">
      <c r="C65" s="37" t="str">
        <f>"Company Official Inflation Forecast Dated "&amp;TEXT('Table 4'!$H$5,"mmmm dd, yyyy")</f>
        <v>Company Official Inflation Forecast Dated December 30, 2022</v>
      </c>
      <c r="D65" s="123"/>
      <c r="E65" s="123"/>
      <c r="F65" s="123"/>
      <c r="G65" s="123"/>
      <c r="H65" s="123"/>
      <c r="I65" s="123"/>
      <c r="J65" s="123"/>
      <c r="K65" s="125"/>
    </row>
    <row r="66" spans="3:11">
      <c r="C66" s="78">
        <v>2017</v>
      </c>
      <c r="D66" s="38">
        <v>0.02</v>
      </c>
      <c r="E66"/>
      <c r="F66" s="78">
        <f>C74+1</f>
        <v>2026</v>
      </c>
      <c r="G66" s="38">
        <v>2.1999999999999999E-2</v>
      </c>
      <c r="H66" s="38"/>
      <c r="I66" s="78">
        <f>F74+1</f>
        <v>2035</v>
      </c>
      <c r="J66" s="38">
        <v>2.1000000000000001E-2</v>
      </c>
    </row>
    <row r="67" spans="3:11">
      <c r="C67" s="78">
        <f t="shared" ref="C67:C74" si="6">C66+1</f>
        <v>2018</v>
      </c>
      <c r="D67" s="38">
        <v>2.4E-2</v>
      </c>
      <c r="E67"/>
      <c r="F67" s="78">
        <f t="shared" ref="F67:F74" si="7">F66+1</f>
        <v>2027</v>
      </c>
      <c r="G67" s="38">
        <v>2.1999999999999999E-2</v>
      </c>
      <c r="H67" s="38"/>
      <c r="I67" s="78">
        <f>I66+1</f>
        <v>2036</v>
      </c>
      <c r="J67" s="38">
        <v>2.1000000000000001E-2</v>
      </c>
    </row>
    <row r="68" spans="3:11">
      <c r="C68" s="78">
        <f t="shared" si="6"/>
        <v>2019</v>
      </c>
      <c r="D68" s="38">
        <v>1.7999999999999999E-2</v>
      </c>
      <c r="E68"/>
      <c r="F68" s="78">
        <f t="shared" si="7"/>
        <v>2028</v>
      </c>
      <c r="G68" s="38">
        <v>2.1999999999999999E-2</v>
      </c>
      <c r="H68" s="38"/>
      <c r="I68" s="78">
        <f t="shared" ref="I68:I74" si="8">I67+1</f>
        <v>2037</v>
      </c>
      <c r="J68" s="38">
        <v>2.1000000000000001E-2</v>
      </c>
    </row>
    <row r="69" spans="3:11">
      <c r="C69" s="78">
        <f t="shared" si="6"/>
        <v>2020</v>
      </c>
      <c r="D69" s="38">
        <v>1.2999999999999999E-2</v>
      </c>
      <c r="E69"/>
      <c r="F69" s="78">
        <f t="shared" si="7"/>
        <v>2029</v>
      </c>
      <c r="G69" s="38">
        <v>2.1999999999999999E-2</v>
      </c>
      <c r="H69" s="38"/>
      <c r="I69" s="78">
        <f t="shared" si="8"/>
        <v>2038</v>
      </c>
      <c r="J69" s="38">
        <v>2.1000000000000001E-2</v>
      </c>
    </row>
    <row r="70" spans="3:11">
      <c r="C70" s="78">
        <f t="shared" si="6"/>
        <v>2021</v>
      </c>
      <c r="D70" s="38">
        <v>4.5999999999999999E-2</v>
      </c>
      <c r="E70"/>
      <c r="F70" s="78">
        <f t="shared" si="7"/>
        <v>2030</v>
      </c>
      <c r="G70" s="38">
        <v>2.1999999999999999E-2</v>
      </c>
      <c r="H70" s="38"/>
      <c r="I70" s="78">
        <f t="shared" si="8"/>
        <v>2039</v>
      </c>
      <c r="J70" s="38">
        <v>2.1000000000000001E-2</v>
      </c>
    </row>
    <row r="71" spans="3:11">
      <c r="C71" s="78">
        <f t="shared" si="6"/>
        <v>2022</v>
      </c>
      <c r="D71" s="38">
        <v>7.4999999999999997E-2</v>
      </c>
      <c r="E71"/>
      <c r="F71" s="78">
        <f t="shared" si="7"/>
        <v>2031</v>
      </c>
      <c r="G71" s="38">
        <v>2.1999999999999999E-2</v>
      </c>
      <c r="H71" s="38"/>
      <c r="I71" s="78">
        <f t="shared" si="8"/>
        <v>2040</v>
      </c>
      <c r="J71" s="38">
        <v>2.1000000000000001E-2</v>
      </c>
    </row>
    <row r="72" spans="3:11">
      <c r="C72" s="78">
        <f t="shared" si="6"/>
        <v>2023</v>
      </c>
      <c r="D72" s="38">
        <v>3.9E-2</v>
      </c>
      <c r="E72"/>
      <c r="F72" s="78">
        <f t="shared" si="7"/>
        <v>2032</v>
      </c>
      <c r="G72" s="38">
        <v>2.1999999999999999E-2</v>
      </c>
      <c r="H72" s="38"/>
      <c r="I72" s="78">
        <f t="shared" si="8"/>
        <v>2041</v>
      </c>
      <c r="J72" s="38">
        <v>2.1999999999999999E-2</v>
      </c>
    </row>
    <row r="73" spans="3:11">
      <c r="C73" s="78">
        <f t="shared" si="6"/>
        <v>2024</v>
      </c>
      <c r="D73" s="38">
        <v>2.3E-2</v>
      </c>
      <c r="E73"/>
      <c r="F73" s="78">
        <f t="shared" si="7"/>
        <v>2033</v>
      </c>
      <c r="G73" s="38">
        <v>2.1999999999999999E-2</v>
      </c>
      <c r="H73" s="38"/>
      <c r="I73" s="78">
        <f t="shared" si="8"/>
        <v>2042</v>
      </c>
      <c r="J73" s="38">
        <v>2.1999999999999999E-2</v>
      </c>
    </row>
    <row r="74" spans="3:11">
      <c r="C74" s="78">
        <f t="shared" si="6"/>
        <v>2025</v>
      </c>
      <c r="D74" s="38">
        <v>2.1999999999999999E-2</v>
      </c>
      <c r="E74"/>
      <c r="F74" s="78">
        <f t="shared" si="7"/>
        <v>2034</v>
      </c>
      <c r="G74" s="38">
        <v>2.1000000000000001E-2</v>
      </c>
      <c r="H74" s="38"/>
      <c r="I74" s="78">
        <f t="shared" si="8"/>
        <v>2043</v>
      </c>
      <c r="J74" s="38">
        <v>2.1999999999999999E-2</v>
      </c>
    </row>
    <row r="93" spans="3:4">
      <c r="C93" s="131"/>
      <c r="D93" s="135"/>
    </row>
    <row r="94" spans="3:4">
      <c r="C94" s="131"/>
      <c r="D94" s="135"/>
    </row>
    <row r="95" spans="3:4">
      <c r="C95" s="131"/>
      <c r="D95" s="135"/>
    </row>
    <row r="96" spans="3:4">
      <c r="C96" s="131"/>
      <c r="D96" s="135"/>
    </row>
    <row r="97" spans="3:4">
      <c r="C97" s="131"/>
      <c r="D97" s="135"/>
    </row>
    <row r="98" spans="3:4">
      <c r="C98" s="131"/>
      <c r="D98" s="135"/>
    </row>
    <row r="99" spans="3:4">
      <c r="C99" s="131"/>
      <c r="D99" s="135"/>
    </row>
    <row r="100" spans="3:4">
      <c r="C100" s="131"/>
      <c r="D100" s="135"/>
    </row>
    <row r="101" spans="3:4">
      <c r="C101" s="131"/>
      <c r="D101" s="135"/>
    </row>
    <row r="102" spans="3:4">
      <c r="C102" s="131"/>
      <c r="D102" s="135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24129-E994-425E-8382-E139FFC21514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225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29%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Southern Oregon Solar with Storage - 29%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61">
        <f>$C$60</f>
        <v>9.0939944302083777</v>
      </c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/>
      <c r="E23" s="113"/>
      <c r="F23" s="113">
        <f t="shared" ref="D23:F37" si="1">ROUND(F22*(1+IRP21_Infl_Rate),2)</f>
        <v>9.2899999999999991</v>
      </c>
      <c r="G23" s="114"/>
      <c r="H23" s="113"/>
      <c r="I23" s="114"/>
      <c r="J23" s="114"/>
      <c r="K23" s="113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>
        <f>967346.939/377</f>
        <v>2565.9070000000002</v>
      </c>
      <c r="D24" s="113">
        <f>C24*$C$62</f>
        <v>139.04086985143036</v>
      </c>
      <c r="E24" s="113">
        <f>26737.970999999/377</f>
        <v>70.922999999997344</v>
      </c>
      <c r="F24" s="113">
        <f t="shared" si="1"/>
        <v>9.49</v>
      </c>
      <c r="G24" s="114">
        <f t="shared" ref="G24:G37" si="2">(D24+E24+F24)/(8.76*$C$63)</f>
        <v>85.516752036034163</v>
      </c>
      <c r="H24" s="113"/>
      <c r="I24" s="114">
        <f t="shared" ref="I24:I37" si="3">(G24+H24)</f>
        <v>85.516752036034163</v>
      </c>
      <c r="J24" s="114">
        <f t="shared" ref="J24:J37" si="4">ROUND(I24*$C$63*8.76,2)</f>
        <v>219.45</v>
      </c>
      <c r="K24" s="113">
        <f t="shared" ref="K24:K37" si="5">(D24+E24+F24)</f>
        <v>219.45386985142773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si="1"/>
        <v>142.04</v>
      </c>
      <c r="E25" s="113">
        <f t="shared" si="1"/>
        <v>72.45</v>
      </c>
      <c r="F25" s="113">
        <f t="shared" si="1"/>
        <v>9.69</v>
      </c>
      <c r="G25" s="114">
        <f t="shared" si="2"/>
        <v>87.358429743878204</v>
      </c>
      <c r="H25" s="113"/>
      <c r="I25" s="114">
        <f t="shared" si="3"/>
        <v>87.358429743878204</v>
      </c>
      <c r="J25" s="114">
        <f t="shared" si="4"/>
        <v>224.18</v>
      </c>
      <c r="K25" s="113">
        <f t="shared" si="5"/>
        <v>224.18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si="1"/>
        <v>145.1</v>
      </c>
      <c r="E26" s="113">
        <f t="shared" si="1"/>
        <v>74.010000000000005</v>
      </c>
      <c r="F26" s="113">
        <f t="shared" si="1"/>
        <v>9.9</v>
      </c>
      <c r="G26" s="114">
        <f t="shared" si="2"/>
        <v>89.240583440295964</v>
      </c>
      <c r="H26" s="113"/>
      <c r="I26" s="114">
        <f t="shared" si="3"/>
        <v>89.240583440295964</v>
      </c>
      <c r="J26" s="114">
        <f t="shared" si="4"/>
        <v>229.01</v>
      </c>
      <c r="K26" s="113">
        <f t="shared" si="5"/>
        <v>229.01000000000002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1"/>
        <v>148.22999999999999</v>
      </c>
      <c r="E27" s="113">
        <f t="shared" si="1"/>
        <v>75.599999999999994</v>
      </c>
      <c r="F27" s="113">
        <f t="shared" si="1"/>
        <v>10.11</v>
      </c>
      <c r="G27" s="114">
        <f t="shared" si="2"/>
        <v>91.161705122146785</v>
      </c>
      <c r="H27" s="113"/>
      <c r="I27" s="114">
        <f t="shared" si="3"/>
        <v>91.161705122146785</v>
      </c>
      <c r="J27" s="114">
        <f t="shared" si="4"/>
        <v>233.94</v>
      </c>
      <c r="K27" s="113">
        <f t="shared" si="5"/>
        <v>233.94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1"/>
        <v>151.41999999999999</v>
      </c>
      <c r="E28" s="113">
        <f t="shared" si="1"/>
        <v>77.23</v>
      </c>
      <c r="F28" s="113">
        <f t="shared" si="1"/>
        <v>10.33</v>
      </c>
      <c r="G28" s="114">
        <f t="shared" si="2"/>
        <v>93.125691587974003</v>
      </c>
      <c r="H28" s="113"/>
      <c r="I28" s="114">
        <f t="shared" si="3"/>
        <v>93.125691587974003</v>
      </c>
      <c r="J28" s="114">
        <f t="shared" si="4"/>
        <v>238.98</v>
      </c>
      <c r="K28" s="113">
        <f t="shared" si="5"/>
        <v>238.98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1"/>
        <v>154.68</v>
      </c>
      <c r="E29" s="113">
        <f t="shared" si="1"/>
        <v>78.89</v>
      </c>
      <c r="F29" s="113">
        <f t="shared" si="1"/>
        <v>10.55</v>
      </c>
      <c r="G29" s="114">
        <f t="shared" si="2"/>
        <v>95.128646039234312</v>
      </c>
      <c r="H29" s="113"/>
      <c r="I29" s="114">
        <f t="shared" si="3"/>
        <v>95.128646039234312</v>
      </c>
      <c r="J29" s="114">
        <f t="shared" si="4"/>
        <v>244.12</v>
      </c>
      <c r="K29" s="113">
        <f t="shared" si="5"/>
        <v>244.12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1"/>
        <v>158.01</v>
      </c>
      <c r="E30" s="113">
        <f t="shared" si="1"/>
        <v>80.59</v>
      </c>
      <c r="F30" s="113">
        <f t="shared" si="1"/>
        <v>10.78</v>
      </c>
      <c r="G30" s="114">
        <f t="shared" si="2"/>
        <v>97.178362073014299</v>
      </c>
      <c r="H30" s="113"/>
      <c r="I30" s="114">
        <f t="shared" si="3"/>
        <v>97.178362073014299</v>
      </c>
      <c r="J30" s="114">
        <f t="shared" si="4"/>
        <v>249.38</v>
      </c>
      <c r="K30" s="113">
        <f t="shared" si="5"/>
        <v>249.38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1"/>
        <v>161.41999999999999</v>
      </c>
      <c r="E31" s="113">
        <f t="shared" si="1"/>
        <v>82.33</v>
      </c>
      <c r="F31" s="113">
        <f t="shared" si="1"/>
        <v>11.01</v>
      </c>
      <c r="G31" s="114">
        <f t="shared" si="2"/>
        <v>99.274839689313993</v>
      </c>
      <c r="H31" s="113"/>
      <c r="I31" s="114">
        <f t="shared" si="3"/>
        <v>99.274839689313993</v>
      </c>
      <c r="J31" s="114">
        <f t="shared" si="4"/>
        <v>254.76</v>
      </c>
      <c r="K31" s="113">
        <f t="shared" si="5"/>
        <v>254.76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1"/>
        <v>164.9</v>
      </c>
      <c r="E32" s="113">
        <f t="shared" si="1"/>
        <v>84.1</v>
      </c>
      <c r="F32" s="113">
        <f t="shared" si="1"/>
        <v>11.25</v>
      </c>
      <c r="G32" s="114">
        <f t="shared" si="2"/>
        <v>101.41418208959007</v>
      </c>
      <c r="H32" s="113"/>
      <c r="I32" s="114">
        <f t="shared" si="3"/>
        <v>101.41418208959007</v>
      </c>
      <c r="J32" s="114">
        <f t="shared" si="4"/>
        <v>260.25</v>
      </c>
      <c r="K32" s="113">
        <f t="shared" si="5"/>
        <v>260.25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1"/>
        <v>168.45</v>
      </c>
      <c r="E33" s="113">
        <f t="shared" si="1"/>
        <v>85.91</v>
      </c>
      <c r="F33" s="113">
        <f t="shared" si="1"/>
        <v>11.49</v>
      </c>
      <c r="G33" s="114">
        <f t="shared" si="2"/>
        <v>103.59638927384252</v>
      </c>
      <c r="H33" s="113"/>
      <c r="I33" s="114">
        <f t="shared" si="3"/>
        <v>103.59638927384252</v>
      </c>
      <c r="J33" s="114">
        <f t="shared" si="4"/>
        <v>265.85000000000002</v>
      </c>
      <c r="K33" s="113">
        <f t="shared" si="5"/>
        <v>265.84999999999997</v>
      </c>
    </row>
    <row r="34" spans="2:12">
      <c r="B34" s="111">
        <f t="shared" si="0"/>
        <v>2040</v>
      </c>
      <c r="C34" s="115"/>
      <c r="D34" s="113">
        <f t="shared" si="1"/>
        <v>172.08</v>
      </c>
      <c r="E34" s="113">
        <f t="shared" si="1"/>
        <v>87.76</v>
      </c>
      <c r="F34" s="113">
        <f t="shared" si="1"/>
        <v>11.74</v>
      </c>
      <c r="G34" s="114">
        <f t="shared" si="2"/>
        <v>105.82925483915803</v>
      </c>
      <c r="H34" s="113"/>
      <c r="I34" s="114">
        <f t="shared" si="3"/>
        <v>105.82925483915803</v>
      </c>
      <c r="J34" s="114">
        <f t="shared" si="4"/>
        <v>271.58</v>
      </c>
      <c r="K34" s="113">
        <f t="shared" si="5"/>
        <v>271.58000000000004</v>
      </c>
    </row>
    <row r="35" spans="2:12">
      <c r="B35" s="111">
        <f t="shared" si="0"/>
        <v>2041</v>
      </c>
      <c r="C35" s="115"/>
      <c r="D35" s="113">
        <f t="shared" si="1"/>
        <v>175.79</v>
      </c>
      <c r="E35" s="113">
        <f t="shared" si="1"/>
        <v>89.65</v>
      </c>
      <c r="F35" s="113">
        <f t="shared" si="1"/>
        <v>11.99</v>
      </c>
      <c r="G35" s="114">
        <f t="shared" si="2"/>
        <v>108.10888198699318</v>
      </c>
      <c r="H35" s="113"/>
      <c r="I35" s="114">
        <f t="shared" si="3"/>
        <v>108.10888198699318</v>
      </c>
      <c r="J35" s="114">
        <f t="shared" si="4"/>
        <v>277.43</v>
      </c>
      <c r="K35" s="113">
        <f t="shared" si="5"/>
        <v>277.43</v>
      </c>
    </row>
    <row r="36" spans="2:12">
      <c r="B36" s="111">
        <f t="shared" si="0"/>
        <v>2042</v>
      </c>
      <c r="C36" s="115"/>
      <c r="D36" s="113">
        <f t="shared" si="1"/>
        <v>179.58</v>
      </c>
      <c r="E36" s="113">
        <f t="shared" si="1"/>
        <v>91.58</v>
      </c>
      <c r="F36" s="113">
        <f t="shared" si="1"/>
        <v>12.25</v>
      </c>
      <c r="G36" s="114">
        <f t="shared" si="2"/>
        <v>110.43916751589136</v>
      </c>
      <c r="H36" s="113"/>
      <c r="I36" s="114">
        <f t="shared" si="3"/>
        <v>110.43916751589136</v>
      </c>
      <c r="J36" s="114">
        <f t="shared" si="4"/>
        <v>283.41000000000003</v>
      </c>
      <c r="K36" s="113">
        <f t="shared" si="5"/>
        <v>283.41000000000003</v>
      </c>
    </row>
    <row r="37" spans="2:12">
      <c r="B37" s="111">
        <f t="shared" si="0"/>
        <v>2043</v>
      </c>
      <c r="C37" s="115"/>
      <c r="D37" s="113">
        <f t="shared" si="1"/>
        <v>183.45</v>
      </c>
      <c r="E37" s="113">
        <f t="shared" si="1"/>
        <v>93.55</v>
      </c>
      <c r="F37" s="113">
        <f t="shared" si="1"/>
        <v>12.51</v>
      </c>
      <c r="G37" s="114">
        <f t="shared" si="2"/>
        <v>112.81621462730921</v>
      </c>
      <c r="H37" s="113"/>
      <c r="I37" s="114">
        <f t="shared" si="3"/>
        <v>112.81621462730921</v>
      </c>
      <c r="J37" s="114">
        <f t="shared" si="4"/>
        <v>289.51</v>
      </c>
      <c r="K37" s="113">
        <f t="shared" si="5"/>
        <v>289.51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29.3%)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Southern Oregon Solar with Storage - 29%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2030</v>
      </c>
    </row>
    <row r="55" spans="2:17">
      <c r="B55" t="s">
        <v>198</v>
      </c>
      <c r="C55" s="328">
        <f>967346.939/377</f>
        <v>2565.9070000000002</v>
      </c>
      <c r="D55" s="104" t="s">
        <v>65</v>
      </c>
      <c r="O55" s="230">
        <v>377</v>
      </c>
      <c r="P55" s="104" t="s">
        <v>32</v>
      </c>
    </row>
    <row r="56" spans="2:17">
      <c r="B56" t="s">
        <v>198</v>
      </c>
      <c r="C56" s="129">
        <f>26737.970999999/377</f>
        <v>70.922999999997344</v>
      </c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198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2028$</v>
      </c>
      <c r="C60" s="134">
        <f>INDEX('Table 3 TransCost'!$39:$39,1,MATCH(F60,'Table 3 TransCost'!$4:$4,0)+2)</f>
        <v>9.0939944302083777</v>
      </c>
      <c r="D60" s="104" t="s">
        <v>150</v>
      </c>
      <c r="F60" s="104" t="s">
        <v>168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0.2929462477283894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AA92-D729-43CD-B095-8D15B68C7EEE}">
  <sheetPr>
    <tabColor rgb="FFFFC000"/>
    <pageSetUpPr fitToPage="1"/>
  </sheetPr>
  <dimension ref="B1:AB88"/>
  <sheetViews>
    <sheetView view="pageBreakPreview" zoomScale="60" zoomScaleNormal="70" workbookViewId="0">
      <selection activeCell="B1" sqref="B1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226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25%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Yakima Solar with Storage - 25%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328">
        <v>2702.6239999999998</v>
      </c>
      <c r="D23" s="113">
        <f>C23*$C$62</f>
        <v>146.44926407751802</v>
      </c>
      <c r="E23" s="113">
        <f>$C$56</f>
        <v>36.305800000007437</v>
      </c>
      <c r="F23" s="161">
        <f>$C$60</f>
        <v>5.6747035126682794</v>
      </c>
      <c r="G23" s="114">
        <f t="shared" ref="G23:G24" si="1">(D23+E23+F23)/(8.76*$C$63)</f>
        <v>86.847268272872057</v>
      </c>
      <c r="H23" s="113"/>
      <c r="I23" s="114">
        <f t="shared" ref="I23:I24" si="2">(G23+H23)</f>
        <v>86.847268272872057</v>
      </c>
      <c r="J23" s="114">
        <f t="shared" ref="J23:J24" si="3">ROUND(I23*$C$63*8.76,2)</f>
        <v>188.43</v>
      </c>
      <c r="K23" s="113">
        <f t="shared" ref="K23:K24" si="4">(D23+E23+F23)</f>
        <v>188.42976759019373</v>
      </c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>
        <f t="shared" ref="D24:F37" si="5">ROUND(D23*(1+IRP21_Infl_Rate),2)</f>
        <v>149.61000000000001</v>
      </c>
      <c r="E24" s="113">
        <f t="shared" si="5"/>
        <v>37.090000000000003</v>
      </c>
      <c r="F24" s="113">
        <f t="shared" si="5"/>
        <v>5.8</v>
      </c>
      <c r="G24" s="114">
        <f t="shared" si="1"/>
        <v>88.723238139778488</v>
      </c>
      <c r="H24" s="113"/>
      <c r="I24" s="114">
        <f t="shared" si="2"/>
        <v>88.723238139778488</v>
      </c>
      <c r="J24" s="114">
        <f t="shared" si="3"/>
        <v>192.5</v>
      </c>
      <c r="K24" s="113">
        <f t="shared" si="4"/>
        <v>192.50000000000003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si="5"/>
        <v>152.83000000000001</v>
      </c>
      <c r="E25" s="113">
        <f t="shared" si="5"/>
        <v>37.89</v>
      </c>
      <c r="F25" s="113">
        <f t="shared" si="5"/>
        <v>5.92</v>
      </c>
      <c r="G25" s="114">
        <f t="shared" ref="G25:G37" si="6">(D25+E25+F25)/(8.76*$C$63)</f>
        <v>90.631363884706701</v>
      </c>
      <c r="H25" s="113"/>
      <c r="I25" s="114">
        <f t="shared" ref="I25:I37" si="7">(G25+H25)</f>
        <v>90.631363884706701</v>
      </c>
      <c r="J25" s="114">
        <f t="shared" ref="J25:J37" si="8">ROUND(I25*$C$63*8.76,2)</f>
        <v>196.64</v>
      </c>
      <c r="K25" s="113">
        <f t="shared" ref="K25:K37" si="9">(D25+E25+F25)</f>
        <v>196.64000000000001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si="5"/>
        <v>156.12</v>
      </c>
      <c r="E26" s="113">
        <f t="shared" si="5"/>
        <v>38.71</v>
      </c>
      <c r="F26" s="113">
        <f t="shared" si="5"/>
        <v>6.05</v>
      </c>
      <c r="G26" s="114">
        <f t="shared" si="6"/>
        <v>92.585579623473777</v>
      </c>
      <c r="H26" s="113"/>
      <c r="I26" s="114">
        <f t="shared" si="7"/>
        <v>92.585579623473777</v>
      </c>
      <c r="J26" s="114">
        <f t="shared" si="8"/>
        <v>200.88</v>
      </c>
      <c r="K26" s="113">
        <f t="shared" si="9"/>
        <v>200.88000000000002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5"/>
        <v>159.47999999999999</v>
      </c>
      <c r="E27" s="113">
        <f t="shared" si="5"/>
        <v>39.54</v>
      </c>
      <c r="F27" s="113">
        <f t="shared" si="5"/>
        <v>6.18</v>
      </c>
      <c r="G27" s="114">
        <f t="shared" si="6"/>
        <v>94.576667357311905</v>
      </c>
      <c r="H27" s="113"/>
      <c r="I27" s="114">
        <f t="shared" si="7"/>
        <v>94.576667357311905</v>
      </c>
      <c r="J27" s="114">
        <f t="shared" si="8"/>
        <v>205.2</v>
      </c>
      <c r="K27" s="113">
        <f t="shared" si="9"/>
        <v>205.2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162.91999999999999</v>
      </c>
      <c r="E28" s="113">
        <f t="shared" si="5"/>
        <v>40.39</v>
      </c>
      <c r="F28" s="113">
        <f t="shared" si="5"/>
        <v>6.31</v>
      </c>
      <c r="G28" s="114">
        <f t="shared" si="6"/>
        <v>96.61384508498891</v>
      </c>
      <c r="H28" s="113"/>
      <c r="I28" s="114">
        <f t="shared" si="7"/>
        <v>96.61384508498891</v>
      </c>
      <c r="J28" s="114">
        <f t="shared" si="8"/>
        <v>209.62</v>
      </c>
      <c r="K28" s="113">
        <f t="shared" si="9"/>
        <v>209.62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166.43</v>
      </c>
      <c r="E29" s="113">
        <f t="shared" si="5"/>
        <v>41.26</v>
      </c>
      <c r="F29" s="113">
        <f t="shared" si="5"/>
        <v>6.45</v>
      </c>
      <c r="G29" s="114">
        <f t="shared" si="6"/>
        <v>98.697112806504734</v>
      </c>
      <c r="H29" s="113"/>
      <c r="I29" s="114">
        <f t="shared" si="7"/>
        <v>98.697112806504734</v>
      </c>
      <c r="J29" s="114">
        <f t="shared" si="8"/>
        <v>214.14</v>
      </c>
      <c r="K29" s="113">
        <f t="shared" si="9"/>
        <v>214.14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170.02</v>
      </c>
      <c r="E30" s="113">
        <f t="shared" si="5"/>
        <v>42.15</v>
      </c>
      <c r="F30" s="113">
        <f t="shared" si="5"/>
        <v>6.59</v>
      </c>
      <c r="G30" s="114">
        <f t="shared" si="6"/>
        <v>100.82647052185943</v>
      </c>
      <c r="H30" s="113"/>
      <c r="I30" s="114">
        <f t="shared" si="7"/>
        <v>100.82647052185943</v>
      </c>
      <c r="J30" s="114">
        <f t="shared" si="8"/>
        <v>218.76</v>
      </c>
      <c r="K30" s="113">
        <f t="shared" si="9"/>
        <v>218.76000000000002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173.68</v>
      </c>
      <c r="E31" s="113">
        <f t="shared" si="5"/>
        <v>43.06</v>
      </c>
      <c r="F31" s="113">
        <f t="shared" si="5"/>
        <v>6.73</v>
      </c>
      <c r="G31" s="114">
        <f t="shared" si="6"/>
        <v>102.99730923166906</v>
      </c>
      <c r="H31" s="113"/>
      <c r="I31" s="114">
        <f t="shared" si="7"/>
        <v>102.99730923166906</v>
      </c>
      <c r="J31" s="114">
        <f t="shared" si="8"/>
        <v>223.47</v>
      </c>
      <c r="K31" s="113">
        <f t="shared" si="9"/>
        <v>223.47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177.42</v>
      </c>
      <c r="E32" s="113">
        <f t="shared" si="5"/>
        <v>43.99</v>
      </c>
      <c r="F32" s="113">
        <f t="shared" si="5"/>
        <v>6.88</v>
      </c>
      <c r="G32" s="114">
        <f t="shared" si="6"/>
        <v>105.21884693470145</v>
      </c>
      <c r="H32" s="113"/>
      <c r="I32" s="114">
        <f t="shared" si="7"/>
        <v>105.21884693470145</v>
      </c>
      <c r="J32" s="114">
        <f t="shared" si="8"/>
        <v>228.29</v>
      </c>
      <c r="K32" s="113">
        <f t="shared" si="9"/>
        <v>228.29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181.24</v>
      </c>
      <c r="E33" s="113">
        <f t="shared" si="5"/>
        <v>44.94</v>
      </c>
      <c r="F33" s="113">
        <f t="shared" si="5"/>
        <v>7.03</v>
      </c>
      <c r="G33" s="114">
        <f t="shared" si="6"/>
        <v>107.48647463157268</v>
      </c>
      <c r="H33" s="113"/>
      <c r="I33" s="114">
        <f t="shared" si="7"/>
        <v>107.48647463157268</v>
      </c>
      <c r="J33" s="114">
        <f t="shared" si="8"/>
        <v>233.21</v>
      </c>
      <c r="K33" s="113">
        <f t="shared" si="9"/>
        <v>233.21</v>
      </c>
    </row>
    <row r="34" spans="2:12">
      <c r="B34" s="111">
        <f t="shared" si="0"/>
        <v>2040</v>
      </c>
      <c r="C34" s="115"/>
      <c r="D34" s="113">
        <f t="shared" si="5"/>
        <v>185.15</v>
      </c>
      <c r="E34" s="113">
        <f t="shared" si="5"/>
        <v>45.91</v>
      </c>
      <c r="F34" s="113">
        <f t="shared" si="5"/>
        <v>7.18</v>
      </c>
      <c r="G34" s="114">
        <f t="shared" si="6"/>
        <v>109.80480132166662</v>
      </c>
      <c r="H34" s="113"/>
      <c r="I34" s="114">
        <f t="shared" si="7"/>
        <v>109.80480132166662</v>
      </c>
      <c r="J34" s="114">
        <f t="shared" si="8"/>
        <v>238.24</v>
      </c>
      <c r="K34" s="113">
        <f t="shared" si="9"/>
        <v>238.24</v>
      </c>
    </row>
    <row r="35" spans="2:12">
      <c r="B35" s="111">
        <f t="shared" si="0"/>
        <v>2041</v>
      </c>
      <c r="C35" s="115"/>
      <c r="D35" s="113">
        <f t="shared" si="5"/>
        <v>189.14</v>
      </c>
      <c r="E35" s="113">
        <f t="shared" si="5"/>
        <v>46.9</v>
      </c>
      <c r="F35" s="113">
        <f t="shared" si="5"/>
        <v>7.33</v>
      </c>
      <c r="G35" s="114">
        <f t="shared" si="6"/>
        <v>112.16921800559942</v>
      </c>
      <c r="H35" s="113"/>
      <c r="I35" s="114">
        <f t="shared" si="7"/>
        <v>112.16921800559942</v>
      </c>
      <c r="J35" s="114">
        <f t="shared" si="8"/>
        <v>243.37</v>
      </c>
      <c r="K35" s="113">
        <f t="shared" si="9"/>
        <v>243.37</v>
      </c>
    </row>
    <row r="36" spans="2:12">
      <c r="B36" s="111">
        <f t="shared" si="0"/>
        <v>2042</v>
      </c>
      <c r="C36" s="115"/>
      <c r="D36" s="113">
        <f t="shared" si="5"/>
        <v>193.22</v>
      </c>
      <c r="E36" s="113">
        <f t="shared" si="5"/>
        <v>47.91</v>
      </c>
      <c r="F36" s="113">
        <f t="shared" si="5"/>
        <v>7.49</v>
      </c>
      <c r="G36" s="114">
        <f t="shared" si="6"/>
        <v>114.58894268213884</v>
      </c>
      <c r="H36" s="113"/>
      <c r="I36" s="114">
        <f t="shared" si="7"/>
        <v>114.58894268213884</v>
      </c>
      <c r="J36" s="114">
        <f t="shared" si="8"/>
        <v>248.62</v>
      </c>
      <c r="K36" s="113">
        <f t="shared" si="9"/>
        <v>248.62</v>
      </c>
    </row>
    <row r="37" spans="2:12">
      <c r="B37" s="111">
        <f t="shared" si="0"/>
        <v>2043</v>
      </c>
      <c r="C37" s="115"/>
      <c r="D37" s="113">
        <f t="shared" si="5"/>
        <v>197.38</v>
      </c>
      <c r="E37" s="113">
        <f t="shared" si="5"/>
        <v>48.94</v>
      </c>
      <c r="F37" s="113">
        <f t="shared" si="5"/>
        <v>7.65</v>
      </c>
      <c r="G37" s="114">
        <f t="shared" si="6"/>
        <v>117.05475735251709</v>
      </c>
      <c r="H37" s="113"/>
      <c r="I37" s="114">
        <f t="shared" si="7"/>
        <v>117.05475735251709</v>
      </c>
      <c r="J37" s="114">
        <f t="shared" si="8"/>
        <v>253.97</v>
      </c>
      <c r="K37" s="113">
        <f t="shared" si="9"/>
        <v>253.97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24.8%)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Yakima Solar with Storage - 25%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2029</v>
      </c>
    </row>
    <row r="55" spans="2:17">
      <c r="B55" t="s">
        <v>200</v>
      </c>
      <c r="C55" s="328">
        <f>+(432419.84/160)</f>
        <v>2702.6240000000003</v>
      </c>
      <c r="D55" s="104" t="s">
        <v>65</v>
      </c>
      <c r="O55" s="230">
        <v>160</v>
      </c>
      <c r="P55" s="104" t="s">
        <v>32</v>
      </c>
    </row>
    <row r="56" spans="2:17">
      <c r="B56" t="s">
        <v>200</v>
      </c>
      <c r="C56" s="129">
        <f>5808.92800000119/160</f>
        <v>36.305800000007437</v>
      </c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200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2029$</v>
      </c>
      <c r="C60" s="134">
        <f>INDEX('Table 3 TransCost'!$39:$39,1,MATCH(F60,'Table 3 TransCost'!$4:$4,0)+2)</f>
        <v>5.6747035126682794</v>
      </c>
      <c r="D60" s="104" t="s">
        <v>150</v>
      </c>
      <c r="F60" s="104" t="s">
        <v>147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0.24767903319904377</v>
      </c>
      <c r="D63" s="104" t="s">
        <v>37</v>
      </c>
    </row>
    <row r="64" spans="2:17">
      <c r="D64" s="135"/>
    </row>
    <row r="79" spans="3:4">
      <c r="C79" s="131"/>
      <c r="D79" s="135"/>
    </row>
    <row r="80" spans="3:4">
      <c r="C80" s="131"/>
      <c r="D80" s="135"/>
    </row>
    <row r="81" spans="3:4">
      <c r="C81" s="131"/>
      <c r="D81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60A2-70A6-47F7-B74E-3DABE4DEA985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227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32%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UTN Solar with Storage - 32% Capacity Factor</v>
      </c>
    </row>
    <row r="10" spans="2:26" hidden="1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 hidden="1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 hidden="1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/>
      <c r="E23" s="113"/>
      <c r="F23" s="113"/>
      <c r="G23" s="114"/>
      <c r="H23" s="113"/>
      <c r="I23" s="114"/>
      <c r="J23" s="114"/>
      <c r="K23" s="113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/>
      <c r="E24" s="113"/>
      <c r="F24" s="113"/>
      <c r="G24" s="114"/>
      <c r="H24" s="113"/>
      <c r="I24" s="114"/>
      <c r="J24" s="114"/>
      <c r="K24" s="113"/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>
        <v>2478.058</v>
      </c>
      <c r="D25" s="113">
        <f>C25*$C$62</f>
        <v>134.28052531221738</v>
      </c>
      <c r="E25" s="113">
        <v>43.61</v>
      </c>
      <c r="F25" s="161">
        <f>$C$60</f>
        <v>12.45513744317196</v>
      </c>
      <c r="G25" s="114">
        <f t="shared" ref="G25:G37" si="1">(D25+E25+F25)/(8.76*$C$63)</f>
        <v>67.383805384409555</v>
      </c>
      <c r="H25" s="113"/>
      <c r="I25" s="114">
        <f t="shared" ref="I25:I37" si="2">(G25+H25)</f>
        <v>67.383805384409555</v>
      </c>
      <c r="J25" s="114">
        <f t="shared" ref="J25:J37" si="3">ROUND(I25*$C$63*8.76,2)</f>
        <v>190.35</v>
      </c>
      <c r="K25" s="113">
        <f t="shared" ref="K25:K37" si="4">(D25+E25+F25)</f>
        <v>190.34566275538936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ref="D26:F37" si="5">ROUND(D25*(1+IRP21_Infl_Rate),2)</f>
        <v>137.16999999999999</v>
      </c>
      <c r="E26" s="113">
        <f t="shared" si="5"/>
        <v>44.55</v>
      </c>
      <c r="F26" s="113">
        <f t="shared" si="5"/>
        <v>12.72</v>
      </c>
      <c r="G26" s="114">
        <f t="shared" si="1"/>
        <v>68.833231759958366</v>
      </c>
      <c r="H26" s="113"/>
      <c r="I26" s="114">
        <f t="shared" si="2"/>
        <v>68.833231759958366</v>
      </c>
      <c r="J26" s="114">
        <f t="shared" si="3"/>
        <v>194.44</v>
      </c>
      <c r="K26" s="113">
        <f t="shared" si="4"/>
        <v>194.43999999999997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5"/>
        <v>140.13</v>
      </c>
      <c r="E27" s="113">
        <f t="shared" si="5"/>
        <v>45.51</v>
      </c>
      <c r="F27" s="113">
        <f t="shared" si="5"/>
        <v>12.99</v>
      </c>
      <c r="G27" s="114">
        <f t="shared" si="1"/>
        <v>70.316523475007884</v>
      </c>
      <c r="H27" s="113"/>
      <c r="I27" s="114">
        <f t="shared" si="2"/>
        <v>70.316523475007884</v>
      </c>
      <c r="J27" s="114">
        <f t="shared" si="3"/>
        <v>198.63</v>
      </c>
      <c r="K27" s="113">
        <f t="shared" si="4"/>
        <v>198.63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143.15</v>
      </c>
      <c r="E28" s="113">
        <f t="shared" si="5"/>
        <v>46.49</v>
      </c>
      <c r="F28" s="113">
        <f t="shared" si="5"/>
        <v>13.27</v>
      </c>
      <c r="G28" s="114">
        <f t="shared" si="1"/>
        <v>71.831675871287587</v>
      </c>
      <c r="H28" s="113"/>
      <c r="I28" s="114">
        <f t="shared" si="2"/>
        <v>71.831675871287587</v>
      </c>
      <c r="J28" s="114">
        <f t="shared" si="3"/>
        <v>202.91</v>
      </c>
      <c r="K28" s="113">
        <f t="shared" si="4"/>
        <v>202.91000000000003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146.22999999999999</v>
      </c>
      <c r="E29" s="113">
        <f t="shared" si="5"/>
        <v>47.49</v>
      </c>
      <c r="F29" s="113">
        <f t="shared" si="5"/>
        <v>13.56</v>
      </c>
      <c r="G29" s="114">
        <f t="shared" si="1"/>
        <v>73.378688948797432</v>
      </c>
      <c r="H29" s="113"/>
      <c r="I29" s="114">
        <f t="shared" si="2"/>
        <v>73.378688948797432</v>
      </c>
      <c r="J29" s="114">
        <f t="shared" si="3"/>
        <v>207.28</v>
      </c>
      <c r="K29" s="113">
        <f t="shared" si="4"/>
        <v>207.28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149.38</v>
      </c>
      <c r="E30" s="113">
        <f t="shared" si="5"/>
        <v>48.51</v>
      </c>
      <c r="F30" s="113">
        <f t="shared" si="5"/>
        <v>13.85</v>
      </c>
      <c r="G30" s="114">
        <f t="shared" si="1"/>
        <v>74.957562707537477</v>
      </c>
      <c r="H30" s="113"/>
      <c r="I30" s="114">
        <f t="shared" si="2"/>
        <v>74.957562707537477</v>
      </c>
      <c r="J30" s="114">
        <f t="shared" si="3"/>
        <v>211.74</v>
      </c>
      <c r="K30" s="113">
        <f t="shared" si="4"/>
        <v>211.73999999999998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152.6</v>
      </c>
      <c r="E31" s="113">
        <f t="shared" si="5"/>
        <v>49.56</v>
      </c>
      <c r="F31" s="113">
        <f t="shared" si="5"/>
        <v>14.15</v>
      </c>
      <c r="G31" s="114">
        <f t="shared" si="1"/>
        <v>76.575377298892192</v>
      </c>
      <c r="H31" s="113"/>
      <c r="I31" s="114">
        <f t="shared" si="2"/>
        <v>76.575377298892192</v>
      </c>
      <c r="J31" s="114">
        <f t="shared" si="3"/>
        <v>216.31</v>
      </c>
      <c r="K31" s="113">
        <f t="shared" si="4"/>
        <v>216.31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155.88999999999999</v>
      </c>
      <c r="E32" s="113">
        <f t="shared" si="5"/>
        <v>50.63</v>
      </c>
      <c r="F32" s="113">
        <f t="shared" si="5"/>
        <v>14.45</v>
      </c>
      <c r="G32" s="114">
        <f t="shared" si="1"/>
        <v>78.225052571477079</v>
      </c>
      <c r="H32" s="113"/>
      <c r="I32" s="114">
        <f t="shared" si="2"/>
        <v>78.225052571477079</v>
      </c>
      <c r="J32" s="114">
        <f t="shared" si="3"/>
        <v>220.97</v>
      </c>
      <c r="K32" s="113">
        <f t="shared" si="4"/>
        <v>220.96999999999997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159.25</v>
      </c>
      <c r="E33" s="113">
        <f t="shared" si="5"/>
        <v>51.72</v>
      </c>
      <c r="F33" s="113">
        <f t="shared" si="5"/>
        <v>14.76</v>
      </c>
      <c r="G33" s="114">
        <f t="shared" si="1"/>
        <v>79.910128600984393</v>
      </c>
      <c r="H33" s="113"/>
      <c r="I33" s="114">
        <f t="shared" si="2"/>
        <v>79.910128600984393</v>
      </c>
      <c r="J33" s="114">
        <f t="shared" si="3"/>
        <v>225.73</v>
      </c>
      <c r="K33" s="113">
        <f t="shared" si="4"/>
        <v>225.73</v>
      </c>
    </row>
    <row r="34" spans="2:12">
      <c r="B34" s="111">
        <f t="shared" si="0"/>
        <v>2040</v>
      </c>
      <c r="C34" s="115"/>
      <c r="D34" s="113">
        <f t="shared" si="5"/>
        <v>162.68</v>
      </c>
      <c r="E34" s="113">
        <f t="shared" si="5"/>
        <v>52.83</v>
      </c>
      <c r="F34" s="113">
        <f t="shared" si="5"/>
        <v>15.08</v>
      </c>
      <c r="G34" s="114">
        <f t="shared" si="1"/>
        <v>81.630605387414136</v>
      </c>
      <c r="H34" s="113"/>
      <c r="I34" s="114">
        <f t="shared" si="2"/>
        <v>81.630605387414136</v>
      </c>
      <c r="J34" s="114">
        <f t="shared" si="3"/>
        <v>230.59</v>
      </c>
      <c r="K34" s="113">
        <f t="shared" si="4"/>
        <v>230.59</v>
      </c>
    </row>
    <row r="35" spans="2:12">
      <c r="B35" s="111">
        <f t="shared" si="0"/>
        <v>2041</v>
      </c>
      <c r="C35" s="115"/>
      <c r="D35" s="113">
        <f t="shared" si="5"/>
        <v>166.19</v>
      </c>
      <c r="E35" s="113">
        <f t="shared" si="5"/>
        <v>53.97</v>
      </c>
      <c r="F35" s="113">
        <f t="shared" si="5"/>
        <v>15.4</v>
      </c>
      <c r="G35" s="114">
        <f t="shared" si="1"/>
        <v>83.390023006458534</v>
      </c>
      <c r="H35" s="113"/>
      <c r="I35" s="114">
        <f t="shared" si="2"/>
        <v>83.390023006458534</v>
      </c>
      <c r="J35" s="114">
        <f t="shared" si="3"/>
        <v>235.56</v>
      </c>
      <c r="K35" s="113">
        <f t="shared" si="4"/>
        <v>235.56</v>
      </c>
    </row>
    <row r="36" spans="2:12">
      <c r="B36" s="111">
        <f t="shared" si="0"/>
        <v>2042</v>
      </c>
      <c r="C36" s="115"/>
      <c r="D36" s="113">
        <f t="shared" si="5"/>
        <v>169.77</v>
      </c>
      <c r="E36" s="113">
        <f t="shared" si="5"/>
        <v>55.13</v>
      </c>
      <c r="F36" s="113">
        <f t="shared" si="5"/>
        <v>15.73</v>
      </c>
      <c r="G36" s="114">
        <f t="shared" si="1"/>
        <v>85.184841382425347</v>
      </c>
      <c r="H36" s="113"/>
      <c r="I36" s="114">
        <f t="shared" si="2"/>
        <v>85.184841382425347</v>
      </c>
      <c r="J36" s="114">
        <f t="shared" si="3"/>
        <v>240.63</v>
      </c>
      <c r="K36" s="113">
        <f t="shared" si="4"/>
        <v>240.63</v>
      </c>
    </row>
    <row r="37" spans="2:12">
      <c r="B37" s="111">
        <f t="shared" si="0"/>
        <v>2043</v>
      </c>
      <c r="C37" s="115"/>
      <c r="D37" s="113">
        <f t="shared" si="5"/>
        <v>173.43</v>
      </c>
      <c r="E37" s="113">
        <f t="shared" si="5"/>
        <v>56.32</v>
      </c>
      <c r="F37" s="113">
        <f t="shared" si="5"/>
        <v>16.07</v>
      </c>
      <c r="G37" s="114">
        <f t="shared" si="1"/>
        <v>87.022140666699087</v>
      </c>
      <c r="H37" s="113"/>
      <c r="I37" s="114">
        <f t="shared" si="2"/>
        <v>87.022140666699087</v>
      </c>
      <c r="J37" s="114">
        <f t="shared" si="3"/>
        <v>245.82</v>
      </c>
      <c r="K37" s="113">
        <f t="shared" si="4"/>
        <v>245.82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32.2%)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UTN Solar with Storage - 32%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2031</v>
      </c>
    </row>
    <row r="55" spans="2:17">
      <c r="B55" t="s">
        <v>206</v>
      </c>
      <c r="C55" s="328">
        <f>1551264.308/626</f>
        <v>2478.058</v>
      </c>
      <c r="D55" s="104" t="s">
        <v>65</v>
      </c>
      <c r="O55" s="230">
        <v>626</v>
      </c>
      <c r="P55" s="104" t="s">
        <v>32</v>
      </c>
    </row>
    <row r="56" spans="2:17">
      <c r="B56" t="s">
        <v>206</v>
      </c>
      <c r="C56" s="129">
        <f>27299.8599999995/626</f>
        <v>43.609999999999197</v>
      </c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206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2031$</v>
      </c>
      <c r="C60" s="134">
        <f>INDEX('Table 3 TransCost'!$39:$39,1,MATCH(F60,'Table 3 TransCost'!$4:$4,0)+2)</f>
        <v>12.45513744317196</v>
      </c>
      <c r="D60" s="104" t="s">
        <v>150</v>
      </c>
      <c r="F60" s="104" t="s">
        <v>146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0.32246556589655162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82"/>
  <sheetViews>
    <sheetView view="pageBreakPreview" topLeftCell="A23" zoomScale="70" zoomScaleNormal="70" zoomScaleSheetLayoutView="70" workbookViewId="0">
      <selection activeCell="D42" sqref="D42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12.83203125" customWidth="1"/>
    <col min="11" max="11" width="16.6640625" customWidth="1"/>
    <col min="12" max="12" width="19.1640625" customWidth="1"/>
    <col min="16" max="16" width="16.83203125" customWidth="1"/>
    <col min="17" max="17" width="17.6640625" customWidth="1"/>
    <col min="18" max="18" width="16" customWidth="1"/>
    <col min="19" max="19" width="12.5" customWidth="1"/>
    <col min="20" max="20" width="12.83203125" customWidth="1"/>
    <col min="21" max="21" width="14.6640625" customWidth="1"/>
    <col min="22" max="22" width="12.83203125" customWidth="1"/>
    <col min="23" max="23" width="13.1640625" customWidth="1"/>
    <col min="24" max="24" width="12.6640625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7.1640625" customWidth="1"/>
    <col min="66" max="66" width="16.6640625" customWidth="1"/>
    <col min="67" max="67" width="16" customWidth="1"/>
    <col min="68" max="68" width="17" customWidth="1"/>
    <col min="69" max="69" width="17.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0"/>
      <c r="H1" s="34"/>
      <c r="I1" s="3"/>
    </row>
    <row r="2" spans="2:107" customFormat="1" ht="5.25" customHeight="1">
      <c r="B2" s="1"/>
      <c r="C2" s="2"/>
      <c r="D2" s="2"/>
      <c r="E2" s="2"/>
      <c r="F2" s="3"/>
      <c r="G2" s="10"/>
      <c r="H2" s="34"/>
      <c r="I2" s="3"/>
    </row>
    <row r="3" spans="2:107" customFormat="1" ht="15.75">
      <c r="B3" s="1" t="s">
        <v>20</v>
      </c>
      <c r="C3" s="2"/>
      <c r="D3" s="2"/>
      <c r="E3" s="2"/>
      <c r="F3" s="2"/>
      <c r="G3" s="10"/>
      <c r="H3" s="34"/>
      <c r="I3" s="3"/>
      <c r="K3">
        <f>MATCH('Table 5'!K5,'Table 5'!$B$12:$B$240,FALSE)+ROW('Table 5'!B11)</f>
        <v>13</v>
      </c>
      <c r="DB3" s="157">
        <v>0</v>
      </c>
      <c r="DC3" t="s">
        <v>87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4"/>
      <c r="I4" s="3"/>
      <c r="K4">
        <v>322</v>
      </c>
      <c r="P4" s="145" t="s">
        <v>58</v>
      </c>
      <c r="Q4" s="145"/>
      <c r="R4" s="145"/>
      <c r="DB4">
        <v>600</v>
      </c>
      <c r="DC4" t="s">
        <v>88</v>
      </c>
    </row>
    <row r="5" spans="2:107" customFormat="1" ht="15.75">
      <c r="B5" s="4" t="str">
        <f ca="1">'Table 5'!M4&amp; " - "&amp;TEXT(Study_MW,"#.0")&amp;" MW and "&amp;TEXT(Study_CF,"#.0%")&amp;" CF"</f>
        <v>Utah 2022.Q4_Wind - 80.0 MW and 29.5% CF</v>
      </c>
      <c r="C5" s="4"/>
      <c r="D5" s="4"/>
      <c r="E5" s="4"/>
      <c r="F5" s="4"/>
      <c r="G5" s="1"/>
      <c r="H5" s="34"/>
      <c r="I5" s="3"/>
      <c r="P5" s="146">
        <v>0.41156195349570163</v>
      </c>
      <c r="Q5" s="146">
        <v>0.41156195349570163</v>
      </c>
      <c r="R5" s="146">
        <v>0.41156195349570163</v>
      </c>
      <c r="S5" s="146">
        <v>0.30601336826237258</v>
      </c>
      <c r="T5" s="146">
        <v>0.30601336826237258</v>
      </c>
      <c r="U5" s="146">
        <v>0.42792879720636467</v>
      </c>
      <c r="V5" s="146">
        <v>0.82755792378807014</v>
      </c>
      <c r="W5" s="146">
        <v>0.83616598140283749</v>
      </c>
      <c r="X5" s="146">
        <v>0.83616598140283749</v>
      </c>
      <c r="Y5" s="146">
        <v>0.80898596435506986</v>
      </c>
      <c r="Z5" s="146">
        <v>0.82752951363946159</v>
      </c>
      <c r="AA5" s="146">
        <v>0.82752951363946159</v>
      </c>
      <c r="AB5" s="146">
        <v>0.80898596435506986</v>
      </c>
      <c r="AC5" s="146">
        <v>0.80898596435506986</v>
      </c>
      <c r="AD5" s="146">
        <v>0.76684191964285697</v>
      </c>
      <c r="AE5" s="146">
        <v>0.93399999999999994</v>
      </c>
      <c r="AF5" s="146">
        <v>0.93399999999999994</v>
      </c>
      <c r="AG5" s="146"/>
      <c r="AH5" s="146"/>
      <c r="AI5" s="146"/>
      <c r="AJ5" s="146"/>
      <c r="AK5" s="146"/>
      <c r="DB5" s="150">
        <f>$DB$3*$DB$4</f>
        <v>0</v>
      </c>
      <c r="DC5" t="s">
        <v>85</v>
      </c>
    </row>
    <row r="6" spans="2:107" customFormat="1" ht="14.25" hidden="1">
      <c r="B6" s="18"/>
      <c r="C6" s="4"/>
      <c r="D6" s="4"/>
      <c r="E6" s="4"/>
      <c r="F6" s="4"/>
      <c r="G6" s="10"/>
      <c r="H6" s="34"/>
      <c r="I6" s="3"/>
    </row>
    <row r="7" spans="2:107" customFormat="1" ht="38.25">
      <c r="B7" s="3"/>
      <c r="C7" s="6"/>
      <c r="D7" s="6"/>
      <c r="E7" s="3"/>
      <c r="F7" s="3"/>
      <c r="G7" s="3"/>
      <c r="H7" s="34"/>
      <c r="AL7" s="171" t="s">
        <v>74</v>
      </c>
      <c r="AM7" s="171"/>
    </row>
    <row r="8" spans="2:107" s="159" customFormat="1" ht="40.700000000000003" customHeight="1">
      <c r="B8" s="163"/>
      <c r="C8" s="163"/>
      <c r="D8" s="163"/>
      <c r="E8" s="164"/>
      <c r="F8" s="165"/>
      <c r="G8" s="164" t="s">
        <v>14</v>
      </c>
      <c r="H8" s="167"/>
      <c r="I8" s="170"/>
      <c r="K8"/>
      <c r="L8"/>
      <c r="M8"/>
      <c r="AL8" s="159">
        <f>P8</f>
        <v>0</v>
      </c>
      <c r="AN8" s="159">
        <f t="shared" ref="AN8" si="0">R8</f>
        <v>0</v>
      </c>
      <c r="AO8" s="159">
        <f t="shared" ref="AO8" si="1">S8</f>
        <v>0</v>
      </c>
      <c r="AP8" s="159">
        <f t="shared" ref="AP8" si="2">T8</f>
        <v>0</v>
      </c>
      <c r="AQ8" s="159">
        <f t="shared" ref="AQ8" si="3">U8</f>
        <v>0</v>
      </c>
      <c r="AR8" s="159">
        <f t="shared" ref="AR8" si="4">V8</f>
        <v>0</v>
      </c>
      <c r="AS8" s="159">
        <f t="shared" ref="AS8" si="5">W8</f>
        <v>0</v>
      </c>
      <c r="AT8" s="159">
        <f t="shared" ref="AT8" si="6">X8</f>
        <v>0</v>
      </c>
      <c r="AU8" s="159">
        <f t="shared" ref="AU8" si="7">Y8</f>
        <v>0</v>
      </c>
      <c r="AV8" s="159">
        <f t="shared" ref="AV8" si="8">Z8</f>
        <v>0</v>
      </c>
      <c r="AW8" s="159">
        <f t="shared" ref="AW8" si="9">AA8</f>
        <v>0</v>
      </c>
      <c r="AX8" s="159">
        <f t="shared" ref="AX8" si="10">AB8</f>
        <v>0</v>
      </c>
      <c r="AY8" s="159">
        <f t="shared" ref="AY8" si="11">AC8</f>
        <v>0</v>
      </c>
      <c r="AZ8" s="159">
        <f t="shared" ref="AZ8" si="12">AD8</f>
        <v>0</v>
      </c>
      <c r="BA8" s="159">
        <f t="shared" ref="BA8" si="13">AE8</f>
        <v>0</v>
      </c>
      <c r="BB8" s="159">
        <f>AF8</f>
        <v>0</v>
      </c>
      <c r="BC8" s="159">
        <f>AG8</f>
        <v>0</v>
      </c>
      <c r="BH8" s="171" t="s">
        <v>75</v>
      </c>
      <c r="BI8" s="171"/>
      <c r="BJ8" s="171"/>
      <c r="BM8" s="159">
        <f t="shared" ref="BL8:BY9" si="14">U8</f>
        <v>0</v>
      </c>
      <c r="BN8" s="159">
        <f t="shared" si="14"/>
        <v>0</v>
      </c>
      <c r="BO8" s="159">
        <f t="shared" si="14"/>
        <v>0</v>
      </c>
      <c r="BP8" s="159">
        <f t="shared" si="14"/>
        <v>0</v>
      </c>
      <c r="BQ8" s="159">
        <f t="shared" si="14"/>
        <v>0</v>
      </c>
      <c r="BR8" s="159">
        <f t="shared" si="14"/>
        <v>0</v>
      </c>
      <c r="BS8" s="159">
        <f t="shared" si="14"/>
        <v>0</v>
      </c>
      <c r="BT8" s="159">
        <f t="shared" si="14"/>
        <v>0</v>
      </c>
      <c r="BU8" s="159">
        <f t="shared" si="14"/>
        <v>0</v>
      </c>
      <c r="BV8" s="159">
        <f t="shared" si="14"/>
        <v>0</v>
      </c>
      <c r="BW8" s="159">
        <f t="shared" si="14"/>
        <v>0</v>
      </c>
      <c r="BX8" s="159">
        <f t="shared" si="14"/>
        <v>0</v>
      </c>
      <c r="BY8" s="159">
        <f t="shared" si="14"/>
        <v>0</v>
      </c>
      <c r="CD8" s="171" t="s">
        <v>76</v>
      </c>
      <c r="CE8" s="171"/>
      <c r="CF8" s="171"/>
      <c r="DB8" s="153" t="s">
        <v>75</v>
      </c>
      <c r="DC8" s="154" t="s">
        <v>76</v>
      </c>
    </row>
    <row r="9" spans="2:107" s="159" customFormat="1" ht="76.7" customHeight="1">
      <c r="B9" s="163"/>
      <c r="C9" s="164" t="s">
        <v>6</v>
      </c>
      <c r="D9" s="164"/>
      <c r="E9" s="164" t="s">
        <v>18</v>
      </c>
      <c r="F9" s="165"/>
      <c r="G9" s="166">
        <f ca="1">Study_CF</f>
        <v>0.29454851598173515</v>
      </c>
      <c r="H9" s="167"/>
      <c r="K9"/>
      <c r="L9"/>
      <c r="M9"/>
      <c r="P9" s="159" t="s">
        <v>186</v>
      </c>
      <c r="Q9" s="159" t="s">
        <v>187</v>
      </c>
      <c r="R9" s="159" t="s">
        <v>188</v>
      </c>
      <c r="S9" s="159" t="s">
        <v>189</v>
      </c>
      <c r="T9" s="159" t="s">
        <v>190</v>
      </c>
      <c r="U9" s="159" t="s">
        <v>191</v>
      </c>
      <c r="V9" s="159" t="s">
        <v>192</v>
      </c>
      <c r="W9" s="159" t="s">
        <v>193</v>
      </c>
      <c r="X9" s="159" t="s">
        <v>194</v>
      </c>
      <c r="Y9" s="159" t="s">
        <v>195</v>
      </c>
      <c r="Z9" s="159" t="s">
        <v>196</v>
      </c>
      <c r="AA9" s="159" t="s">
        <v>197</v>
      </c>
      <c r="AD9" s="159" t="s">
        <v>199</v>
      </c>
      <c r="AE9" s="159" t="s">
        <v>203</v>
      </c>
      <c r="AF9" s="159" t="s">
        <v>204</v>
      </c>
      <c r="AL9" s="159" t="str">
        <f>P9</f>
        <v>IRP21_WD_PX_PNC_006_WD_T</v>
      </c>
      <c r="AM9" s="159" t="str">
        <f t="shared" ref="AM9:BA9" si="15">Q9</f>
        <v>IRP21_WD_PX_PNC_WD_T</v>
      </c>
      <c r="AN9" s="159" t="str">
        <f t="shared" si="15"/>
        <v>IRP21_WD_PX_WMV_006_WD_T</v>
      </c>
      <c r="AO9" s="159" t="str">
        <f t="shared" si="15"/>
        <v>IRP21_WD_PX_WYE_WD_T</v>
      </c>
      <c r="AP9" s="159" t="str">
        <f t="shared" si="15"/>
        <v>IRP21_WD_PX_WYE_Djohns_WD_T</v>
      </c>
      <c r="AQ9" s="159" t="str">
        <f t="shared" si="15"/>
        <v>IRP21_PWS_PX_YAK_WD_T</v>
      </c>
      <c r="AR9" s="159" t="str">
        <f t="shared" si="15"/>
        <v>IRP21_PVS_PX_BOR_002_PV_T</v>
      </c>
      <c r="AS9" s="159" t="str">
        <f t="shared" si="15"/>
        <v>IRP21_PVS_PX_SOR_C_PV_ 2028_T</v>
      </c>
      <c r="AT9" s="159" t="str">
        <f t="shared" si="15"/>
        <v>IRP21_PVS_PX_SOR_PV_T</v>
      </c>
      <c r="AU9" s="159" t="str">
        <f t="shared" si="15"/>
        <v>IRP21_PVS_PX_YAK_PV_T</v>
      </c>
      <c r="AV9" s="159" t="str">
        <f t="shared" si="15"/>
        <v>IRP21_PVS_PX_UTN_PV_T</v>
      </c>
      <c r="AW9" s="159" t="str">
        <f t="shared" si="15"/>
        <v>IRP21_PVS_PX_UTS_PV_T</v>
      </c>
      <c r="AX9" s="159">
        <f t="shared" si="15"/>
        <v>0</v>
      </c>
      <c r="AY9" s="159">
        <f t="shared" si="15"/>
        <v>0</v>
      </c>
      <c r="AZ9" s="159" t="str">
        <f t="shared" si="15"/>
        <v>IRP21_BAT_WYE_DJ_Wyodak</v>
      </c>
      <c r="BA9" s="159" t="str">
        <f t="shared" si="15"/>
        <v>IRP21_UTN_Non_Emitting_2031_T</v>
      </c>
      <c r="BB9" s="159" t="str">
        <f>AF9</f>
        <v>IRP21_Huntington_Non_Emitting_2037_T</v>
      </c>
      <c r="BC9" s="159">
        <f>AG9</f>
        <v>0</v>
      </c>
      <c r="BH9" s="159" t="str">
        <f t="shared" ref="BH9" si="16">P9</f>
        <v>IRP21_WD_PX_PNC_006_WD_T</v>
      </c>
      <c r="BI9" s="159" t="str">
        <f t="shared" ref="BI9" si="17">Q9</f>
        <v>IRP21_WD_PX_PNC_WD_T</v>
      </c>
      <c r="BJ9" s="159" t="str">
        <f t="shared" ref="BJ9" si="18">R9</f>
        <v>IRP21_WD_PX_WMV_006_WD_T</v>
      </c>
      <c r="BK9" s="159" t="str">
        <f t="shared" ref="BK9" si="19">S9</f>
        <v>IRP21_WD_PX_WYE_WD_T</v>
      </c>
      <c r="BL9" s="159" t="str">
        <f t="shared" si="14"/>
        <v>IRP21_WD_PX_WYE_Djohns_WD_T</v>
      </c>
      <c r="BM9" s="159" t="str">
        <f t="shared" si="14"/>
        <v>IRP21_PWS_PX_YAK_WD_T</v>
      </c>
      <c r="BN9" s="159" t="str">
        <f t="shared" si="14"/>
        <v>IRP21_PVS_PX_BOR_002_PV_T</v>
      </c>
      <c r="BO9" s="159" t="str">
        <f t="shared" si="14"/>
        <v>IRP21_PVS_PX_SOR_C_PV_ 2028_T</v>
      </c>
      <c r="BP9" s="159" t="str">
        <f t="shared" si="14"/>
        <v>IRP21_PVS_PX_SOR_PV_T</v>
      </c>
      <c r="BQ9" s="159" t="str">
        <f t="shared" si="14"/>
        <v>IRP21_PVS_PX_YAK_PV_T</v>
      </c>
      <c r="BR9" s="159" t="str">
        <f t="shared" si="14"/>
        <v>IRP21_PVS_PX_UTN_PV_T</v>
      </c>
      <c r="BS9" s="159" t="str">
        <f t="shared" si="14"/>
        <v>IRP21_PVS_PX_UTS_PV_T</v>
      </c>
      <c r="BT9" s="159">
        <f t="shared" si="14"/>
        <v>0</v>
      </c>
      <c r="BU9" s="159">
        <f t="shared" si="14"/>
        <v>0</v>
      </c>
      <c r="BV9" s="159" t="str">
        <f t="shared" si="14"/>
        <v>IRP21_BAT_WYE_DJ_Wyodak</v>
      </c>
      <c r="BW9" s="159" t="str">
        <f t="shared" si="14"/>
        <v>IRP21_UTN_Non_Emitting_2031_T</v>
      </c>
      <c r="BX9" s="159" t="str">
        <f t="shared" si="14"/>
        <v>IRP21_Huntington_Non_Emitting_2037_T</v>
      </c>
      <c r="BY9" s="159">
        <f t="shared" si="14"/>
        <v>0</v>
      </c>
      <c r="CD9" s="159" t="str">
        <f t="shared" ref="CD9:CX9" si="20">BH9</f>
        <v>IRP21_WD_PX_PNC_006_WD_T</v>
      </c>
      <c r="CE9" s="159" t="str">
        <f t="shared" si="20"/>
        <v>IRP21_WD_PX_PNC_WD_T</v>
      </c>
      <c r="CF9" s="159" t="str">
        <f t="shared" si="20"/>
        <v>IRP21_WD_PX_WMV_006_WD_T</v>
      </c>
      <c r="CG9" s="159" t="str">
        <f t="shared" si="20"/>
        <v>IRP21_WD_PX_WYE_WD_T</v>
      </c>
      <c r="CH9" s="159" t="str">
        <f t="shared" si="20"/>
        <v>IRP21_WD_PX_WYE_Djohns_WD_T</v>
      </c>
      <c r="CI9" s="173" t="str">
        <f t="shared" si="20"/>
        <v>IRP21_PWS_PX_YAK_WD_T</v>
      </c>
      <c r="CJ9" s="159" t="str">
        <f t="shared" si="20"/>
        <v>IRP21_PVS_PX_BOR_002_PV_T</v>
      </c>
      <c r="CK9" s="159" t="str">
        <f t="shared" si="20"/>
        <v>IRP21_PVS_PX_SOR_C_PV_ 2028_T</v>
      </c>
      <c r="CL9" s="159" t="str">
        <f t="shared" si="20"/>
        <v>IRP21_PVS_PX_SOR_PV_T</v>
      </c>
      <c r="CM9" s="159" t="str">
        <f t="shared" si="20"/>
        <v>IRP21_PVS_PX_YAK_PV_T</v>
      </c>
      <c r="CN9" s="173" t="str">
        <f t="shared" si="20"/>
        <v>IRP21_PVS_PX_UTN_PV_T</v>
      </c>
      <c r="CO9" s="159" t="str">
        <f t="shared" si="20"/>
        <v>IRP21_PVS_PX_UTS_PV_T</v>
      </c>
      <c r="CP9" s="159">
        <f t="shared" si="20"/>
        <v>0</v>
      </c>
      <c r="CQ9" s="159">
        <f t="shared" si="20"/>
        <v>0</v>
      </c>
      <c r="CR9" s="159" t="str">
        <f t="shared" si="20"/>
        <v>IRP21_BAT_WYE_DJ_Wyodak</v>
      </c>
      <c r="CS9" s="159" t="str">
        <f t="shared" si="20"/>
        <v>IRP21_UTN_Non_Emitting_2031_T</v>
      </c>
      <c r="CT9" s="159" t="str">
        <f t="shared" si="20"/>
        <v>IRP21_Huntington_Non_Emitting_2037_T</v>
      </c>
      <c r="CU9" s="159">
        <f t="shared" si="20"/>
        <v>0</v>
      </c>
      <c r="CV9" s="159">
        <f t="shared" si="20"/>
        <v>0</v>
      </c>
      <c r="CW9" s="159">
        <f t="shared" si="20"/>
        <v>0</v>
      </c>
      <c r="CX9" s="159">
        <f t="shared" si="20"/>
        <v>0</v>
      </c>
      <c r="CY9" s="159" t="s">
        <v>77</v>
      </c>
      <c r="DB9" s="159" t="s">
        <v>163</v>
      </c>
      <c r="DC9" s="159" t="s">
        <v>163</v>
      </c>
    </row>
    <row r="10" spans="2:107" customFormat="1">
      <c r="B10" s="5" t="s">
        <v>0</v>
      </c>
      <c r="C10" s="5" t="str">
        <f>"Price"&amp;IF(I8&lt;&gt;1," ","")</f>
        <v xml:space="preserve">Price </v>
      </c>
      <c r="D10" s="5"/>
      <c r="E10" s="5" t="s">
        <v>19</v>
      </c>
      <c r="F10" s="36"/>
      <c r="G10" s="5" t="s">
        <v>15</v>
      </c>
      <c r="H10" s="34"/>
      <c r="I10" s="80"/>
    </row>
    <row r="11" spans="2:107" customFormat="1" ht="13.5">
      <c r="B11" s="5"/>
      <c r="C11" s="5" t="s">
        <v>16</v>
      </c>
      <c r="D11" s="5"/>
      <c r="E11" s="77" t="s">
        <v>53</v>
      </c>
      <c r="F11" s="36"/>
      <c r="G11" s="5" t="s">
        <v>31</v>
      </c>
      <c r="H11" s="34"/>
      <c r="I11" s="80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48"/>
      <c r="C12" s="149"/>
      <c r="D12" s="148"/>
      <c r="E12" s="5"/>
      <c r="F12" s="5"/>
      <c r="G12" s="3"/>
      <c r="H12" s="34"/>
      <c r="I12" s="80"/>
      <c r="BU12" s="285"/>
    </row>
    <row r="13" spans="2:107" customFormat="1">
      <c r="B13" s="13">
        <f>'Table 5'!J13</f>
        <v>2023</v>
      </c>
      <c r="C13" s="8">
        <f t="shared" ref="C13:C34" si="21">(INDEX($CY:$CY,MATCH(B13,$O:$O,0),1)+INDEX($DC:$DC,MATCH(B13,$O:$O,0),1))*1000/Study_MW</f>
        <v>0</v>
      </c>
      <c r="D13" s="42"/>
      <c r="E13" s="7">
        <f ca="1">SUMIF(INDIRECT("'Table 5'!$J$"&amp;$K$3&amp;":$J$"&amp;$K$4),B13,INDIRECT("'Table 5'!$c$"&amp;$K$3&amp;":$c$"&amp;$K$4))/SUMIF(INDIRECT("'Table 5'!$J$"&amp;$K$3&amp;":$J$"&amp;$K$4),B13,INDIRECT("'Table 5'!$f$"&amp;$K$3&amp;":$f$"&amp;$K$4))</f>
        <v>59.092620400760907</v>
      </c>
      <c r="F13" s="41"/>
      <c r="G13" s="11">
        <f ca="1">SUMIF(INDIRECT("'Table 5'!$J$"&amp;$K$3&amp;":$J$"&amp;$K$4),B13,INDIRECT("'Table 5'!$e$"&amp;$K$3&amp;":$e$"&amp;$K$4))/SUMIF(INDIRECT("'Table 5'!$J$"&amp;$K$3&amp;":$J$"&amp;$K$4),B13,INDIRECT("'Table 5'!$f$"&amp;$K$3&amp;":$f$"&amp;$K$4))</f>
        <v>59.092620400760907</v>
      </c>
      <c r="H13" s="34"/>
      <c r="I13" s="150"/>
      <c r="J13" s="150"/>
      <c r="O13">
        <f t="shared" ref="O13:O32" si="22">B13</f>
        <v>2023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D13">
        <v>0</v>
      </c>
      <c r="AE13">
        <v>0</v>
      </c>
      <c r="AF13">
        <v>0</v>
      </c>
      <c r="AL13">
        <f t="shared" ref="AL13:AM33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G13">
        <f>O13</f>
        <v>2023</v>
      </c>
      <c r="BH13" s="114">
        <f>IFERROR(VLOOKUP($O13,'Table 3 PNC Wind_2026'!$B$10:$L$37,11,FALSE),0)</f>
        <v>0</v>
      </c>
      <c r="BI13" s="114">
        <f>IFERROR(VLOOKUP($O13,'Table 3 PNC Wind_2038'!$B$10:$L$37,11,FALSE),0)</f>
        <v>0</v>
      </c>
      <c r="BJ13" s="114">
        <f>IFERROR(VLOOKUP($O13,'Table 3 WV Wind_2026'!$B$10:$L$37,11,FALSE),0)</f>
        <v>0</v>
      </c>
      <c r="BK13" s="114">
        <f>IFERROR(VLOOKUP($O13,'Table 3 WYE Wind_2029'!$B$10:$L$37,11,FALSE),0)</f>
        <v>0</v>
      </c>
      <c r="BL13" s="114">
        <f>IFERROR(VLOOKUP($O13,'Table 3 WYE_DJ Wind_2028'!$B$10:$L$37,11,FALSE),0)</f>
        <v>0</v>
      </c>
      <c r="BM13" s="114">
        <f>IFERROR(VLOOKUP($O13,'Table 3 YK WindwS_2029'!$B$10:$L$37,11,FALSE),0)</f>
        <v>0</v>
      </c>
      <c r="BN13" s="114">
        <f>IFERROR(VLOOKUP($O13,'Table 3 PV wS Borah_2026'!$B$10:$K$37,10,FALSE),0)</f>
        <v>0</v>
      </c>
      <c r="BO13" s="326"/>
      <c r="BP13" s="114">
        <f>IFERROR(VLOOKUP($O13,'Table 3 PV wS SOR_2030'!$B$10:$K$37,10,FALSE),0)</f>
        <v>0</v>
      </c>
      <c r="BQ13" s="114">
        <f>IFERROR(VLOOKUP($O13,'Table 3 PV wS YK_2029'!$B$10:$K$37,10,FALSE),0)</f>
        <v>0</v>
      </c>
      <c r="BR13" s="114">
        <f>IFERROR(VLOOKUP($O13,'Table 3 PV wS UTN_2031'!$B$15:$K$37,10,FALSE),0)</f>
        <v>0</v>
      </c>
      <c r="BS13" s="114">
        <f>IFERROR(VLOOKUP($O13,'Table 3 PV wS UTS_2032'!B15:K37,10,FALSE),0)</f>
        <v>0</v>
      </c>
      <c r="BT13" s="114"/>
      <c r="BU13" s="326"/>
      <c r="BV13" s="114">
        <f>IFERROR(VLOOKUP($O13,'Table 3 StdBat  DJ_2029'!$B$15:$K$37,10,FALSE),0)</f>
        <v>0</v>
      </c>
      <c r="BW13" s="114">
        <f>IFERROR(VLOOKUP($O13,'Table 3 NonE 206MW (UTN) 2031'!$B$14:$M$36,12,FALSE),0)</f>
        <v>0</v>
      </c>
      <c r="BX13" s="114">
        <f>IFERROR(VLOOKUP($O13,'Table 3 NonE 206MW (Hgtn)'!$B$14:$M$36,12,FALSE),0)</f>
        <v>0</v>
      </c>
      <c r="BY13" s="325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9">SUM(CD13:CX13)</f>
        <v>0</v>
      </c>
      <c r="DA13">
        <f t="shared" ref="DA13:DA30" si="40">O13</f>
        <v>2023</v>
      </c>
      <c r="DB13" s="80">
        <f>IFERROR(VLOOKUP($DA13,'Table 3 TransCost'!$AA$10:$AD$32,4,FALSE),0)</f>
        <v>0</v>
      </c>
      <c r="DC13" s="150">
        <f>$DB$5*DB13/1000</f>
        <v>0</v>
      </c>
    </row>
    <row r="14" spans="2:107" customFormat="1">
      <c r="B14" s="13">
        <f t="shared" ref="B14:B34" si="41">B13+1</f>
        <v>2024</v>
      </c>
      <c r="C14" s="8">
        <f t="shared" si="21"/>
        <v>0</v>
      </c>
      <c r="D14" s="42"/>
      <c r="E14" s="8">
        <f t="shared" ref="E14:E32" ca="1" si="42">SUMIF(INDIRECT("'Table 5'!$J$"&amp;$K$3&amp;":$J$"&amp;$K$4),B14,INDIRECT("'Table 5'!$c$"&amp;$K$3&amp;":$c$"&amp;$K$4))/SUMIF(INDIRECT("'Table 5'!$J$"&amp;$K$3&amp;":$J$"&amp;$K$4),B14,INDIRECT("'Table 5'!$f$"&amp;$K$3&amp;":$f$"&amp;$K$4))</f>
        <v>64.278680564305361</v>
      </c>
      <c r="F14" s="34"/>
      <c r="G14" s="12">
        <f ca="1">SUMIF(INDIRECT("'Table 5'!$J$"&amp;$K$3&amp;":$J$"&amp;$K$4),B14,INDIRECT("'Table 5'!$e$"&amp;$K$3&amp;":$e$"&amp;$K$4))/SUMIF(INDIRECT("'Table 5'!$J$"&amp;$K$3&amp;":$J$"&amp;$K$4),B14,INDIRECT("'Table 5'!$f$"&amp;$K$3&amp;":$f$"&amp;$K$4))</f>
        <v>64.278680564305361</v>
      </c>
      <c r="H14" s="34"/>
      <c r="I14" s="150"/>
      <c r="J14" s="150"/>
      <c r="O14">
        <f t="shared" si="22"/>
        <v>2024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D14">
        <v>0</v>
      </c>
      <c r="AE14">
        <v>0</v>
      </c>
      <c r="AF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G14">
        <f t="shared" ref="BG14:BG30" si="43">O14</f>
        <v>2024</v>
      </c>
      <c r="BH14" s="114">
        <f>IFERROR(VLOOKUP($O14,'Table 3 PNC Wind_2026'!$B$10:$L$37,11,FALSE),0)</f>
        <v>0</v>
      </c>
      <c r="BI14" s="114">
        <f>IFERROR(VLOOKUP($O14,'Table 3 PNC Wind_2038'!$B$10:$L$37,11,FALSE),0)</f>
        <v>0</v>
      </c>
      <c r="BJ14" s="114">
        <f>IFERROR(VLOOKUP($O14,'Table 3 WV Wind_2026'!$B$10:$L$37,11,FALSE),0)</f>
        <v>0</v>
      </c>
      <c r="BK14" s="114">
        <f>IFERROR(VLOOKUP($O14,'Table 3 WYE Wind_2029'!$B$10:$L$37,11,FALSE),0)</f>
        <v>0</v>
      </c>
      <c r="BL14" s="114">
        <f>IFERROR(VLOOKUP($O14,'Table 3 WYE_DJ Wind_2028'!$B$10:$L$37,11,FALSE),0)</f>
        <v>0</v>
      </c>
      <c r="BM14" s="114">
        <f>IFERROR(VLOOKUP($O14,'Table 3 YK WindwS_2029'!$B$10:$L$37,11,FALSE),0)</f>
        <v>0</v>
      </c>
      <c r="BN14" s="114">
        <f>IFERROR(VLOOKUP($O14,'Table 3 PV wS Borah_2026'!$B$10:$K$37,10,FALSE),0)</f>
        <v>0</v>
      </c>
      <c r="BO14" s="326"/>
      <c r="BP14" s="114">
        <f>IFERROR(VLOOKUP($O14,'Table 3 PV wS SOR_2030'!$B$10:$K$37,10,FALSE),0)</f>
        <v>0</v>
      </c>
      <c r="BQ14" s="114">
        <f>IFERROR(VLOOKUP($O14,'Table 3 PV wS YK_2029'!$B$10:$K$37,10,FALSE),0)</f>
        <v>0</v>
      </c>
      <c r="BR14" s="114">
        <f>IFERROR(VLOOKUP($O14,'Table 3 PV wS UTN_2031'!$B$15:$K$37,10,FALSE),0)</f>
        <v>0</v>
      </c>
      <c r="BS14" s="114">
        <f>IFERROR(VLOOKUP($O14,'Table 3 PV wS UTS_2032'!B16:K38,10,FALSE),0)</f>
        <v>0</v>
      </c>
      <c r="BT14" s="325"/>
      <c r="BU14" s="326"/>
      <c r="BV14" s="114">
        <f>IFERROR(VLOOKUP($O14,'Table 3 StdBat  DJ_2029'!$B$15:$K$37,10,FALSE),0)</f>
        <v>0</v>
      </c>
      <c r="BW14" s="114">
        <f>IFERROR(VLOOKUP($O14,'Table 3 NonE 206MW (UTN) 2031'!$B$14:$M$36,12,FALSE),0)</f>
        <v>0</v>
      </c>
      <c r="BX14" s="114">
        <f>IFERROR(VLOOKUP($O14,'Table 3 NonE 206MW (Hgtn)'!$B$14:$M$36,12,FALSE),0)</f>
        <v>0</v>
      </c>
      <c r="BY14" s="325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9"/>
        <v>0</v>
      </c>
      <c r="DA14">
        <f t="shared" si="40"/>
        <v>2024</v>
      </c>
      <c r="DB14" s="80">
        <f>IFERROR(VLOOKUP($DA14,'Table 3 TransCost'!$AA$10:$AD$32,4,FALSE),0)</f>
        <v>0</v>
      </c>
      <c r="DC14" s="150">
        <f t="shared" ref="DC14:DC30" si="44">$DB$5*DB14/1000</f>
        <v>0</v>
      </c>
    </row>
    <row r="15" spans="2:107" customFormat="1">
      <c r="B15" s="13">
        <f t="shared" si="41"/>
        <v>2025</v>
      </c>
      <c r="C15" s="8">
        <f t="shared" si="21"/>
        <v>0</v>
      </c>
      <c r="D15" s="42"/>
      <c r="E15" s="8">
        <f t="shared" ca="1" si="42"/>
        <v>46.864729741675902</v>
      </c>
      <c r="F15" s="34"/>
      <c r="G15" s="12">
        <f t="shared" ref="G15:G34" ca="1" si="45">SUMIF(INDIRECT("'Table 5'!$J$"&amp;$K$3&amp;":$J$"&amp;$K$4),B15,INDIRECT("'Table 5'!$e$"&amp;$K$3&amp;":$e$"&amp;$K$4))/SUMIF(INDIRECT("'Table 5'!$J$"&amp;$K$3&amp;":$J$"&amp;$K$4),B15,INDIRECT("'Table 5'!$f$"&amp;$K$3&amp;":$f$"&amp;$K$4))</f>
        <v>46.864729741675902</v>
      </c>
      <c r="H15" s="34"/>
      <c r="I15" s="150"/>
      <c r="J15" s="150"/>
      <c r="N15" s="80"/>
      <c r="O15">
        <f t="shared" si="22"/>
        <v>2025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D15">
        <v>0</v>
      </c>
      <c r="AE15">
        <v>0</v>
      </c>
      <c r="AF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 s="80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G15">
        <f t="shared" si="43"/>
        <v>2025</v>
      </c>
      <c r="BH15" s="114">
        <f>IFERROR(VLOOKUP($O15,'Table 3 PNC Wind_2026'!$B$10:$L$37,11,FALSE),0)</f>
        <v>0</v>
      </c>
      <c r="BI15" s="114">
        <f>IFERROR(VLOOKUP($O15,'Table 3 PNC Wind_2038'!$B$10:$L$37,11,FALSE),0)</f>
        <v>0</v>
      </c>
      <c r="BJ15" s="114">
        <f>IFERROR(VLOOKUP($O15,'Table 3 WV Wind_2026'!$B$10:$L$37,11,FALSE),0)</f>
        <v>0</v>
      </c>
      <c r="BK15" s="114">
        <f>IFERROR(VLOOKUP($O15,'Table 3 WYE Wind_2029'!$B$10:$L$37,11,FALSE),0)</f>
        <v>0</v>
      </c>
      <c r="BL15" s="114">
        <f>IFERROR(VLOOKUP($O15,'Table 3 WYE_DJ Wind_2028'!$B$10:$L$37,11,FALSE),0)</f>
        <v>0</v>
      </c>
      <c r="BM15" s="114">
        <f>IFERROR(VLOOKUP($O15,'Table 3 YK WindwS_2029'!$B$10:$L$37,11,FALSE),0)</f>
        <v>0</v>
      </c>
      <c r="BN15" s="114">
        <f>IFERROR(VLOOKUP($O15,'Table 3 PV wS Borah_2026'!$B$10:$K$37,10,FALSE),0)</f>
        <v>0</v>
      </c>
      <c r="BO15" s="326"/>
      <c r="BP15" s="114">
        <f>IFERROR(VLOOKUP($O15,'Table 3 PV wS SOR_2030'!$B$10:$K$37,10,FALSE),0)</f>
        <v>0</v>
      </c>
      <c r="BQ15" s="114">
        <f>IFERROR(VLOOKUP($O15,'Table 3 PV wS YK_2029'!$B$10:$K$37,10,FALSE),0)</f>
        <v>0</v>
      </c>
      <c r="BR15" s="114">
        <f>IFERROR(VLOOKUP($O15,'Table 3 PV wS UTN_2031'!$B$15:$K$37,10,FALSE),0)</f>
        <v>0</v>
      </c>
      <c r="BS15" s="114">
        <f>IFERROR(VLOOKUP($O15,'Table 3 PV wS UTS_2032'!B17:K39,10,FALSE),0)</f>
        <v>0</v>
      </c>
      <c r="BT15" s="325"/>
      <c r="BU15" s="326"/>
      <c r="BV15" s="114">
        <f>IFERROR(VLOOKUP($O15,'Table 3 StdBat  DJ_2029'!$B$15:$K$37,10,FALSE),0)</f>
        <v>0</v>
      </c>
      <c r="BW15" s="114">
        <f>IFERROR(VLOOKUP($O15,'Table 3 NonE 206MW (UTN) 2031'!$B$14:$M$36,12,FALSE),0)</f>
        <v>0</v>
      </c>
      <c r="BX15" s="114">
        <f>IFERROR(VLOOKUP($O15,'Table 3 NonE 206MW (Hgtn)'!$B$14:$M$36,12,FALSE),0)</f>
        <v>0</v>
      </c>
      <c r="BY15" s="325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0"/>
        <v>2025</v>
      </c>
      <c r="DB15" s="80">
        <f>IFERROR(VLOOKUP($DA15,'Table 3 TransCost'!$AA$10:$AD$32,4,FALSE),0)</f>
        <v>0</v>
      </c>
      <c r="DC15" s="150">
        <f t="shared" si="44"/>
        <v>0</v>
      </c>
    </row>
    <row r="16" spans="2:107" customFormat="1">
      <c r="B16" s="13">
        <f t="shared" si="41"/>
        <v>2026</v>
      </c>
      <c r="C16" s="8">
        <f t="shared" si="21"/>
        <v>87.983796211214241</v>
      </c>
      <c r="D16" s="42"/>
      <c r="E16" s="8">
        <f t="shared" ca="1" si="42"/>
        <v>2.6048483368852935</v>
      </c>
      <c r="F16" s="34"/>
      <c r="G16" s="12">
        <f t="shared" ca="1" si="45"/>
        <v>36.703856846237805</v>
      </c>
      <c r="H16" s="34"/>
      <c r="I16" s="150"/>
      <c r="J16" s="80"/>
      <c r="O16">
        <f t="shared" si="22"/>
        <v>2026</v>
      </c>
      <c r="P16">
        <v>15.120000000000001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D16">
        <v>0</v>
      </c>
      <c r="AE16">
        <v>0</v>
      </c>
      <c r="AF16">
        <v>0</v>
      </c>
      <c r="AL16">
        <f t="shared" si="23"/>
        <v>36.738089785935266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0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G16">
        <f t="shared" si="43"/>
        <v>2026</v>
      </c>
      <c r="BH16" s="114">
        <f>IFERROR(VLOOKUP($O16,'Table 3 PNC Wind_2026'!$B$10:$L$37,11,FALSE),0)</f>
        <v>191.59144468071452</v>
      </c>
      <c r="BI16" s="114">
        <f>IFERROR(VLOOKUP($O16,'Table 3 PNC Wind_2038'!$B$10:$L$37,11,FALSE),0)</f>
        <v>0</v>
      </c>
      <c r="BJ16" s="114">
        <f>IFERROR(VLOOKUP($O16,'Table 3 WV Wind_2026'!$B$10:$L$37,11,FALSE),0)</f>
        <v>175.02113373468126</v>
      </c>
      <c r="BK16" s="114">
        <f>IFERROR(VLOOKUP($O16,'Table 3 WYE Wind_2029'!$B$10:$L$37,11,FALSE),0)</f>
        <v>0</v>
      </c>
      <c r="BL16" s="114">
        <f>IFERROR(VLOOKUP($O16,'Table 3 WYE_DJ Wind_2028'!$B$10:$L$37,11,FALSE),0)</f>
        <v>0</v>
      </c>
      <c r="BM16" s="114">
        <f>IFERROR(VLOOKUP($O16,'Table 3 YK WindwS_2029'!$B$10:$L$37,11,FALSE),0)</f>
        <v>0</v>
      </c>
      <c r="BN16" s="114">
        <f>IFERROR(VLOOKUP($O16,'Table 3 PV wS Borah_2026'!$B$10:$K$37,10,FALSE),0)</f>
        <v>183.64304804045611</v>
      </c>
      <c r="BO16" s="326"/>
      <c r="BP16" s="114">
        <f>IFERROR(VLOOKUP($O16,'Table 3 PV wS SOR_2030'!$B$10:$K$37,10,FALSE),0)</f>
        <v>0</v>
      </c>
      <c r="BQ16" s="114">
        <f>IFERROR(VLOOKUP($O16,'Table 3 PV wS YK_2029'!$B$10:$K$37,10,FALSE),0)</f>
        <v>0</v>
      </c>
      <c r="BR16" s="114">
        <f>IFERROR(VLOOKUP($O16,'Table 3 PV wS UTN_2031'!$B$15:$K$37,10,FALSE),0)</f>
        <v>0</v>
      </c>
      <c r="BS16" s="114">
        <f>IFERROR(VLOOKUP($O16,'Table 3 PV wS UTS_2032'!B18:K40,10,FALSE),0)</f>
        <v>0</v>
      </c>
      <c r="BT16" s="325"/>
      <c r="BU16" s="326"/>
      <c r="BV16" s="114">
        <f>IFERROR(VLOOKUP($O16,'Table 3 StdBat  DJ_2029'!$B$15:$K$37,10,FALSE),0)</f>
        <v>0</v>
      </c>
      <c r="BW16" s="114">
        <f>IFERROR(VLOOKUP($O16,'Table 3 NonE 206MW (UTN) 2031'!$B$14:$M$36,12,FALSE),0)</f>
        <v>0</v>
      </c>
      <c r="BX16" s="114">
        <f>IFERROR(VLOOKUP($O16,'Table 3 NonE 206MW (Hgtn)'!$B$14:$M$36,12,FALSE),0)</f>
        <v>0</v>
      </c>
      <c r="BY16" s="325"/>
      <c r="CD16">
        <f>SUM(AL$13:AL16)*BH16/1000</f>
        <v>7.0387036968971399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6">SUM(CD16:CX16)</f>
        <v>7.0387036968971399</v>
      </c>
      <c r="DA16">
        <f t="shared" si="40"/>
        <v>2026</v>
      </c>
      <c r="DB16" s="80">
        <f>IFERROR(VLOOKUP($DA16,'Table 3 TransCost'!$AA$10:$AD$32,4,FALSE),0)</f>
        <v>54.441007169221002</v>
      </c>
      <c r="DC16" s="150">
        <f t="shared" si="44"/>
        <v>0</v>
      </c>
    </row>
    <row r="17" spans="2:107">
      <c r="B17" s="13">
        <f t="shared" si="41"/>
        <v>2027</v>
      </c>
      <c r="C17" s="8">
        <f t="shared" si="21"/>
        <v>89.879736661290622</v>
      </c>
      <c r="D17" s="42"/>
      <c r="E17" s="8">
        <f t="shared" ca="1" si="42"/>
        <v>0.31544868601932308</v>
      </c>
      <c r="F17" s="34"/>
      <c r="G17" s="12">
        <f t="shared" ca="1" si="45"/>
        <v>35.149248058284599</v>
      </c>
      <c r="H17" s="34"/>
      <c r="I17" s="150"/>
      <c r="J17" s="80"/>
      <c r="O17">
        <f t="shared" si="22"/>
        <v>2027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D17">
        <v>0</v>
      </c>
      <c r="AE17">
        <v>0</v>
      </c>
      <c r="AF17">
        <v>0</v>
      </c>
      <c r="AL17">
        <f t="shared" si="23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0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50"/>
      <c r="BG17">
        <f t="shared" si="43"/>
        <v>2027</v>
      </c>
      <c r="BH17" s="114">
        <f>IFERROR(VLOOKUP($O17,'Table 3 PNC Wind_2026'!$B$10:$L$37,11,FALSE),0)</f>
        <v>195.72</v>
      </c>
      <c r="BI17" s="114">
        <f>IFERROR(VLOOKUP($O17,'Table 3 PNC Wind_2038'!$B$10:$L$37,11,FALSE),0)</f>
        <v>0</v>
      </c>
      <c r="BJ17" s="114">
        <f>IFERROR(VLOOKUP($O17,'Table 3 WV Wind_2026'!$B$10:$L$37,11,FALSE),0)</f>
        <v>178.79</v>
      </c>
      <c r="BK17" s="114">
        <f>IFERROR(VLOOKUP($O17,'Table 3 WYE Wind_2029'!$B$10:$L$37,11,FALSE),0)</f>
        <v>0</v>
      </c>
      <c r="BL17" s="114">
        <f>IFERROR(VLOOKUP($O17,'Table 3 WYE_DJ Wind_2028'!$B$10:$L$37,11,FALSE),0)</f>
        <v>0</v>
      </c>
      <c r="BM17" s="114">
        <f>IFERROR(VLOOKUP($O17,'Table 3 YK WindwS_2029'!$B$10:$L$37,11,FALSE),0)</f>
        <v>0</v>
      </c>
      <c r="BN17" s="114">
        <f>IFERROR(VLOOKUP($O17,'Table 3 PV wS Borah_2026'!$B$10:$K$37,10,FALSE),0)</f>
        <v>187.60999999999999</v>
      </c>
      <c r="BO17" s="326"/>
      <c r="BP17" s="114">
        <f>IFERROR(VLOOKUP($O17,'Table 3 PV wS SOR_2030'!$B$10:$K$37,10,FALSE),0)</f>
        <v>0</v>
      </c>
      <c r="BQ17" s="114">
        <f>IFERROR(VLOOKUP($O17,'Table 3 PV wS YK_2029'!$B$10:$K$37,10,FALSE),0)</f>
        <v>0</v>
      </c>
      <c r="BR17" s="114">
        <f>IFERROR(VLOOKUP($O17,'Table 3 PV wS UTN_2031'!$B$15:$K$37,10,FALSE),0)</f>
        <v>0</v>
      </c>
      <c r="BS17" s="114">
        <f>IFERROR(VLOOKUP($O17,'Table 3 PV wS UTS_2032'!B19:K41,10,FALSE),0)</f>
        <v>0</v>
      </c>
      <c r="BT17" s="325"/>
      <c r="BU17" s="326"/>
      <c r="BV17" s="114">
        <f>IFERROR(VLOOKUP($O17,'Table 3 StdBat  DJ_2029'!$B$15:$K$37,10,FALSE),0)</f>
        <v>0</v>
      </c>
      <c r="BW17" s="114">
        <f>IFERROR(VLOOKUP($O17,'Table 3 NonE 206MW (UTN) 2031'!$B$14:$M$36,12,FALSE),0)</f>
        <v>0</v>
      </c>
      <c r="BX17" s="114">
        <f>IFERROR(VLOOKUP($O17,'Table 3 NonE 206MW (Hgtn)'!$B$14:$M$36,12,FALSE),0)</f>
        <v>0</v>
      </c>
      <c r="BY17" s="325"/>
      <c r="CD17">
        <f>SUM(AL$13:AL17)*BH17/1000</f>
        <v>7.1903789329032497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6"/>
        <v>7.1903789329032497</v>
      </c>
      <c r="DA17">
        <f t="shared" si="40"/>
        <v>2027</v>
      </c>
      <c r="DB17" s="80">
        <f>IFERROR(VLOOKUP($DA17,'Table 3 TransCost'!$AA$10:$AD$32,4,FALSE),0)</f>
        <v>55.609999999999992</v>
      </c>
      <c r="DC17" s="150">
        <f t="shared" si="44"/>
        <v>0</v>
      </c>
    </row>
    <row r="18" spans="2:107">
      <c r="B18" s="13">
        <f t="shared" si="41"/>
        <v>2028</v>
      </c>
      <c r="C18" s="8">
        <f t="shared" si="21"/>
        <v>91.813078636275478</v>
      </c>
      <c r="D18" s="42"/>
      <c r="E18" s="8">
        <f t="shared" ca="1" si="42"/>
        <v>2.517423619794772E-2</v>
      </c>
      <c r="F18" s="34"/>
      <c r="G18" s="12">
        <f t="shared" ca="1" si="45"/>
        <v>35.500757002418354</v>
      </c>
      <c r="H18" s="34"/>
      <c r="I18" s="150"/>
      <c r="J18" s="80"/>
      <c r="O18">
        <f t="shared" si="22"/>
        <v>2028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D18">
        <v>0</v>
      </c>
      <c r="AE18">
        <v>0</v>
      </c>
      <c r="AF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0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G18">
        <f t="shared" si="43"/>
        <v>2028</v>
      </c>
      <c r="BH18" s="114">
        <f>IFERROR(VLOOKUP($O18,'Table 3 PNC Wind_2026'!$B$10:$L$37,11,FALSE),0)</f>
        <v>199.93</v>
      </c>
      <c r="BI18" s="114">
        <f>IFERROR(VLOOKUP($O18,'Table 3 PNC Wind_2038'!$B$10:$L$37,11,FALSE),0)</f>
        <v>0</v>
      </c>
      <c r="BJ18" s="114">
        <f>IFERROR(VLOOKUP($O18,'Table 3 WV Wind_2026'!$B$10:$L$37,11,FALSE),0)</f>
        <v>182.64000000000001</v>
      </c>
      <c r="BK18" s="114">
        <f>IFERROR(VLOOKUP($O18,'Table 3 WYE Wind_2029'!$B$10:$L$37,11,FALSE),0)</f>
        <v>0</v>
      </c>
      <c r="BL18" s="114">
        <f>IFERROR(VLOOKUP($O18,'Table 3 WYE_DJ Wind_2028'!$B$10:$L$37,11,FALSE),0)</f>
        <v>135.93478100351612</v>
      </c>
      <c r="BM18" s="114">
        <f>IFERROR(VLOOKUP($O18,'Table 3 YK WindwS_2029'!$B$10:$L$37,11,FALSE),0)</f>
        <v>0</v>
      </c>
      <c r="BN18" s="114">
        <f>IFERROR(VLOOKUP($O18,'Table 3 PV wS Borah_2026'!$B$10:$K$37,10,FALSE),0)</f>
        <v>191.66</v>
      </c>
      <c r="BO18" s="326"/>
      <c r="BP18" s="114">
        <f>IFERROR(VLOOKUP($O18,'Table 3 PV wS SOR_2030'!$B$10:$K$37,10,FALSE),0)</f>
        <v>0</v>
      </c>
      <c r="BQ18" s="114">
        <f>IFERROR(VLOOKUP($O18,'Table 3 PV wS YK_2029'!$B$10:$K$37,10,FALSE),0)</f>
        <v>0</v>
      </c>
      <c r="BR18" s="114">
        <f>IFERROR(VLOOKUP($O18,'Table 3 PV wS UTN_2031'!$B$15:$K$37,10,FALSE),0)</f>
        <v>0</v>
      </c>
      <c r="BS18" s="114">
        <f>IFERROR(VLOOKUP($O18,'Table 3 PV wS UTS_2032'!B20:K42,10,FALSE),0)</f>
        <v>0</v>
      </c>
      <c r="BT18" s="325"/>
      <c r="BU18" s="326"/>
      <c r="BV18" s="114">
        <f>IFERROR(VLOOKUP($O18,'Table 3 StdBat  DJ_2029'!$B$15:$K$37,10,FALSE),0)</f>
        <v>0</v>
      </c>
      <c r="BW18" s="114">
        <f>IFERROR(VLOOKUP($O18,'Table 3 NonE 206MW (UTN) 2031'!$B$14:$M$36,12,FALSE),0)</f>
        <v>0</v>
      </c>
      <c r="BX18" s="114">
        <f>IFERROR(VLOOKUP($O18,'Table 3 NonE 206MW (Hgtn)'!$B$14:$M$36,12,FALSE),0)</f>
        <v>0</v>
      </c>
      <c r="BY18" s="325"/>
      <c r="CD18">
        <f>SUM(AL$13:AL18)*BH18/1000</f>
        <v>7.3450462909020384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6"/>
        <v>7.3450462909020384</v>
      </c>
      <c r="DA18">
        <f t="shared" si="40"/>
        <v>2028</v>
      </c>
      <c r="DB18" s="80">
        <f>IFERROR(VLOOKUP($DA18,'Table 3 TransCost'!$AA$10:$AD$32,4,FALSE),0)</f>
        <v>56.81</v>
      </c>
      <c r="DC18" s="150">
        <f t="shared" si="44"/>
        <v>0</v>
      </c>
    </row>
    <row r="19" spans="2:107">
      <c r="B19" s="13">
        <f t="shared" si="41"/>
        <v>2029</v>
      </c>
      <c r="C19" s="8">
        <f t="shared" si="21"/>
        <v>93.796935484715974</v>
      </c>
      <c r="D19" s="42"/>
      <c r="E19" s="8">
        <f t="shared" ca="1" si="42"/>
        <v>0.18153605562663822</v>
      </c>
      <c r="F19" s="34"/>
      <c r="G19" s="12">
        <f t="shared" ca="1" si="45"/>
        <v>36.533485380096216</v>
      </c>
      <c r="H19" s="34"/>
      <c r="I19" s="150"/>
      <c r="J19" s="80"/>
      <c r="O19">
        <f t="shared" si="22"/>
        <v>2029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D19">
        <v>0</v>
      </c>
      <c r="AE19">
        <v>0</v>
      </c>
      <c r="AF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G19">
        <f t="shared" si="43"/>
        <v>2029</v>
      </c>
      <c r="BH19" s="114">
        <f>IFERROR(VLOOKUP($O19,'Table 3 PNC Wind_2026'!$B$10:$L$37,11,FALSE),0)</f>
        <v>204.25</v>
      </c>
      <c r="BI19" s="114">
        <f>IFERROR(VLOOKUP($O19,'Table 3 PNC Wind_2038'!$B$10:$L$37,11,FALSE),0)</f>
        <v>0</v>
      </c>
      <c r="BJ19" s="114">
        <f>IFERROR(VLOOKUP($O19,'Table 3 WV Wind_2026'!$B$10:$L$37,11,FALSE),0)</f>
        <v>186.58</v>
      </c>
      <c r="BK19" s="114">
        <f>IFERROR(VLOOKUP($O19,'Table 3 WYE Wind_2029'!$B$10:$L$37,11,FALSE),0)</f>
        <v>201.85568416390288</v>
      </c>
      <c r="BL19" s="114">
        <f>IFERROR(VLOOKUP($O19,'Table 3 WYE_DJ Wind_2028'!$B$10:$L$37,11,FALSE),0)</f>
        <v>138.86000000000001</v>
      </c>
      <c r="BM19" s="114">
        <f>IFERROR(VLOOKUP($O19,'Table 3 YK WindwS_2029'!$B$10:$L$37,11,FALSE),0)</f>
        <v>187.50399602844064</v>
      </c>
      <c r="BN19" s="114">
        <f>IFERROR(VLOOKUP($O19,'Table 3 PV wS Borah_2026'!$B$10:$K$37,10,FALSE),0)</f>
        <v>195.79000000000002</v>
      </c>
      <c r="BO19" s="326"/>
      <c r="BP19" s="114">
        <f>IFERROR(VLOOKUP($O19,'Table 3 PV wS SOR_2030'!$B$10:$K$37,10,FALSE),0)</f>
        <v>0</v>
      </c>
      <c r="BQ19" s="114">
        <f>IFERROR(VLOOKUP($O19,'Table 3 PV wS YK_2029'!$B$10:$K$37,10,FALSE),0)</f>
        <v>188.42976759019373</v>
      </c>
      <c r="BR19" s="114">
        <f>IFERROR(VLOOKUP($O19,'Table 3 PV wS UTN_2031'!$B$15:$K$37,10,FALSE),0)</f>
        <v>0</v>
      </c>
      <c r="BS19" s="114">
        <f>IFERROR(VLOOKUP($O19,'Table 3 PV wS UTS_2032'!B21:K43,10,FALSE),0)</f>
        <v>0</v>
      </c>
      <c r="BT19" s="325"/>
      <c r="BU19" s="326"/>
      <c r="BV19" s="114">
        <f>IFERROR(VLOOKUP($O19,'Table 3 StdBat  DJ_2029'!$B$15:$K$37,10,FALSE),0)</f>
        <v>109.22031613353437</v>
      </c>
      <c r="BW19" s="114">
        <f>IFERROR(VLOOKUP($O19,'Table 3 NonE 206MW (UTN) 2031'!$B$14:$M$36,12,FALSE),0)</f>
        <v>0</v>
      </c>
      <c r="BX19" s="114">
        <f>IFERROR(VLOOKUP($O19,'Table 3 NonE 206MW (Hgtn)'!$B$14:$M$36,12,FALSE),0)</f>
        <v>0</v>
      </c>
      <c r="BY19" s="325"/>
      <c r="CD19">
        <f>SUM(AL$13:AL19)*BH19/1000</f>
        <v>7.5037548387772777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6"/>
        <v>7.5037548387772777</v>
      </c>
      <c r="DA19">
        <f t="shared" si="40"/>
        <v>2029</v>
      </c>
      <c r="DB19" s="80">
        <f>IFERROR(VLOOKUP($DA19,'Table 3 TransCost'!$AA$10:$AD$32,4,FALSE),0)</f>
        <v>58.03</v>
      </c>
      <c r="DC19" s="150">
        <f t="shared" si="44"/>
        <v>0</v>
      </c>
    </row>
    <row r="20" spans="2:107">
      <c r="B20" s="13">
        <f t="shared" si="41"/>
        <v>2030</v>
      </c>
      <c r="C20" s="8">
        <f t="shared" si="21"/>
        <v>95.817530422942426</v>
      </c>
      <c r="D20" s="42"/>
      <c r="E20" s="8">
        <f t="shared" ca="1" si="42"/>
        <v>1.1104696904924971</v>
      </c>
      <c r="F20" s="34"/>
      <c r="G20" s="12">
        <f t="shared" ca="1" si="45"/>
        <v>38.245520983273778</v>
      </c>
      <c r="H20" s="34"/>
      <c r="I20" s="150"/>
      <c r="J20" s="80"/>
      <c r="O20">
        <f t="shared" si="22"/>
        <v>2030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D20">
        <v>0</v>
      </c>
      <c r="AE20">
        <v>0</v>
      </c>
      <c r="AF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G20">
        <f t="shared" si="43"/>
        <v>2030</v>
      </c>
      <c r="BH20" s="114">
        <f>IFERROR(VLOOKUP($O20,'Table 3 PNC Wind_2026'!$B$10:$L$37,11,FALSE),0)</f>
        <v>208.65</v>
      </c>
      <c r="BI20" s="114">
        <f>IFERROR(VLOOKUP($O20,'Table 3 PNC Wind_2038'!$B$10:$L$37,11,FALSE),0)</f>
        <v>0</v>
      </c>
      <c r="BJ20" s="114">
        <f>IFERROR(VLOOKUP($O20,'Table 3 WV Wind_2026'!$B$10:$L$37,11,FALSE),0)</f>
        <v>190.60000000000002</v>
      </c>
      <c r="BK20" s="114">
        <f>IFERROR(VLOOKUP($O20,'Table 3 WYE Wind_2029'!$B$10:$L$37,11,FALSE),0)</f>
        <v>206.2</v>
      </c>
      <c r="BL20" s="114">
        <f>IFERROR(VLOOKUP($O20,'Table 3 WYE_DJ Wind_2028'!$B$10:$L$37,11,FALSE),0)</f>
        <v>141.85999999999999</v>
      </c>
      <c r="BM20" s="114">
        <f>IFERROR(VLOOKUP($O20,'Table 3 YK WindwS_2029'!$B$10:$L$37,11,FALSE),0)</f>
        <v>191.55</v>
      </c>
      <c r="BN20" s="114">
        <f>IFERROR(VLOOKUP($O20,'Table 3 PV wS Borah_2026'!$B$10:$K$37,10,FALSE),0)</f>
        <v>200.01</v>
      </c>
      <c r="BO20" s="326"/>
      <c r="BP20" s="114">
        <f>IFERROR(VLOOKUP($O20,'Table 3 PV wS SOR_2030'!$B$10:$K$37,10,FALSE),0)</f>
        <v>219.45386985142773</v>
      </c>
      <c r="BQ20" s="114">
        <f>IFERROR(VLOOKUP($O20,'Table 3 PV wS YK_2029'!$B$10:$K$37,10,FALSE),0)</f>
        <v>192.50000000000003</v>
      </c>
      <c r="BR20" s="114">
        <f>IFERROR(VLOOKUP($O20,'Table 3 PV wS UTN_2031'!$B$15:$K$37,10,FALSE),0)</f>
        <v>0</v>
      </c>
      <c r="BS20" s="114">
        <f>IFERROR(VLOOKUP($O20,'Table 3 PV wS UTS_2032'!B22:K44,10,FALSE),0)</f>
        <v>0</v>
      </c>
      <c r="BT20" s="325"/>
      <c r="BU20" s="326"/>
      <c r="BV20" s="114">
        <f>IFERROR(VLOOKUP($O20,'Table 3 StdBat  DJ_2029'!$B$15:$K$37,10,FALSE),0)</f>
        <v>111.57</v>
      </c>
      <c r="BW20" s="114">
        <f>IFERROR(VLOOKUP($O20,'Table 3 NonE 206MW (UTN) 2031'!$B$14:$M$36,12,FALSE),0)</f>
        <v>0</v>
      </c>
      <c r="BX20" s="114">
        <f>IFERROR(VLOOKUP($O20,'Table 3 NonE 206MW (Hgtn)'!$B$14:$M$36,12,FALSE),0)</f>
        <v>0</v>
      </c>
      <c r="BY20" s="325"/>
      <c r="CD20">
        <f>SUM(AL$13:AL20)*BH20/1000</f>
        <v>7.6654024338353937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6"/>
        <v>7.6654024338353937</v>
      </c>
      <c r="DA20">
        <f t="shared" si="40"/>
        <v>2030</v>
      </c>
      <c r="DB20" s="80">
        <f>IFERROR(VLOOKUP($DA20,'Table 3 TransCost'!$AA$10:$AD$32,4,FALSE),0)</f>
        <v>59.28</v>
      </c>
      <c r="DC20" s="150">
        <f t="shared" si="44"/>
        <v>0</v>
      </c>
    </row>
    <row r="21" spans="2:107">
      <c r="B21" s="13">
        <f t="shared" si="41"/>
        <v>2031</v>
      </c>
      <c r="C21" s="8">
        <f t="shared" si="21"/>
        <v>97.879455712178043</v>
      </c>
      <c r="D21" s="42"/>
      <c r="E21" s="8">
        <f t="shared" ca="1" si="42"/>
        <v>0.50951611339178404</v>
      </c>
      <c r="F21" s="34"/>
      <c r="G21" s="12">
        <f t="shared" ca="1" si="45"/>
        <v>38.443687369291155</v>
      </c>
      <c r="H21" s="34"/>
      <c r="I21" s="150"/>
      <c r="J21" s="80"/>
      <c r="O21">
        <f t="shared" si="22"/>
        <v>2031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D21">
        <v>0</v>
      </c>
      <c r="AE21">
        <v>0</v>
      </c>
      <c r="AF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0</v>
      </c>
      <c r="BB21">
        <f t="shared" si="38"/>
        <v>0</v>
      </c>
      <c r="BG21">
        <f t="shared" si="43"/>
        <v>2031</v>
      </c>
      <c r="BH21" s="114">
        <f>IFERROR(VLOOKUP($O21,'Table 3 PNC Wind_2026'!$B$10:$L$37,11,FALSE),0)</f>
        <v>213.14000000000001</v>
      </c>
      <c r="BI21" s="114">
        <f>IFERROR(VLOOKUP($O21,'Table 3 PNC Wind_2038'!$B$10:$L$37,11,FALSE),0)</f>
        <v>0</v>
      </c>
      <c r="BJ21" s="114">
        <f>IFERROR(VLOOKUP($O21,'Table 3 WV Wind_2026'!$B$10:$L$37,11,FALSE),0)</f>
        <v>194.70000000000002</v>
      </c>
      <c r="BK21" s="114">
        <f>IFERROR(VLOOKUP($O21,'Table 3 WYE Wind_2029'!$B$10:$L$37,11,FALSE),0)</f>
        <v>210.64</v>
      </c>
      <c r="BL21" s="114">
        <f>IFERROR(VLOOKUP($O21,'Table 3 WYE_DJ Wind_2028'!$B$10:$L$37,11,FALSE),0)</f>
        <v>144.91999999999999</v>
      </c>
      <c r="BM21" s="114">
        <f>IFERROR(VLOOKUP($O21,'Table 3 YK WindwS_2029'!$B$10:$L$37,11,FALSE),0)</f>
        <v>195.67</v>
      </c>
      <c r="BN21" s="114">
        <f>IFERROR(VLOOKUP($O21,'Table 3 PV wS Borah_2026'!$B$10:$K$37,10,FALSE),0)</f>
        <v>204.32</v>
      </c>
      <c r="BO21" s="326"/>
      <c r="BP21" s="114">
        <f>IFERROR(VLOOKUP($O21,'Table 3 PV wS SOR_2030'!$B$10:$K$37,10,FALSE),0)</f>
        <v>224.18</v>
      </c>
      <c r="BQ21" s="114">
        <f>IFERROR(VLOOKUP($O21,'Table 3 PV wS YK_2029'!$B$10:$K$37,10,FALSE),0)</f>
        <v>196.64000000000001</v>
      </c>
      <c r="BR21" s="114">
        <f>IFERROR(VLOOKUP($O21,'Table 3 PV wS UTN_2031'!$B$15:$K$37,10,FALSE),0)</f>
        <v>190.34566275538936</v>
      </c>
      <c r="BS21" s="114">
        <f>IFERROR(VLOOKUP($O21,'Table 3 PV wS UTS_2032'!B23:K45,10,FALSE),0)</f>
        <v>0</v>
      </c>
      <c r="BT21" s="325"/>
      <c r="BU21" s="326"/>
      <c r="BV21" s="114">
        <f>IFERROR(VLOOKUP($O21,'Table 3 StdBat  DJ_2029'!$B$15:$K$37,10,FALSE),0)</f>
        <v>113.97</v>
      </c>
      <c r="BW21" s="114">
        <f>IFERROR(VLOOKUP($O21,'Table 3 NonE 206MW (UTN) 2031'!$B$14:$M$36,12,FALSE),0)</f>
        <v>111.41513744317196</v>
      </c>
      <c r="BX21" s="114">
        <f>IFERROR(VLOOKUP($O21,'Table 3 NonE 206MW (Hgtn)'!$B$14:$M$36,12,FALSE),0)</f>
        <v>0</v>
      </c>
      <c r="BY21" s="325"/>
      <c r="CD21">
        <f>SUM(AL$13:AL21)*BH21/1000</f>
        <v>7.8303564569742425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6"/>
        <v>7.8303564569742425</v>
      </c>
      <c r="DA21">
        <f t="shared" si="40"/>
        <v>2031</v>
      </c>
      <c r="DB21" s="80">
        <f>IFERROR(VLOOKUP($DA21,'Table 3 TransCost'!$AA$10:$AD$32,4,FALSE),0)</f>
        <v>60.56</v>
      </c>
      <c r="DC21" s="150">
        <f t="shared" si="44"/>
        <v>0</v>
      </c>
    </row>
    <row r="22" spans="2:107">
      <c r="B22" s="13">
        <f t="shared" si="41"/>
        <v>2032</v>
      </c>
      <c r="C22" s="8">
        <f t="shared" si="21"/>
        <v>99.987303613646077</v>
      </c>
      <c r="D22" s="42"/>
      <c r="E22" s="8">
        <f t="shared" ca="1" si="42"/>
        <v>-1.937060620003682</v>
      </c>
      <c r="F22" s="34"/>
      <c r="G22" s="12">
        <f t="shared" ca="1" si="45"/>
        <v>36.696954463721475</v>
      </c>
      <c r="H22" s="34"/>
      <c r="I22" s="150"/>
      <c r="J22" s="80"/>
      <c r="O22">
        <f t="shared" si="22"/>
        <v>2032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D22">
        <v>0</v>
      </c>
      <c r="AE22">
        <v>0</v>
      </c>
      <c r="AF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G22">
        <f t="shared" si="43"/>
        <v>2032</v>
      </c>
      <c r="BH22" s="114">
        <f>IFERROR(VLOOKUP($O22,'Table 3 PNC Wind_2026'!$B$10:$L$37,11,FALSE),0)</f>
        <v>217.73000000000002</v>
      </c>
      <c r="BI22" s="114">
        <f>IFERROR(VLOOKUP($O22,'Table 3 PNC Wind_2038'!$B$10:$L$37,11,FALSE),0)</f>
        <v>0</v>
      </c>
      <c r="BJ22" s="114">
        <f>IFERROR(VLOOKUP($O22,'Table 3 WV Wind_2026'!$B$10:$L$37,11,FALSE),0)</f>
        <v>198.89999999999998</v>
      </c>
      <c r="BK22" s="114">
        <f>IFERROR(VLOOKUP($O22,'Table 3 WYE Wind_2029'!$B$10:$L$37,11,FALSE),0)</f>
        <v>215.17</v>
      </c>
      <c r="BL22" s="114">
        <f>IFERROR(VLOOKUP($O22,'Table 3 WYE_DJ Wind_2028'!$B$10:$L$37,11,FALSE),0)</f>
        <v>148.05000000000001</v>
      </c>
      <c r="BM22" s="114">
        <f>IFERROR(VLOOKUP($O22,'Table 3 YK WindwS_2029'!$B$10:$L$37,11,FALSE),0)</f>
        <v>199.89000000000001</v>
      </c>
      <c r="BN22" s="114">
        <f>IFERROR(VLOOKUP($O22,'Table 3 PV wS Borah_2026'!$B$10:$K$37,10,FALSE),0)</f>
        <v>208.72</v>
      </c>
      <c r="BO22" s="326"/>
      <c r="BP22" s="114">
        <f>IFERROR(VLOOKUP($O22,'Table 3 PV wS SOR_2030'!$B$10:$K$37,10,FALSE),0)</f>
        <v>229.01000000000002</v>
      </c>
      <c r="BQ22" s="114">
        <f>IFERROR(VLOOKUP($O22,'Table 3 PV wS YK_2029'!$B$10:$K$37,10,FALSE),0)</f>
        <v>200.88000000000002</v>
      </c>
      <c r="BR22" s="114">
        <f>IFERROR(VLOOKUP($O22,'Table 3 PV wS UTN_2031'!$B$15:$K$37,10,FALSE),0)</f>
        <v>194.43999999999997</v>
      </c>
      <c r="BS22" s="114">
        <f>IFERROR(VLOOKUP($O22,'Table 3 PV wS UTS_2032'!B24:K46,10,FALSE),0)</f>
        <v>191.64159812273908</v>
      </c>
      <c r="BT22" s="325"/>
      <c r="BU22" s="326"/>
      <c r="BV22" s="114">
        <f>IFERROR(VLOOKUP($O22,'Table 3 StdBat  DJ_2029'!$B$15:$K$37,10,FALSE),0)</f>
        <v>116.42</v>
      </c>
      <c r="BW22" s="114">
        <f>IFERROR(VLOOKUP($O22,'Table 3 NonE 206MW (UTN) 2031'!$B$14:$M$36,12,FALSE),0)</f>
        <v>113.81</v>
      </c>
      <c r="BX22" s="114">
        <f>IFERROR(VLOOKUP($O22,'Table 3 NonE 206MW (Hgtn)'!$B$14:$M$36,12,FALSE),0)</f>
        <v>0</v>
      </c>
      <c r="BY22" s="325"/>
      <c r="CD22">
        <f>SUM(AL$13:AL22)*BH22/1000</f>
        <v>7.9989842890916858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6"/>
        <v>7.9989842890916858</v>
      </c>
      <c r="DA22">
        <f t="shared" si="40"/>
        <v>2032</v>
      </c>
      <c r="DB22" s="80">
        <f>IFERROR(VLOOKUP($DA22,'Table 3 TransCost'!$AA$10:$AD$32,4,FALSE),0)</f>
        <v>61.87</v>
      </c>
      <c r="DC22" s="150">
        <f t="shared" si="44"/>
        <v>0</v>
      </c>
    </row>
    <row r="23" spans="2:107">
      <c r="B23" s="13">
        <f t="shared" si="41"/>
        <v>2033</v>
      </c>
      <c r="C23" s="8">
        <f t="shared" si="21"/>
        <v>102.14107412734651</v>
      </c>
      <c r="D23" s="42"/>
      <c r="E23" s="8">
        <f t="shared" ca="1" si="42"/>
        <v>-1.4747562479838565</v>
      </c>
      <c r="F23" s="34"/>
      <c r="G23" s="12">
        <f t="shared" ca="1" si="45"/>
        <v>38.111048250172914</v>
      </c>
      <c r="H23" s="34"/>
      <c r="I23" s="150"/>
      <c r="J23" s="80"/>
      <c r="O23">
        <f t="shared" si="22"/>
        <v>2033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D23">
        <v>0</v>
      </c>
      <c r="AE23">
        <v>0</v>
      </c>
      <c r="AF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G23">
        <f t="shared" si="43"/>
        <v>2033</v>
      </c>
      <c r="BH23" s="114">
        <f>IFERROR(VLOOKUP($O23,'Table 3 PNC Wind_2026'!$B$10:$L$37,11,FALSE),0)</f>
        <v>222.42</v>
      </c>
      <c r="BI23" s="114">
        <f>IFERROR(VLOOKUP($O23,'Table 3 PNC Wind_2038'!$B$10:$L$37,11,FALSE),0)</f>
        <v>0</v>
      </c>
      <c r="BJ23" s="114">
        <f>IFERROR(VLOOKUP($O23,'Table 3 WV Wind_2026'!$B$10:$L$37,11,FALSE),0)</f>
        <v>203.18</v>
      </c>
      <c r="BK23" s="114">
        <f>IFERROR(VLOOKUP($O23,'Table 3 WYE Wind_2029'!$B$10:$L$37,11,FALSE),0)</f>
        <v>219.8</v>
      </c>
      <c r="BL23" s="114">
        <f>IFERROR(VLOOKUP($O23,'Table 3 WYE_DJ Wind_2028'!$B$10:$L$37,11,FALSE),0)</f>
        <v>151.24</v>
      </c>
      <c r="BM23" s="114">
        <f>IFERROR(VLOOKUP($O23,'Table 3 YK WindwS_2029'!$B$10:$L$37,11,FALSE),0)</f>
        <v>204.19</v>
      </c>
      <c r="BN23" s="114">
        <f>IFERROR(VLOOKUP($O23,'Table 3 PV wS Borah_2026'!$B$10:$K$37,10,FALSE),0)</f>
        <v>213.22000000000003</v>
      </c>
      <c r="BO23" s="326"/>
      <c r="BP23" s="114">
        <f>IFERROR(VLOOKUP($O23,'Table 3 PV wS SOR_2030'!$B$10:$K$37,10,FALSE),0)</f>
        <v>233.94</v>
      </c>
      <c r="BQ23" s="114">
        <f>IFERROR(VLOOKUP($O23,'Table 3 PV wS YK_2029'!$B$10:$K$37,10,FALSE),0)</f>
        <v>205.2</v>
      </c>
      <c r="BR23" s="114">
        <f>IFERROR(VLOOKUP($O23,'Table 3 PV wS UTN_2031'!$B$15:$K$37,10,FALSE),0)</f>
        <v>198.63</v>
      </c>
      <c r="BS23" s="114">
        <f>IFERROR(VLOOKUP($O23,'Table 3 PV wS UTS_2032'!B25:K47,10,FALSE),0)</f>
        <v>195.77</v>
      </c>
      <c r="BT23" s="325"/>
      <c r="BU23" s="326"/>
      <c r="BV23" s="114">
        <f>IFERROR(VLOOKUP($O23,'Table 3 StdBat  DJ_2029'!$B$15:$K$37,10,FALSE),0)</f>
        <v>118.92999999999999</v>
      </c>
      <c r="BW23" s="114">
        <f>IFERROR(VLOOKUP($O23,'Table 3 NonE 206MW (UTN) 2031'!$B$14:$M$36,12,FALSE),0)</f>
        <v>116.25999999999999</v>
      </c>
      <c r="BX23" s="114">
        <f>IFERROR(VLOOKUP($O23,'Table 3 NonE 206MW (Hgtn)'!$B$14:$M$36,12,FALSE),0)</f>
        <v>0</v>
      </c>
      <c r="BY23" s="325"/>
      <c r="CD23">
        <f>SUM(AL$13:AL23)*BH23/1000</f>
        <v>8.1712859301877216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6"/>
        <v>8.1712859301877216</v>
      </c>
      <c r="DA23">
        <f t="shared" si="40"/>
        <v>2033</v>
      </c>
      <c r="DB23" s="80">
        <f>IFERROR(VLOOKUP($DA23,'Table 3 TransCost'!$AA$10:$AD$32,4,FALSE),0)</f>
        <v>63.20000000000001</v>
      </c>
      <c r="DC23" s="150">
        <f t="shared" si="44"/>
        <v>0</v>
      </c>
    </row>
    <row r="24" spans="2:107">
      <c r="B24" s="13">
        <f t="shared" si="41"/>
        <v>2034</v>
      </c>
      <c r="C24" s="8">
        <f t="shared" si="21"/>
        <v>104.34535951450263</v>
      </c>
      <c r="D24" s="42"/>
      <c r="E24" s="8">
        <f t="shared" ca="1" si="42"/>
        <v>-1.9302315869134361</v>
      </c>
      <c r="F24" s="34"/>
      <c r="G24" s="12">
        <f t="shared" ca="1" si="45"/>
        <v>38.509865967583366</v>
      </c>
      <c r="H24" s="34"/>
      <c r="I24" s="150"/>
      <c r="J24" s="80"/>
      <c r="O24">
        <f t="shared" si="22"/>
        <v>2034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D24">
        <v>0</v>
      </c>
      <c r="AE24">
        <v>0</v>
      </c>
      <c r="AF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0</v>
      </c>
      <c r="BB24">
        <f t="shared" si="38"/>
        <v>0</v>
      </c>
      <c r="BG24">
        <f t="shared" si="43"/>
        <v>2034</v>
      </c>
      <c r="BH24" s="114">
        <f>IFERROR(VLOOKUP($O24,'Table 3 PNC Wind_2026'!$B$10:$L$37,11,FALSE),0)</f>
        <v>227.22</v>
      </c>
      <c r="BI24" s="114">
        <f>IFERROR(VLOOKUP($O24,'Table 3 PNC Wind_2038'!$B$10:$L$37,11,FALSE),0)</f>
        <v>0</v>
      </c>
      <c r="BJ24" s="114">
        <f>IFERROR(VLOOKUP($O24,'Table 3 WV Wind_2026'!$B$10:$L$37,11,FALSE),0)</f>
        <v>207.56</v>
      </c>
      <c r="BK24" s="114">
        <f>IFERROR(VLOOKUP($O24,'Table 3 WYE Wind_2029'!$B$10:$L$37,11,FALSE),0)</f>
        <v>224.54</v>
      </c>
      <c r="BL24" s="114">
        <f>IFERROR(VLOOKUP($O24,'Table 3 WYE_DJ Wind_2028'!$B$10:$L$37,11,FALSE),0)</f>
        <v>154.5</v>
      </c>
      <c r="BM24" s="114">
        <f>IFERROR(VLOOKUP($O24,'Table 3 YK WindwS_2029'!$B$10:$L$37,11,FALSE),0)</f>
        <v>208.59</v>
      </c>
      <c r="BN24" s="114">
        <f>IFERROR(VLOOKUP($O24,'Table 3 PV wS Borah_2026'!$B$10:$K$37,10,FALSE),0)</f>
        <v>217.82</v>
      </c>
      <c r="BO24" s="326"/>
      <c r="BP24" s="114">
        <f>IFERROR(VLOOKUP($O24,'Table 3 PV wS SOR_2030'!$B$10:$K$37,10,FALSE),0)</f>
        <v>238.98</v>
      </c>
      <c r="BQ24" s="114">
        <f>IFERROR(VLOOKUP($O24,'Table 3 PV wS YK_2029'!$B$10:$K$37,10,FALSE),0)</f>
        <v>209.62</v>
      </c>
      <c r="BR24" s="114">
        <f>IFERROR(VLOOKUP($O24,'Table 3 PV wS UTN_2031'!$B$15:$K$37,10,FALSE),0)</f>
        <v>202.91000000000003</v>
      </c>
      <c r="BS24" s="114">
        <f>IFERROR(VLOOKUP($O24,'Table 3 PV wS UTS_2032'!B26:K48,10,FALSE),0)</f>
        <v>199.99</v>
      </c>
      <c r="BT24" s="325"/>
      <c r="BU24" s="326"/>
      <c r="BV24" s="114">
        <f>IFERROR(VLOOKUP($O24,'Table 3 StdBat  DJ_2029'!$B$15:$K$37,10,FALSE),0)</f>
        <v>121.49000000000001</v>
      </c>
      <c r="BW24" s="114">
        <f>IFERROR(VLOOKUP($O24,'Table 3 NonE 206MW (UTN) 2031'!$B$14:$M$36,12,FALSE),0)</f>
        <v>118.77</v>
      </c>
      <c r="BX24" s="114">
        <f>IFERROR(VLOOKUP($O24,'Table 3 NonE 206MW (Hgtn)'!$B$14:$M$36,12,FALSE),0)</f>
        <v>0</v>
      </c>
      <c r="BY24" s="325"/>
      <c r="CD24">
        <f>SUM(AL$13:AL24)*BH24/1000</f>
        <v>8.3476287611602107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6"/>
        <v>8.3476287611602107</v>
      </c>
      <c r="DA24">
        <f t="shared" si="40"/>
        <v>2034</v>
      </c>
      <c r="DB24" s="80">
        <f>IFERROR(VLOOKUP($DA24,'Table 3 TransCost'!$AA$10:$AD$32,4,FALSE),0)</f>
        <v>64.56</v>
      </c>
      <c r="DC24" s="150">
        <f t="shared" si="44"/>
        <v>0</v>
      </c>
    </row>
    <row r="25" spans="2:107">
      <c r="B25" s="13">
        <f t="shared" si="41"/>
        <v>2035</v>
      </c>
      <c r="C25" s="8">
        <f t="shared" si="21"/>
        <v>106.59097525266793</v>
      </c>
      <c r="D25" s="42"/>
      <c r="E25" s="8">
        <f t="shared" ca="1" si="42"/>
        <v>-1.8080655689119662</v>
      </c>
      <c r="F25" s="34"/>
      <c r="G25" s="12">
        <f t="shared" ca="1" si="45"/>
        <v>39.50234303673129</v>
      </c>
      <c r="H25" s="34"/>
      <c r="I25" s="150"/>
      <c r="J25" s="80"/>
      <c r="O25">
        <f t="shared" si="22"/>
        <v>2035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D25">
        <v>0</v>
      </c>
      <c r="AE25">
        <v>0</v>
      </c>
      <c r="AF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G25">
        <f t="shared" si="43"/>
        <v>2035</v>
      </c>
      <c r="BH25" s="114">
        <f>IFERROR(VLOOKUP($O25,'Table 3 PNC Wind_2026'!$B$10:$L$37,11,FALSE),0)</f>
        <v>232.10999999999999</v>
      </c>
      <c r="BI25" s="114">
        <f>IFERROR(VLOOKUP($O25,'Table 3 PNC Wind_2038'!$B$10:$L$37,11,FALSE),0)</f>
        <v>0</v>
      </c>
      <c r="BJ25" s="114">
        <f>IFERROR(VLOOKUP($O25,'Table 3 WV Wind_2026'!$B$10:$L$37,11,FALSE),0)</f>
        <v>212.01999999999998</v>
      </c>
      <c r="BK25" s="114">
        <f>IFERROR(VLOOKUP($O25,'Table 3 WYE Wind_2029'!$B$10:$L$37,11,FALSE),0)</f>
        <v>229.38</v>
      </c>
      <c r="BL25" s="114">
        <f>IFERROR(VLOOKUP($O25,'Table 3 WYE_DJ Wind_2028'!$B$10:$L$37,11,FALSE),0)</f>
        <v>157.83000000000001</v>
      </c>
      <c r="BM25" s="114">
        <f>IFERROR(VLOOKUP($O25,'Table 3 YK WindwS_2029'!$B$10:$L$37,11,FALSE),0)</f>
        <v>213.07999999999998</v>
      </c>
      <c r="BN25" s="114">
        <f>IFERROR(VLOOKUP($O25,'Table 3 PV wS Borah_2026'!$B$10:$K$37,10,FALSE),0)</f>
        <v>222.51</v>
      </c>
      <c r="BO25" s="326"/>
      <c r="BP25" s="114">
        <f>IFERROR(VLOOKUP($O25,'Table 3 PV wS SOR_2030'!$B$10:$K$37,10,FALSE),0)</f>
        <v>244.12</v>
      </c>
      <c r="BQ25" s="114">
        <f>IFERROR(VLOOKUP($O25,'Table 3 PV wS YK_2029'!$B$10:$K$37,10,FALSE),0)</f>
        <v>214.14</v>
      </c>
      <c r="BR25" s="114">
        <f>IFERROR(VLOOKUP($O25,'Table 3 PV wS UTN_2031'!$B$15:$K$37,10,FALSE),0)</f>
        <v>207.28</v>
      </c>
      <c r="BS25" s="114">
        <f>IFERROR(VLOOKUP($O25,'Table 3 PV wS UTS_2032'!B27:K49,10,FALSE),0)</f>
        <v>204.3</v>
      </c>
      <c r="BT25" s="325"/>
      <c r="BU25" s="326"/>
      <c r="BV25" s="114">
        <f>IFERROR(VLOOKUP($O25,'Table 3 StdBat  DJ_2029'!$B$15:$K$37,10,FALSE),0)</f>
        <v>124.1</v>
      </c>
      <c r="BW25" s="114">
        <f>IFERROR(VLOOKUP($O25,'Table 3 NonE 206MW (UTN) 2031'!$B$14:$M$36,12,FALSE),0)</f>
        <v>121.33</v>
      </c>
      <c r="BX25" s="114">
        <f>IFERROR(VLOOKUP($O25,'Table 3 NonE 206MW (Hgtn)'!$B$14:$M$36,12,FALSE),0)</f>
        <v>0</v>
      </c>
      <c r="BY25" s="325"/>
      <c r="CD25">
        <f>SUM(AL$13:AL25)*BH25/1000</f>
        <v>8.5272780202134353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6"/>
        <v>8.5272780202134353</v>
      </c>
      <c r="DA25">
        <f t="shared" si="40"/>
        <v>2035</v>
      </c>
      <c r="DB25" s="80">
        <f>IFERROR(VLOOKUP($DA25,'Table 3 TransCost'!$AA$10:$AD$32,4,FALSE),0)</f>
        <v>65.95</v>
      </c>
      <c r="DC25" s="150">
        <f t="shared" si="44"/>
        <v>0</v>
      </c>
    </row>
    <row r="26" spans="2:107">
      <c r="B26" s="13">
        <f t="shared" si="41"/>
        <v>2036</v>
      </c>
      <c r="C26" s="8">
        <f t="shared" si="21"/>
        <v>108.8871058642889</v>
      </c>
      <c r="D26" s="42"/>
      <c r="E26" s="8">
        <f t="shared" ca="1" si="42"/>
        <v>14.286607356099871</v>
      </c>
      <c r="F26" s="34"/>
      <c r="G26" s="12">
        <f t="shared" ca="1" si="45"/>
        <v>56.359409985512798</v>
      </c>
      <c r="H26" s="34"/>
      <c r="I26" s="150"/>
      <c r="J26" s="80"/>
      <c r="O26">
        <f t="shared" si="22"/>
        <v>2036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D26">
        <v>0</v>
      </c>
      <c r="AE26">
        <v>0</v>
      </c>
      <c r="AF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G26">
        <f t="shared" si="43"/>
        <v>2036</v>
      </c>
      <c r="BH26" s="114">
        <f>IFERROR(VLOOKUP($O26,'Table 3 PNC Wind_2026'!$B$10:$L$37,11,FALSE),0)</f>
        <v>237.11</v>
      </c>
      <c r="BI26" s="114">
        <f>IFERROR(VLOOKUP($O26,'Table 3 PNC Wind_2038'!$B$10:$L$37,11,FALSE),0)</f>
        <v>0</v>
      </c>
      <c r="BJ26" s="114">
        <f>IFERROR(VLOOKUP($O26,'Table 3 WV Wind_2026'!$B$10:$L$37,11,FALSE),0)</f>
        <v>216.58999999999997</v>
      </c>
      <c r="BK26" s="114">
        <f>IFERROR(VLOOKUP($O26,'Table 3 WYE Wind_2029'!$B$10:$L$37,11,FALSE),0)</f>
        <v>234.32999999999998</v>
      </c>
      <c r="BL26" s="114">
        <f>IFERROR(VLOOKUP($O26,'Table 3 WYE_DJ Wind_2028'!$B$10:$L$37,11,FALSE),0)</f>
        <v>161.23000000000002</v>
      </c>
      <c r="BM26" s="114">
        <f>IFERROR(VLOOKUP($O26,'Table 3 YK WindwS_2029'!$B$10:$L$37,11,FALSE),0)</f>
        <v>217.67</v>
      </c>
      <c r="BN26" s="114">
        <f>IFERROR(VLOOKUP($O26,'Table 3 PV wS Borah_2026'!$B$10:$K$37,10,FALSE),0)</f>
        <v>227.3</v>
      </c>
      <c r="BO26" s="326"/>
      <c r="BP26" s="114">
        <f>IFERROR(VLOOKUP($O26,'Table 3 PV wS SOR_2030'!$B$10:$K$37,10,FALSE),0)</f>
        <v>249.38</v>
      </c>
      <c r="BQ26" s="114">
        <f>IFERROR(VLOOKUP($O26,'Table 3 PV wS YK_2029'!$B$10:$K$37,10,FALSE),0)</f>
        <v>218.76000000000002</v>
      </c>
      <c r="BR26" s="114">
        <f>IFERROR(VLOOKUP($O26,'Table 3 PV wS UTN_2031'!$B$15:$K$37,10,FALSE),0)</f>
        <v>211.73999999999998</v>
      </c>
      <c r="BS26" s="114">
        <f>IFERROR(VLOOKUP($O26,'Table 3 PV wS UTS_2032'!B28:K50,10,FALSE),0)</f>
        <v>208.70000000000002</v>
      </c>
      <c r="BT26" s="325"/>
      <c r="BU26" s="326"/>
      <c r="BV26" s="114">
        <f>IFERROR(VLOOKUP($O26,'Table 3 StdBat  DJ_2029'!$B$15:$K$37,10,FALSE),0)</f>
        <v>126.78</v>
      </c>
      <c r="BW26" s="114">
        <f>IFERROR(VLOOKUP($O26,'Table 3 NonE 206MW (UTN) 2031'!$B$14:$M$36,12,FALSE),0)</f>
        <v>123.94</v>
      </c>
      <c r="BX26" s="114">
        <f>IFERROR(VLOOKUP($O26,'Table 3 NonE 206MW (Hgtn)'!$B$14:$M$36,12,FALSE),0)</f>
        <v>0</v>
      </c>
      <c r="BY26" s="325"/>
      <c r="CD26">
        <f>SUM(AL$13:AL26)*BH26/1000</f>
        <v>8.7109684691431113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6"/>
        <v>8.7109684691431113</v>
      </c>
      <c r="DA26">
        <f t="shared" si="40"/>
        <v>2036</v>
      </c>
      <c r="DB26" s="80">
        <f>IFERROR(VLOOKUP($DA26,'Table 3 TransCost'!$AA$10:$AD$32,4,FALSE),0)</f>
        <v>67.37</v>
      </c>
      <c r="DC26" s="150">
        <f t="shared" si="44"/>
        <v>0</v>
      </c>
    </row>
    <row r="27" spans="2:107">
      <c r="B27" s="13">
        <f t="shared" si="41"/>
        <v>2037</v>
      </c>
      <c r="C27" s="8">
        <f t="shared" si="21"/>
        <v>111.23375134936551</v>
      </c>
      <c r="D27" s="42"/>
      <c r="E27" s="8">
        <f t="shared" ca="1" si="42"/>
        <v>14.145389913618738</v>
      </c>
      <c r="F27" s="34"/>
      <c r="G27" s="12">
        <f t="shared" ca="1" si="45"/>
        <v>57.255153269178194</v>
      </c>
      <c r="H27" s="34"/>
      <c r="I27" s="150"/>
      <c r="J27" s="80"/>
      <c r="O27">
        <f t="shared" si="22"/>
        <v>2037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D27">
        <v>0</v>
      </c>
      <c r="AE27">
        <v>0</v>
      </c>
      <c r="AF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G27">
        <f t="shared" si="43"/>
        <v>2037</v>
      </c>
      <c r="BH27" s="114">
        <f>IFERROR(VLOOKUP($O27,'Table 3 PNC Wind_2026'!$B$10:$L$37,11,FALSE),0)</f>
        <v>242.22</v>
      </c>
      <c r="BI27" s="114">
        <f>IFERROR(VLOOKUP($O27,'Table 3 PNC Wind_2038'!$B$10:$L$37,11,FALSE),0)</f>
        <v>0</v>
      </c>
      <c r="BJ27" s="114">
        <f>IFERROR(VLOOKUP($O27,'Table 3 WV Wind_2026'!$B$10:$L$37,11,FALSE),0)</f>
        <v>221.26</v>
      </c>
      <c r="BK27" s="114">
        <f>IFERROR(VLOOKUP($O27,'Table 3 WYE Wind_2029'!$B$10:$L$37,11,FALSE),0)</f>
        <v>239.38</v>
      </c>
      <c r="BL27" s="114">
        <f>IFERROR(VLOOKUP($O27,'Table 3 WYE_DJ Wind_2028'!$B$10:$L$37,11,FALSE),0)</f>
        <v>164.7</v>
      </c>
      <c r="BM27" s="114">
        <f>IFERROR(VLOOKUP($O27,'Table 3 YK WindwS_2029'!$B$10:$L$37,11,FALSE),0)</f>
        <v>222.35999999999999</v>
      </c>
      <c r="BN27" s="114">
        <f>IFERROR(VLOOKUP($O27,'Table 3 PV wS Borah_2026'!$B$10:$K$37,10,FALSE),0)</f>
        <v>232.20000000000002</v>
      </c>
      <c r="BO27" s="326"/>
      <c r="BP27" s="114">
        <f>IFERROR(VLOOKUP($O27,'Table 3 PV wS SOR_2030'!$B$10:$K$37,10,FALSE),0)</f>
        <v>254.76</v>
      </c>
      <c r="BQ27" s="114">
        <f>IFERROR(VLOOKUP($O27,'Table 3 PV wS YK_2029'!$B$10:$K$37,10,FALSE),0)</f>
        <v>223.47</v>
      </c>
      <c r="BR27" s="114">
        <f>IFERROR(VLOOKUP($O27,'Table 3 PV wS UTN_2031'!$B$15:$K$37,10,FALSE),0)</f>
        <v>216.31</v>
      </c>
      <c r="BS27" s="114">
        <f>IFERROR(VLOOKUP($O27,'Table 3 PV wS UTS_2032'!B29:K51,10,FALSE),0)</f>
        <v>213.2</v>
      </c>
      <c r="BT27" s="325"/>
      <c r="BU27" s="326"/>
      <c r="BV27" s="114">
        <f>IFERROR(VLOOKUP($O27,'Table 3 StdBat  DJ_2029'!$B$15:$K$37,10,FALSE),0)</f>
        <v>129.51</v>
      </c>
      <c r="BW27" s="114">
        <f>IFERROR(VLOOKUP($O27,'Table 3 NonE 206MW (UTN) 2031'!$B$14:$M$36,12,FALSE),0)</f>
        <v>126.61</v>
      </c>
      <c r="BX27" s="114">
        <f>IFERROR(VLOOKUP($O27,'Table 3 NonE 206MW (Hgtn)'!$B$14:$M$36,12,FALSE),0)</f>
        <v>103.9</v>
      </c>
      <c r="BY27" s="325"/>
      <c r="CD27">
        <f>SUM(AL$13:AL27)*BH27/1000</f>
        <v>8.8987001079492405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6"/>
        <v>8.8987001079492405</v>
      </c>
      <c r="DA27">
        <f t="shared" si="40"/>
        <v>2037</v>
      </c>
      <c r="DB27" s="80">
        <f>IFERROR(VLOOKUP($DA27,'Table 3 TransCost'!$AA$10:$AD$32,4,FALSE),0)</f>
        <v>68.819999999999993</v>
      </c>
      <c r="DC27" s="150">
        <f t="shared" si="44"/>
        <v>0</v>
      </c>
    </row>
    <row r="28" spans="2:107">
      <c r="B28" s="13">
        <f t="shared" si="41"/>
        <v>2038</v>
      </c>
      <c r="C28" s="8">
        <f t="shared" si="21"/>
        <v>113.63091170789778</v>
      </c>
      <c r="D28" s="42"/>
      <c r="E28" s="8">
        <f t="shared" ca="1" si="42"/>
        <v>13.87072593212228</v>
      </c>
      <c r="F28" s="34"/>
      <c r="G28" s="12">
        <f t="shared" ca="1" si="45"/>
        <v>57.909532986451531</v>
      </c>
      <c r="H28" s="34"/>
      <c r="I28" s="150"/>
      <c r="J28" s="80"/>
      <c r="M28" s="99"/>
      <c r="O28">
        <f t="shared" si="22"/>
        <v>2038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D28">
        <v>0</v>
      </c>
      <c r="AE28">
        <v>0</v>
      </c>
      <c r="AF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G28">
        <f t="shared" si="43"/>
        <v>2038</v>
      </c>
      <c r="BH28" s="114">
        <f>IFERROR(VLOOKUP($O28,'Table 3 PNC Wind_2026'!$B$10:$L$37,11,FALSE),0)</f>
        <v>247.44</v>
      </c>
      <c r="BI28" s="114">
        <f>IFERROR(VLOOKUP($O28,'Table 3 PNC Wind_2038'!$B$10:$L$37,11,FALSE),0)</f>
        <v>250.03791492447499</v>
      </c>
      <c r="BJ28" s="114">
        <f>IFERROR(VLOOKUP($O28,'Table 3 WV Wind_2026'!$B$10:$L$37,11,FALSE),0)</f>
        <v>226.03</v>
      </c>
      <c r="BK28" s="114">
        <f>IFERROR(VLOOKUP($O28,'Table 3 WYE Wind_2029'!$B$10:$L$37,11,FALSE),0)</f>
        <v>244.54000000000002</v>
      </c>
      <c r="BL28" s="114">
        <f>IFERROR(VLOOKUP($O28,'Table 3 WYE_DJ Wind_2028'!$B$10:$L$37,11,FALSE),0)</f>
        <v>168.25</v>
      </c>
      <c r="BM28" s="114">
        <f>IFERROR(VLOOKUP($O28,'Table 3 YK WindwS_2029'!$B$10:$L$37,11,FALSE),0)</f>
        <v>227.16000000000003</v>
      </c>
      <c r="BN28" s="114">
        <f>IFERROR(VLOOKUP($O28,'Table 3 PV wS Borah_2026'!$B$10:$K$37,10,FALSE),0)</f>
        <v>237.2</v>
      </c>
      <c r="BO28" s="326"/>
      <c r="BP28" s="114">
        <f>IFERROR(VLOOKUP($O28,'Table 3 PV wS SOR_2030'!$B$10:$K$37,10,FALSE),0)</f>
        <v>260.25</v>
      </c>
      <c r="BQ28" s="114">
        <f>IFERROR(VLOOKUP($O28,'Table 3 PV wS YK_2029'!$B$10:$K$37,10,FALSE),0)</f>
        <v>228.29</v>
      </c>
      <c r="BR28" s="114">
        <f>IFERROR(VLOOKUP($O28,'Table 3 PV wS UTN_2031'!$B$15:$K$37,10,FALSE),0)</f>
        <v>220.96999999999997</v>
      </c>
      <c r="BS28" s="114">
        <f>IFERROR(VLOOKUP($O28,'Table 3 PV wS UTS_2032'!B30:K52,10,FALSE),0)</f>
        <v>217.79999999999998</v>
      </c>
      <c r="BT28" s="325"/>
      <c r="BU28" s="326"/>
      <c r="BV28" s="114">
        <f>IFERROR(VLOOKUP($O28,'Table 3 StdBat  DJ_2029'!$B$15:$K$37,10,FALSE),0)</f>
        <v>132.30000000000001</v>
      </c>
      <c r="BW28" s="114">
        <f>IFERROR(VLOOKUP($O28,'Table 3 NonE 206MW (UTN) 2031'!$B$14:$M$36,12,FALSE),0)</f>
        <v>129.32999999999998</v>
      </c>
      <c r="BX28" s="114">
        <f>IFERROR(VLOOKUP($O28,'Table 3 NonE 206MW (Hgtn)'!$B$14:$M$36,12,FALSE),0)</f>
        <v>106.14</v>
      </c>
      <c r="BY28" s="325"/>
      <c r="CD28">
        <f>SUM(AL$13:AL28)*BH28/1000</f>
        <v>9.0904729366318229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6"/>
        <v>9.0904729366318229</v>
      </c>
      <c r="DA28">
        <f t="shared" si="40"/>
        <v>2038</v>
      </c>
      <c r="DB28" s="80">
        <f>IFERROR(VLOOKUP($DA28,'Table 3 TransCost'!$AA$10:$AD$32,4,FALSE),0)</f>
        <v>70.3</v>
      </c>
      <c r="DC28" s="150">
        <f t="shared" si="44"/>
        <v>0</v>
      </c>
    </row>
    <row r="29" spans="2:107" hidden="1">
      <c r="B29" s="13">
        <f t="shared" si="41"/>
        <v>2039</v>
      </c>
      <c r="C29" s="8">
        <f t="shared" si="21"/>
        <v>116.07858693988571</v>
      </c>
      <c r="D29" s="42"/>
      <c r="E29" s="8">
        <f t="shared" ca="1" si="42"/>
        <v>14.65654658331205</v>
      </c>
      <c r="F29" s="34"/>
      <c r="G29" s="12">
        <f t="shared" ca="1" si="45"/>
        <v>59.643974885618903</v>
      </c>
      <c r="H29" s="34"/>
      <c r="I29" s="150"/>
      <c r="J29" s="150"/>
      <c r="M29" s="99"/>
      <c r="O29">
        <f t="shared" si="22"/>
        <v>2039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D29">
        <v>0</v>
      </c>
      <c r="AE29">
        <v>0</v>
      </c>
      <c r="AF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G29">
        <f t="shared" si="43"/>
        <v>2039</v>
      </c>
      <c r="BH29" s="114">
        <f>IFERROR(VLOOKUP($O29,'Table 3 PNC Wind_2026'!$B$10:$L$37,11,FALSE),0)</f>
        <v>252.76999999999998</v>
      </c>
      <c r="BI29" s="114">
        <f>IFERROR(VLOOKUP($O29,'Table 3 PNC Wind_2038'!$B$10:$L$37,11,FALSE),0)</f>
        <v>255.43</v>
      </c>
      <c r="BJ29" s="114">
        <f>IFERROR(VLOOKUP($O29,'Table 3 WV Wind_2026'!$B$10:$L$37,11,FALSE),0)</f>
        <v>230.9</v>
      </c>
      <c r="BK29" s="114">
        <f>IFERROR(VLOOKUP($O29,'Table 3 WYE Wind_2029'!$B$10:$L$37,11,FALSE),0)</f>
        <v>249.81</v>
      </c>
      <c r="BL29" s="114">
        <f>IFERROR(VLOOKUP($O29,'Table 3 WYE_DJ Wind_2028'!$B$10:$L$37,11,FALSE),0)</f>
        <v>171.88</v>
      </c>
      <c r="BM29" s="114">
        <f>IFERROR(VLOOKUP($O29,'Table 3 YK WindwS_2029'!$B$10:$L$37,11,FALSE),0)</f>
        <v>232.06</v>
      </c>
      <c r="BN29" s="114">
        <f>IFERROR(VLOOKUP($O29,'Table 3 PV wS Borah_2026'!$B$10:$K$37,10,FALSE),0)</f>
        <v>242.32</v>
      </c>
      <c r="BO29" s="326"/>
      <c r="BP29" s="114">
        <f>IFERROR(VLOOKUP($O29,'Table 3 PV wS SOR_2030'!$B$10:$K$37,10,FALSE),0)</f>
        <v>265.84999999999997</v>
      </c>
      <c r="BQ29" s="114">
        <f>IFERROR(VLOOKUP($O29,'Table 3 PV wS YK_2029'!$B$10:$K$37,10,FALSE),0)</f>
        <v>233.21</v>
      </c>
      <c r="BR29" s="114">
        <f>IFERROR(VLOOKUP($O29,'Table 3 PV wS UTN_2031'!$B$15:$K$37,10,FALSE),0)</f>
        <v>225.73</v>
      </c>
      <c r="BS29" s="114">
        <f>IFERROR(VLOOKUP($O29,'Table 3 PV wS UTS_2032'!B31:K53,10,FALSE),0)</f>
        <v>222.49</v>
      </c>
      <c r="BT29" s="325"/>
      <c r="BU29" s="326"/>
      <c r="BV29" s="114">
        <f>IFERROR(VLOOKUP($O29,'Table 3 StdBat  DJ_2029'!$B$15:$K$37,10,FALSE),0)</f>
        <v>135.14999999999998</v>
      </c>
      <c r="BW29" s="114">
        <f>IFERROR(VLOOKUP($O29,'Table 3 NonE 206MW (UTN) 2031'!$B$14:$M$36,12,FALSE),0)</f>
        <v>132.12</v>
      </c>
      <c r="BX29" s="114">
        <f>IFERROR(VLOOKUP($O29,'Table 3 NonE 206MW (Hgtn)'!$B$14:$M$36,12,FALSE),0)</f>
        <v>108.43</v>
      </c>
      <c r="BY29" s="325"/>
      <c r="CD29">
        <f>SUM(AL$13:AL29)*BH29/1000</f>
        <v>9.2862869551908567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6"/>
        <v>9.2862869551908567</v>
      </c>
      <c r="DA29">
        <f t="shared" si="40"/>
        <v>2039</v>
      </c>
      <c r="DB29" s="80">
        <f>IFERROR(VLOOKUP($DA29,'Table 3 TransCost'!$AA$10:$AD$32,4,FALSE),0)</f>
        <v>71.81</v>
      </c>
      <c r="DC29" s="150">
        <f t="shared" si="44"/>
        <v>0</v>
      </c>
    </row>
    <row r="30" spans="2:107" hidden="1">
      <c r="B30" s="13">
        <f t="shared" si="41"/>
        <v>2040</v>
      </c>
      <c r="C30" s="8">
        <f t="shared" si="21"/>
        <v>118.57677704532932</v>
      </c>
      <c r="D30" s="42"/>
      <c r="E30" s="8">
        <f t="shared" ca="1" si="42"/>
        <v>15.341647868331636</v>
      </c>
      <c r="F30" s="34"/>
      <c r="G30" s="12">
        <f t="shared" ca="1" si="45"/>
        <v>61.158434874112537</v>
      </c>
      <c r="H30" s="34"/>
      <c r="I30" s="150"/>
      <c r="J30" s="150"/>
      <c r="M30" s="99"/>
      <c r="O30">
        <f t="shared" si="22"/>
        <v>2040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D30">
        <v>0</v>
      </c>
      <c r="AE30">
        <v>0</v>
      </c>
      <c r="AF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G30">
        <f t="shared" si="43"/>
        <v>2040</v>
      </c>
      <c r="BH30" s="114">
        <f>IFERROR(VLOOKUP($O30,'Table 3 PNC Wind_2026'!$B$10:$L$37,11,FALSE),0)</f>
        <v>258.21000000000004</v>
      </c>
      <c r="BI30" s="114">
        <f>IFERROR(VLOOKUP($O30,'Table 3 PNC Wind_2038'!$B$10:$L$37,11,FALSE),0)</f>
        <v>260.93</v>
      </c>
      <c r="BJ30" s="114">
        <f>IFERROR(VLOOKUP($O30,'Table 3 WV Wind_2026'!$B$10:$L$37,11,FALSE),0)</f>
        <v>235.86999999999998</v>
      </c>
      <c r="BK30" s="114">
        <f>IFERROR(VLOOKUP($O30,'Table 3 WYE Wind_2029'!$B$10:$L$37,11,FALSE),0)</f>
        <v>255.19</v>
      </c>
      <c r="BL30" s="114">
        <f>IFERROR(VLOOKUP($O30,'Table 3 WYE_DJ Wind_2028'!$B$10:$L$37,11,FALSE),0)</f>
        <v>175.59</v>
      </c>
      <c r="BM30" s="114">
        <f>IFERROR(VLOOKUP($O30,'Table 3 YK WindwS_2029'!$B$10:$L$37,11,FALSE),0)</f>
        <v>237.06</v>
      </c>
      <c r="BN30" s="114">
        <f>IFERROR(VLOOKUP($O30,'Table 3 PV wS Borah_2026'!$B$10:$K$37,10,FALSE),0)</f>
        <v>247.54</v>
      </c>
      <c r="BO30" s="326"/>
      <c r="BP30" s="114">
        <f>IFERROR(VLOOKUP($O30,'Table 3 PV wS SOR_2030'!$B$10:$K$37,10,FALSE),0)</f>
        <v>271.58000000000004</v>
      </c>
      <c r="BQ30" s="114">
        <f>IFERROR(VLOOKUP($O30,'Table 3 PV wS YK_2029'!$B$10:$K$37,10,FALSE),0)</f>
        <v>238.24</v>
      </c>
      <c r="BR30" s="114">
        <f>IFERROR(VLOOKUP($O30,'Table 3 PV wS UTN_2031'!$B$15:$K$37,10,FALSE),0)</f>
        <v>230.59</v>
      </c>
      <c r="BS30" s="114">
        <f>IFERROR(VLOOKUP($O30,'Table 3 PV wS UTS_2032'!B32:K54,10,FALSE),0)</f>
        <v>227.28</v>
      </c>
      <c r="BT30" s="325"/>
      <c r="BU30" s="326"/>
      <c r="BV30" s="114">
        <f>IFERROR(VLOOKUP($O30,'Table 3 StdBat  DJ_2029'!$B$15:$K$37,10,FALSE),0)</f>
        <v>138.06</v>
      </c>
      <c r="BW30" s="114">
        <f>IFERROR(VLOOKUP($O30,'Table 3 NonE 206MW (UTN) 2031'!$B$14:$M$36,12,FALSE),0)</f>
        <v>134.97</v>
      </c>
      <c r="BX30" s="114">
        <f>IFERROR(VLOOKUP($O30,'Table 3 NonE 206MW (Hgtn)'!$B$14:$M$36,12,FALSE),0)</f>
        <v>110.77</v>
      </c>
      <c r="BY30" s="325"/>
      <c r="CD30">
        <f>SUM(AL$13:AL30)*BH30/1000</f>
        <v>9.4861421636263454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6"/>
        <v>9.4861421636263454</v>
      </c>
      <c r="DA30">
        <f t="shared" si="40"/>
        <v>2040</v>
      </c>
      <c r="DB30" s="80">
        <f>IFERROR(VLOOKUP($DA30,'Table 3 TransCost'!$AA$10:$AD$32,4,FALSE),0)</f>
        <v>73.36</v>
      </c>
      <c r="DC30" s="150">
        <f t="shared" si="44"/>
        <v>0</v>
      </c>
    </row>
    <row r="31" spans="2:107" hidden="1">
      <c r="B31" s="13">
        <f t="shared" si="41"/>
        <v>2041</v>
      </c>
      <c r="C31" s="8" t="e">
        <f t="shared" si="21"/>
        <v>#N/A</v>
      </c>
      <c r="D31" s="42"/>
      <c r="E31" s="8" t="e">
        <f t="shared" ca="1" si="42"/>
        <v>#DIV/0!</v>
      </c>
      <c r="F31" s="34"/>
      <c r="G31" s="12" t="e">
        <f t="shared" ca="1" si="45"/>
        <v>#DIV/0!</v>
      </c>
      <c r="H31" s="34"/>
      <c r="I31" s="150"/>
      <c r="J31" s="150"/>
      <c r="M31" s="99"/>
      <c r="O31">
        <f t="shared" si="22"/>
        <v>2041</v>
      </c>
      <c r="P31" t="e">
        <v>#N/A</v>
      </c>
      <c r="Q31" t="e">
        <v>#N/A</v>
      </c>
      <c r="R31" t="e">
        <v>#N/A</v>
      </c>
      <c r="S31" t="e">
        <v>#N/A</v>
      </c>
      <c r="T31" t="e">
        <v>#N/A</v>
      </c>
      <c r="U31" t="e">
        <v>#N/A</v>
      </c>
      <c r="V31" t="e">
        <v>#N/A</v>
      </c>
      <c r="W31" t="e">
        <v>#N/A</v>
      </c>
      <c r="X31" t="e">
        <v>#N/A</v>
      </c>
      <c r="Y31" t="e">
        <v>#N/A</v>
      </c>
      <c r="Z31" t="e">
        <v>#N/A</v>
      </c>
      <c r="AA31" t="e">
        <v>#N/A</v>
      </c>
      <c r="AD31" t="e">
        <v>#N/A</v>
      </c>
      <c r="AE31" t="e">
        <v>#N/A</v>
      </c>
      <c r="AF31" t="e">
        <v>#N/A</v>
      </c>
      <c r="AL31" t="e">
        <f t="shared" ref="AL31:AL32" si="47">P31/P$5</f>
        <v>#N/A</v>
      </c>
      <c r="AM31" t="e">
        <f t="shared" ref="AM31:AM34" si="48">Q31/Q$5</f>
        <v>#N/A</v>
      </c>
      <c r="AN31" t="e">
        <f t="shared" ref="AN31:AN34" si="49">R31/R$5</f>
        <v>#N/A</v>
      </c>
      <c r="AO31" t="e">
        <f t="shared" ref="AO31:AO34" si="50">S31/S$5</f>
        <v>#N/A</v>
      </c>
      <c r="AP31" t="e">
        <f t="shared" ref="AP31:AP34" si="51">T31/T$5</f>
        <v>#N/A</v>
      </c>
      <c r="AQ31" t="e">
        <f t="shared" ref="AQ31:AQ34" si="52">U31/U$5</f>
        <v>#N/A</v>
      </c>
      <c r="AR31" t="e">
        <f t="shared" ref="AR31:AR34" si="53">V31/V$5</f>
        <v>#N/A</v>
      </c>
      <c r="AS31" t="e">
        <f t="shared" ref="AS31:AS34" si="54">W31/W$5</f>
        <v>#N/A</v>
      </c>
      <c r="AT31" t="e">
        <f t="shared" ref="AT31:AT34" si="55">X31/X$5</f>
        <v>#N/A</v>
      </c>
      <c r="AU31" t="e">
        <f t="shared" ref="AU31:AU34" si="56">Y31/Y$5</f>
        <v>#N/A</v>
      </c>
      <c r="AV31" t="e">
        <f t="shared" ref="AV31:AV34" si="57">Z31/Z$5</f>
        <v>#N/A</v>
      </c>
      <c r="AW31" t="e">
        <f t="shared" ref="AW31:AW34" si="58">AA31/AA$5</f>
        <v>#N/A</v>
      </c>
      <c r="AX31">
        <f t="shared" ref="AX31:AX34" si="59">AB31/AB$5</f>
        <v>0</v>
      </c>
      <c r="AY31">
        <f t="shared" ref="AY31:AY34" si="60">AC31/AC$5</f>
        <v>0</v>
      </c>
      <c r="AZ31" t="e">
        <f t="shared" ref="AZ31:AZ34" si="61">AD31/AD$5</f>
        <v>#N/A</v>
      </c>
      <c r="BA31" t="e">
        <f t="shared" ref="BA31:BA34" si="62">AE31/AE$5</f>
        <v>#N/A</v>
      </c>
      <c r="BB31" t="e">
        <f t="shared" ref="BB31:BB34" si="63">AF31/AF$5</f>
        <v>#N/A</v>
      </c>
      <c r="BG31">
        <f t="shared" ref="BG31:BG32" si="64">O31</f>
        <v>2041</v>
      </c>
      <c r="BH31" s="114">
        <f>IFERROR(VLOOKUP($O31,'Table 3 PNC Wind_2026'!$B$10:$L$37,11,FALSE),0)</f>
        <v>263.77</v>
      </c>
      <c r="BI31" s="114">
        <f>IFERROR(VLOOKUP($O31,'Table 3 PNC Wind_2038'!$B$10:$L$37,11,FALSE),0)</f>
        <v>266.55</v>
      </c>
      <c r="BJ31" s="114">
        <f>IFERROR(VLOOKUP($O31,'Table 3 WV Wind_2026'!$B$10:$L$37,11,FALSE),0)</f>
        <v>240.95</v>
      </c>
      <c r="BK31" s="114">
        <f>IFERROR(VLOOKUP($O31,'Table 3 WYE Wind_2029'!$B$10:$L$37,11,FALSE),0)</f>
        <v>260.68999999999994</v>
      </c>
      <c r="BL31" s="114">
        <f>IFERROR(VLOOKUP($O31,'Table 3 WYE_DJ Wind_2028'!$B$10:$L$37,11,FALSE),0)</f>
        <v>179.37</v>
      </c>
      <c r="BM31" s="114">
        <f>IFERROR(VLOOKUP($O31,'Table 3 YK WindwS_2029'!$B$10:$L$37,11,FALSE),0)</f>
        <v>242.16</v>
      </c>
      <c r="BN31" s="114">
        <f>IFERROR(VLOOKUP($O31,'Table 3 PV wS Borah_2026'!$B$10:$K$37,10,FALSE),0)</f>
        <v>252.87</v>
      </c>
      <c r="BO31" s="326"/>
      <c r="BP31" s="114">
        <f>IFERROR(VLOOKUP($O31,'Table 3 PV wS SOR_2030'!$B$10:$K$37,10,FALSE),0)</f>
        <v>277.43</v>
      </c>
      <c r="BQ31" s="114">
        <f>IFERROR(VLOOKUP($O31,'Table 3 PV wS YK_2029'!$B$10:$K$37,10,FALSE),0)</f>
        <v>243.37</v>
      </c>
      <c r="BR31" s="114">
        <f>IFERROR(VLOOKUP($O31,'Table 3 PV wS UTN_2031'!$B$15:$K$37,10,FALSE),0)</f>
        <v>235.56</v>
      </c>
      <c r="BS31" s="114">
        <f>IFERROR(VLOOKUP($O31,'Table 3 PV wS UTS_2032'!B33:K55,10,FALSE),0)</f>
        <v>232.17999999999998</v>
      </c>
      <c r="BT31" s="325"/>
      <c r="BU31" s="326"/>
      <c r="BV31" s="114">
        <f>IFERROR(VLOOKUP($O31,'Table 3 StdBat  DJ_2029'!$B$15:$K$37,10,FALSE),0)</f>
        <v>141.04</v>
      </c>
      <c r="BW31" s="114">
        <f>IFERROR(VLOOKUP($O31,'Table 3 NonE 206MW (UTN) 2031'!$B$14:$M$36,12,FALSE),0)</f>
        <v>137.87</v>
      </c>
      <c r="BX31" s="114">
        <f>IFERROR(VLOOKUP($O31,'Table 3 NonE 206MW (Hgtn)'!$B$14:$M$36,12,FALSE),0)</f>
        <v>113.16</v>
      </c>
      <c r="BY31" s="325"/>
      <c r="CD31" t="e">
        <f>SUM(AL$13:AL31)*BH31/1000</f>
        <v>#N/A</v>
      </c>
      <c r="CE31" t="e">
        <f>SUM(AM$13:AM31)*BI31/1000</f>
        <v>#N/A</v>
      </c>
      <c r="CF31" t="e">
        <f>SUM(AN$13:AN31)*BJ31/1000</f>
        <v>#N/A</v>
      </c>
      <c r="CG31" t="e">
        <f>SUM(AO$13:AO31)*BK31/1000</f>
        <v>#N/A</v>
      </c>
      <c r="CH31" t="e">
        <f>SUM(AP$13:AP31)*BL31/1000</f>
        <v>#N/A</v>
      </c>
      <c r="CI31" t="e">
        <f>SUM(AQ$13:AQ31)*BM31/1000</f>
        <v>#N/A</v>
      </c>
      <c r="CJ31" t="e">
        <f>SUM(AR$13:AR31)*BN31/1000</f>
        <v>#N/A</v>
      </c>
      <c r="CK31" t="e">
        <f>SUM(AS$13:AS31)*BO31/1000</f>
        <v>#N/A</v>
      </c>
      <c r="CL31" t="e">
        <f>SUM(AT$13:AT31)*BP31/1000</f>
        <v>#N/A</v>
      </c>
      <c r="CM31" t="e">
        <f>SUM(AU$13:AU31)*BQ31/1000</f>
        <v>#N/A</v>
      </c>
      <c r="CN31" t="e">
        <f>SUM(AV$13:AV31)*BR31/1000</f>
        <v>#N/A</v>
      </c>
      <c r="CO31" t="e">
        <f>SUM(AW$13:AW31)*BS31/1000</f>
        <v>#N/A</v>
      </c>
      <c r="CP31">
        <f>SUM(AX$13:AX31)*BT31/1000</f>
        <v>0</v>
      </c>
      <c r="CQ31">
        <f>SUM(AY$13:AY31)*BU31/1000</f>
        <v>0</v>
      </c>
      <c r="CR31" t="e">
        <f>SUM(AZ$13:AZ31)*BV31/1000</f>
        <v>#N/A</v>
      </c>
      <c r="CS31" t="e">
        <f>SUM(BA$13:BA31)*BW31/1000</f>
        <v>#N/A</v>
      </c>
      <c r="CT31" t="e">
        <f>SUM(BB$13:BB31)*BX31/1000</f>
        <v>#N/A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 t="e">
        <f t="shared" ref="CY31:CY32" si="65">SUM(CD31:CX31)</f>
        <v>#N/A</v>
      </c>
      <c r="DA31">
        <f t="shared" ref="DA31:DA32" si="66">O31</f>
        <v>2041</v>
      </c>
      <c r="DB31" s="80">
        <f>IFERROR(VLOOKUP($DA31,'Table 3 TransCost'!$AA$10:$AD$32,4,FALSE),0)</f>
        <v>74.94</v>
      </c>
      <c r="DC31" s="150">
        <f t="shared" ref="DC31:DC32" si="67">$DB$5*DB31/1000</f>
        <v>0</v>
      </c>
    </row>
    <row r="32" spans="2:107" hidden="1">
      <c r="B32" s="13">
        <f t="shared" si="41"/>
        <v>2042</v>
      </c>
      <c r="C32" s="8" t="e">
        <f t="shared" si="21"/>
        <v>#N/A</v>
      </c>
      <c r="D32" s="42"/>
      <c r="E32" s="8" t="e">
        <f t="shared" ca="1" si="42"/>
        <v>#DIV/0!</v>
      </c>
      <c r="F32" s="34"/>
      <c r="G32" s="12" t="e">
        <f t="shared" ca="1" si="45"/>
        <v>#DIV/0!</v>
      </c>
      <c r="H32" s="34"/>
      <c r="I32" s="150"/>
      <c r="J32" s="150"/>
      <c r="M32" s="99"/>
      <c r="O32">
        <f t="shared" si="22"/>
        <v>2042</v>
      </c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G32" s="303"/>
      <c r="AL32">
        <f t="shared" si="47"/>
        <v>0</v>
      </c>
      <c r="AM32">
        <f t="shared" si="48"/>
        <v>0</v>
      </c>
      <c r="AN32">
        <f t="shared" si="49"/>
        <v>0</v>
      </c>
      <c r="AO32">
        <f t="shared" si="50"/>
        <v>0</v>
      </c>
      <c r="AP32">
        <f t="shared" si="51"/>
        <v>0</v>
      </c>
      <c r="AQ32">
        <f t="shared" si="52"/>
        <v>0</v>
      </c>
      <c r="AR32">
        <f t="shared" si="53"/>
        <v>0</v>
      </c>
      <c r="AS32">
        <f t="shared" si="54"/>
        <v>0</v>
      </c>
      <c r="AT32">
        <f t="shared" si="55"/>
        <v>0</v>
      </c>
      <c r="AU32">
        <f t="shared" si="56"/>
        <v>0</v>
      </c>
      <c r="AV32">
        <f t="shared" si="57"/>
        <v>0</v>
      </c>
      <c r="AW32">
        <f t="shared" si="58"/>
        <v>0</v>
      </c>
      <c r="AX32">
        <f t="shared" si="59"/>
        <v>0</v>
      </c>
      <c r="AY32">
        <f t="shared" si="60"/>
        <v>0</v>
      </c>
      <c r="AZ32">
        <f t="shared" si="61"/>
        <v>0</v>
      </c>
      <c r="BA32">
        <f t="shared" si="62"/>
        <v>0</v>
      </c>
      <c r="BB32">
        <f t="shared" si="63"/>
        <v>0</v>
      </c>
      <c r="BG32">
        <f t="shared" si="64"/>
        <v>2042</v>
      </c>
      <c r="BH32" s="114">
        <f>IFERROR(VLOOKUP($O32,'Table 3 PNC Wind_2026'!$B$10:$L$37,11,FALSE),0)</f>
        <v>269.45</v>
      </c>
      <c r="BI32" s="114">
        <f>IFERROR(VLOOKUP($O32,'Table 3 PNC Wind_2038'!$B$10:$L$37,11,FALSE),0)</f>
        <v>272.29000000000002</v>
      </c>
      <c r="BJ32" s="114">
        <f>IFERROR(VLOOKUP($O32,'Table 3 WV Wind_2026'!$B$10:$L$37,11,FALSE),0)</f>
        <v>246.14</v>
      </c>
      <c r="BK32" s="114">
        <f>IFERROR(VLOOKUP($O32,'Table 3 WYE Wind_2029'!$B$10:$L$37,11,FALSE),0)</f>
        <v>266.29999999999995</v>
      </c>
      <c r="BL32" s="114">
        <f>IFERROR(VLOOKUP($O32,'Table 3 WYE_DJ Wind_2028'!$B$10:$L$37,11,FALSE),0)</f>
        <v>183.23</v>
      </c>
      <c r="BM32" s="114">
        <f>IFERROR(VLOOKUP($O32,'Table 3 YK WindwS_2029'!$B$10:$L$37,11,FALSE),0)</f>
        <v>247.38</v>
      </c>
      <c r="BN32" s="114">
        <f>IFERROR(VLOOKUP($O32,'Table 3 PV wS Borah_2026'!$B$10:$K$37,10,FALSE),0)</f>
        <v>258.31</v>
      </c>
      <c r="BO32" s="326"/>
      <c r="BP32" s="114">
        <f>IFERROR(VLOOKUP($O32,'Table 3 PV wS SOR_2030'!$B$10:$K$37,10,FALSE),0)</f>
        <v>283.41000000000003</v>
      </c>
      <c r="BQ32" s="114">
        <f>IFERROR(VLOOKUP($O32,'Table 3 PV wS YK_2029'!$B$10:$K$37,10,FALSE),0)</f>
        <v>248.62</v>
      </c>
      <c r="BR32" s="114">
        <f>IFERROR(VLOOKUP($O32,'Table 3 PV wS UTN_2031'!$B$15:$K$37,10,FALSE),0)</f>
        <v>240.63</v>
      </c>
      <c r="BS32" s="114">
        <f>IFERROR(VLOOKUP($O32,'Table 3 PV wS UTS_2032'!B34:K56,10,FALSE),0)</f>
        <v>237.18</v>
      </c>
      <c r="BT32" s="325"/>
      <c r="BU32" s="326"/>
      <c r="BV32" s="114">
        <f>IFERROR(VLOOKUP($O32,'Table 3 StdBat  DJ_2029'!$B$15:$K$37,10,FALSE),0)</f>
        <v>144.07999999999998</v>
      </c>
      <c r="BW32" s="114">
        <f>IFERROR(VLOOKUP($O32,'Table 3 NonE 206MW (UTN) 2031'!$B$14:$M$36,12,FALSE),0)</f>
        <v>140.84</v>
      </c>
      <c r="BX32" s="114">
        <f>IFERROR(VLOOKUP($O32,'Table 3 NonE 206MW (Hgtn)'!$B$14:$M$36,12,FALSE),0)</f>
        <v>115.6</v>
      </c>
      <c r="BY32" s="325"/>
      <c r="CD32" t="e">
        <f>SUM(AL$13:AL32)*BH32/1000</f>
        <v>#N/A</v>
      </c>
      <c r="CE32" t="e">
        <f>SUM(AM$13:AM32)*BI32/1000</f>
        <v>#N/A</v>
      </c>
      <c r="CF32" t="e">
        <f>SUM(AN$13:AN32)*BJ32/1000</f>
        <v>#N/A</v>
      </c>
      <c r="CG32" t="e">
        <f>SUM(AO$13:AO32)*BK32/1000</f>
        <v>#N/A</v>
      </c>
      <c r="CH32" t="e">
        <f>SUM(AP$13:AP32)*BL32/1000</f>
        <v>#N/A</v>
      </c>
      <c r="CI32" t="e">
        <f>SUM(AQ$13:AQ32)*BM32/1000</f>
        <v>#N/A</v>
      </c>
      <c r="CJ32" t="e">
        <f>SUM(AR$13:AR32)*BN32/1000</f>
        <v>#N/A</v>
      </c>
      <c r="CK32" t="e">
        <f>SUM(AS$13:AS32)*BO32/1000</f>
        <v>#N/A</v>
      </c>
      <c r="CL32" t="e">
        <f>SUM(AT$13:AT32)*BP32/1000</f>
        <v>#N/A</v>
      </c>
      <c r="CM32" t="e">
        <f>SUM(AU$13:AU32)*BQ32/1000</f>
        <v>#N/A</v>
      </c>
      <c r="CN32" t="e">
        <f>SUM(AV$13:AV32)*BR32/1000</f>
        <v>#N/A</v>
      </c>
      <c r="CO32" t="e">
        <f>SUM(AW$13:AW32)*BS32/1000</f>
        <v>#N/A</v>
      </c>
      <c r="CP32">
        <f>SUM(AX$13:AX32)*BT32/1000</f>
        <v>0</v>
      </c>
      <c r="CQ32">
        <f>SUM(AY$13:AY32)*BU32/1000</f>
        <v>0</v>
      </c>
      <c r="CR32" t="e">
        <f>SUM(AZ$13:AZ32)*BV32/1000</f>
        <v>#N/A</v>
      </c>
      <c r="CS32" t="e">
        <f>SUM(BA$13:BA32)*BW32/1000</f>
        <v>#N/A</v>
      </c>
      <c r="CT32" t="e">
        <f>SUM(BB$13:BB32)*BX32/1000</f>
        <v>#N/A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 t="e">
        <f t="shared" si="65"/>
        <v>#N/A</v>
      </c>
      <c r="DA32">
        <f t="shared" si="66"/>
        <v>2042</v>
      </c>
      <c r="DB32" s="80">
        <f>IFERROR(VLOOKUP($DA32,'Table 3 TransCost'!$AA$10:$AD$32,4,FALSE),0)</f>
        <v>76.55</v>
      </c>
      <c r="DC32" s="150">
        <f t="shared" si="67"/>
        <v>0</v>
      </c>
    </row>
    <row r="33" spans="1:107" hidden="1">
      <c r="B33" s="13">
        <f t="shared" si="41"/>
        <v>2043</v>
      </c>
      <c r="C33" s="8" t="e">
        <f t="shared" si="21"/>
        <v>#N/A</v>
      </c>
      <c r="D33" s="42"/>
      <c r="E33" s="8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4"/>
      <c r="G33" s="12" t="e">
        <f t="shared" ca="1" si="45"/>
        <v>#DIV/0!</v>
      </c>
      <c r="H33" s="34"/>
      <c r="I33" s="150"/>
      <c r="J33" s="150"/>
      <c r="M33" s="99"/>
      <c r="O33">
        <f t="shared" ref="O33" si="68">B33</f>
        <v>2043</v>
      </c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G33" s="303"/>
      <c r="AJ33">
        <v>0</v>
      </c>
      <c r="AL33">
        <f t="shared" si="23"/>
        <v>0</v>
      </c>
      <c r="AM33">
        <f t="shared" si="48"/>
        <v>0</v>
      </c>
      <c r="AN33">
        <f t="shared" si="49"/>
        <v>0</v>
      </c>
      <c r="AO33">
        <f t="shared" si="50"/>
        <v>0</v>
      </c>
      <c r="AP33">
        <f t="shared" si="51"/>
        <v>0</v>
      </c>
      <c r="AQ33">
        <f t="shared" si="52"/>
        <v>0</v>
      </c>
      <c r="AR33">
        <f t="shared" si="53"/>
        <v>0</v>
      </c>
      <c r="AS33">
        <f t="shared" si="54"/>
        <v>0</v>
      </c>
      <c r="AT33">
        <f t="shared" si="55"/>
        <v>0</v>
      </c>
      <c r="AU33">
        <f t="shared" si="56"/>
        <v>0</v>
      </c>
      <c r="AV33">
        <f t="shared" si="57"/>
        <v>0</v>
      </c>
      <c r="AW33">
        <f t="shared" si="58"/>
        <v>0</v>
      </c>
      <c r="AX33">
        <f t="shared" si="59"/>
        <v>0</v>
      </c>
      <c r="AY33">
        <f t="shared" si="60"/>
        <v>0</v>
      </c>
      <c r="AZ33">
        <f t="shared" si="61"/>
        <v>0</v>
      </c>
      <c r="BA33">
        <f t="shared" si="62"/>
        <v>0</v>
      </c>
      <c r="BB33">
        <f t="shared" si="63"/>
        <v>0</v>
      </c>
      <c r="BG33">
        <f t="shared" ref="BG33:BG34" si="69">O33</f>
        <v>2043</v>
      </c>
      <c r="BH33" s="114">
        <f>IFERROR(VLOOKUP($O33,'Table 3 PNC Wind_2026'!$B$10:$L$37,11,FALSE),0)</f>
        <v>275.26</v>
      </c>
      <c r="BI33" s="114">
        <f>IFERROR(VLOOKUP($O33,'Table 3 PNC Wind_2038'!$B$10:$L$37,11,FALSE),0)</f>
        <v>278.16000000000003</v>
      </c>
      <c r="BJ33" s="114">
        <f>IFERROR(VLOOKUP($O33,'Table 3 WV Wind_2026'!$B$10:$L$37,11,FALSE),0)</f>
        <v>251.45000000000002</v>
      </c>
      <c r="BK33" s="114">
        <f>IFERROR(VLOOKUP($O33,'Table 3 WYE Wind_2029'!$B$10:$L$37,11,FALSE),0)</f>
        <v>272.04000000000002</v>
      </c>
      <c r="BL33" s="114">
        <f>IFERROR(VLOOKUP($O33,'Table 3 WYE_DJ Wind_2028'!$B$10:$L$37,11,FALSE),0)</f>
        <v>187.18</v>
      </c>
      <c r="BM33" s="114">
        <f>IFERROR(VLOOKUP($O33,'Table 3 YK WindwS_2029'!$B$10:$L$37,11,FALSE),0)</f>
        <v>252.71</v>
      </c>
      <c r="BN33" s="114">
        <f>IFERROR(VLOOKUP($O33,'Table 3 PV wS Borah_2026'!$B$10:$K$37,10,FALSE),0)</f>
        <v>263.88</v>
      </c>
      <c r="BO33" s="326"/>
      <c r="BP33" s="114">
        <f>IFERROR(VLOOKUP($O33,'Table 3 PV wS SOR_2030'!$B$10:$K$37,10,FALSE),0)</f>
        <v>289.51</v>
      </c>
      <c r="BQ33" s="114">
        <f>IFERROR(VLOOKUP($O33,'Table 3 PV wS YK_2029'!$B$10:$K$37,10,FALSE),0)</f>
        <v>253.97</v>
      </c>
      <c r="BR33" s="114">
        <f>IFERROR(VLOOKUP($O33,'Table 3 PV wS UTN_2031'!$B$15:$K$37,10,FALSE),0)</f>
        <v>245.82</v>
      </c>
      <c r="BS33" s="114">
        <f>IFERROR(VLOOKUP($O33,'Table 3 PV wS UTS_2032'!B35:K57,10,FALSE),0)</f>
        <v>242.29</v>
      </c>
      <c r="BT33" s="325"/>
      <c r="BU33" s="326"/>
      <c r="BV33" s="114">
        <f>IFERROR(VLOOKUP($O33,'Table 3 StdBat  DJ_2029'!$B$15:$K$37,10,FALSE),0)</f>
        <v>147.18</v>
      </c>
      <c r="BW33" s="114">
        <f>IFERROR(VLOOKUP($O33,'Table 3 NonE 206MW (UTN) 2031'!$B$14:$M$36,12,FALSE),0)</f>
        <v>0</v>
      </c>
      <c r="BX33" s="114">
        <f>IFERROR(VLOOKUP($O33,'Table 3 NonE 206MW (Hgtn)'!$B$14:$M$36,12,FALSE),0)</f>
        <v>0</v>
      </c>
      <c r="BY33" s="325"/>
      <c r="CD33" t="e">
        <f>SUM(AL$13:AL33)*BH33/1000</f>
        <v>#N/A</v>
      </c>
      <c r="CE33" t="e">
        <f>SUM(AM$13:AM33)*BI33/1000</f>
        <v>#N/A</v>
      </c>
      <c r="CF33" t="e">
        <f>SUM(AN$13:AN33)*BJ33/1000</f>
        <v>#N/A</v>
      </c>
      <c r="CG33" t="e">
        <f>SUM(AO$13:AO33)*BK33/1000</f>
        <v>#N/A</v>
      </c>
      <c r="CH33" t="e">
        <f>SUM(AP$13:AP33)*BL33/1000</f>
        <v>#N/A</v>
      </c>
      <c r="CI33" t="e">
        <f>SUM(AQ$13:AQ33)*BM33/1000</f>
        <v>#N/A</v>
      </c>
      <c r="CJ33" t="e">
        <f>SUM(AR$13:AR33)*BN33/1000</f>
        <v>#N/A</v>
      </c>
      <c r="CK33" t="e">
        <f>SUM(AS$13:AS33)*BO33/1000</f>
        <v>#N/A</v>
      </c>
      <c r="CL33" t="e">
        <f>SUM(AT$13:AT33)*BP33/1000</f>
        <v>#N/A</v>
      </c>
      <c r="CM33" t="e">
        <f>SUM(AU$13:AU33)*BQ33/1000</f>
        <v>#N/A</v>
      </c>
      <c r="CN33" t="e">
        <f>SUM(AV$13:AV33)*BR33/1000</f>
        <v>#N/A</v>
      </c>
      <c r="CO33" t="e">
        <f>SUM(AW$13:AW33)*BS33/1000</f>
        <v>#N/A</v>
      </c>
      <c r="CP33">
        <f>SUM(AX$13:AX33)*BT33/1000</f>
        <v>0</v>
      </c>
      <c r="CQ33">
        <f>SUM(AY$13:AY33)*BU33/1000</f>
        <v>0</v>
      </c>
      <c r="CR33" t="e">
        <f>SUM(AZ$13:AZ33)*BV33/1000</f>
        <v>#N/A</v>
      </c>
      <c r="CS33" t="e">
        <f>SUM(BA$13:BA33)*BW33/1000</f>
        <v>#N/A</v>
      </c>
      <c r="CT33" t="e">
        <f>SUM(BB$13:BB33)*BX33/1000</f>
        <v>#N/A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 t="e">
        <f t="shared" ref="CY33:CY34" si="70">SUM(CD33:CX33)</f>
        <v>#N/A</v>
      </c>
      <c r="DA33">
        <f t="shared" ref="DA33:DA34" si="71">O33</f>
        <v>2043</v>
      </c>
      <c r="DB33" s="80">
        <f>IFERROR(VLOOKUP($DA33,'Table 3 TransCost'!$AA$10:$AD$32,4,FALSE),0)</f>
        <v>78.2</v>
      </c>
      <c r="DC33" s="150">
        <f t="shared" ref="DC33:DC34" si="72">$DB$5*DB33/1000</f>
        <v>0</v>
      </c>
    </row>
    <row r="34" spans="1:107" hidden="1">
      <c r="B34" s="13">
        <f t="shared" si="41"/>
        <v>2044</v>
      </c>
      <c r="C34" s="8" t="e">
        <f t="shared" si="21"/>
        <v>#N/A</v>
      </c>
      <c r="D34" s="42"/>
      <c r="E34" s="8" t="e">
        <f t="shared" ref="E34" ca="1" si="73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4"/>
      <c r="G34" s="12" t="e">
        <f t="shared" ca="1" si="45"/>
        <v>#DIV/0!</v>
      </c>
      <c r="H34" s="34"/>
      <c r="I34" s="150"/>
      <c r="J34" s="150"/>
      <c r="M34" s="99"/>
      <c r="O34">
        <f t="shared" ref="O34" si="74">B34</f>
        <v>2044</v>
      </c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G34" s="303"/>
      <c r="AL34">
        <f t="shared" ref="AL34" si="75">P34/P$5</f>
        <v>0</v>
      </c>
      <c r="AM34">
        <f t="shared" si="48"/>
        <v>0</v>
      </c>
      <c r="AN34">
        <f t="shared" si="49"/>
        <v>0</v>
      </c>
      <c r="AO34">
        <f t="shared" si="50"/>
        <v>0</v>
      </c>
      <c r="AP34">
        <f t="shared" si="51"/>
        <v>0</v>
      </c>
      <c r="AQ34">
        <f t="shared" si="52"/>
        <v>0</v>
      </c>
      <c r="AR34">
        <f t="shared" si="53"/>
        <v>0</v>
      </c>
      <c r="AS34">
        <f t="shared" si="54"/>
        <v>0</v>
      </c>
      <c r="AT34">
        <f t="shared" si="55"/>
        <v>0</v>
      </c>
      <c r="AU34">
        <f t="shared" si="56"/>
        <v>0</v>
      </c>
      <c r="AV34">
        <f t="shared" si="57"/>
        <v>0</v>
      </c>
      <c r="AW34">
        <f t="shared" si="58"/>
        <v>0</v>
      </c>
      <c r="AX34">
        <f t="shared" si="59"/>
        <v>0</v>
      </c>
      <c r="AY34">
        <f t="shared" si="60"/>
        <v>0</v>
      </c>
      <c r="AZ34">
        <f t="shared" si="61"/>
        <v>0</v>
      </c>
      <c r="BA34">
        <f t="shared" si="62"/>
        <v>0</v>
      </c>
      <c r="BB34">
        <f t="shared" si="63"/>
        <v>0</v>
      </c>
      <c r="BG34">
        <f t="shared" si="69"/>
        <v>2044</v>
      </c>
      <c r="BH34" s="114">
        <f>IFERROR(VLOOKUP($O34,'Table 3 PNC Wind_2026'!$B$10:$L$37,11,FALSE),0)</f>
        <v>0</v>
      </c>
      <c r="BI34" s="114">
        <f>IFERROR(VLOOKUP($O34,'Table 3 PNC Wind_2038'!$B$10:$L$37,11,FALSE),0)</f>
        <v>0</v>
      </c>
      <c r="BJ34" s="114">
        <f>IFERROR(VLOOKUP($O34,'Table 3 WV Wind_2026'!$B$10:$L$37,11,FALSE),0)</f>
        <v>0</v>
      </c>
      <c r="BK34" s="114">
        <f>IFERROR(VLOOKUP($O34,'Table 3 WYE Wind_2029'!$B$10:$L$37,11,FALSE),0)</f>
        <v>0</v>
      </c>
      <c r="BL34" s="114">
        <f>IFERROR(VLOOKUP($O34,'Table 3 WYE_DJ Wind_2028'!$B$10:$L$37,11,FALSE),0)</f>
        <v>0</v>
      </c>
      <c r="BM34" s="114">
        <f>IFERROR(VLOOKUP($O34,'Table 3 YK WindwS_2029'!$B$10:$L$37,11,FALSE),0)</f>
        <v>0</v>
      </c>
      <c r="BN34" s="114">
        <f>IFERROR(VLOOKUP($O34,'Table 3 PV wS Borah_2026'!$B$10:$K$37,10,FALSE),0)</f>
        <v>0</v>
      </c>
      <c r="BO34" s="326"/>
      <c r="BP34" s="114">
        <f>IFERROR(VLOOKUP($O34,'Table 3 PV wS SOR_2030'!$B$10:$K$37,10,FALSE),0)</f>
        <v>0</v>
      </c>
      <c r="BQ34" s="114">
        <f>IFERROR(VLOOKUP($O34,'Table 3 PV wS YK_2029'!$B$10:$K$37,10,FALSE),0)</f>
        <v>0</v>
      </c>
      <c r="BR34" s="114">
        <f>IFERROR(VLOOKUP($O34,'Table 3 PV wS UTN_2031'!$B$15:$K$37,10,FALSE),0)</f>
        <v>0</v>
      </c>
      <c r="BS34" s="114">
        <f>IFERROR(VLOOKUP($O34,'Table 3 PV wS UTS_2032'!B36:K58,10,FALSE),0)</f>
        <v>0</v>
      </c>
      <c r="BT34" s="325"/>
      <c r="BU34" s="326"/>
      <c r="BV34" s="114">
        <f>IFERROR(VLOOKUP($O34,'Table 3 StdBat  DJ_2029'!$B$15:$K$37,10,FALSE),0)</f>
        <v>0</v>
      </c>
      <c r="BW34" s="114">
        <f>IFERROR(VLOOKUP($O34,'Table 3 NonE 206MW (UTN) 2031'!$B$14:$M$36,12,FALSE),0)</f>
        <v>0</v>
      </c>
      <c r="BX34" s="114">
        <f>IFERROR(VLOOKUP($O34,'Table 3 NonE 206MW (Hgtn)'!$B$14:$M$36,12,FALSE),0)</f>
        <v>0</v>
      </c>
      <c r="BY34" s="325"/>
      <c r="CD34" t="e">
        <f>SUM(AL$13:AL34)*BH34/1000</f>
        <v>#N/A</v>
      </c>
      <c r="CE34" t="e">
        <f>SUM(AM$13:AM34)*BI34/1000</f>
        <v>#N/A</v>
      </c>
      <c r="CF34" t="e">
        <f>SUM(AN$13:AN34)*BJ34/1000</f>
        <v>#N/A</v>
      </c>
      <c r="CG34" t="e">
        <f>SUM(AO$13:AO34)*BK34/1000</f>
        <v>#N/A</v>
      </c>
      <c r="CH34" t="e">
        <f>SUM(AP$13:AP34)*BL34/1000</f>
        <v>#N/A</v>
      </c>
      <c r="CI34" t="e">
        <f>SUM(AQ$13:AQ34)*BM34/1000</f>
        <v>#N/A</v>
      </c>
      <c r="CJ34" t="e">
        <f>SUM(AR$13:AR34)*BN34/1000</f>
        <v>#N/A</v>
      </c>
      <c r="CK34" t="e">
        <f>SUM(AS$13:AS34)*BO34/1000</f>
        <v>#N/A</v>
      </c>
      <c r="CL34" t="e">
        <f>SUM(AT$13:AT34)*BP34/1000</f>
        <v>#N/A</v>
      </c>
      <c r="CM34" t="e">
        <f>SUM(AU$13:AU34)*BQ34/1000</f>
        <v>#N/A</v>
      </c>
      <c r="CN34" t="e">
        <f>SUM(AV$13:AV34)*BR34/1000</f>
        <v>#N/A</v>
      </c>
      <c r="CO34" t="e">
        <f>SUM(AW$13:AW34)*BS34/1000</f>
        <v>#N/A</v>
      </c>
      <c r="CP34">
        <f>SUM(AX$13:AX34)*BT34/1000</f>
        <v>0</v>
      </c>
      <c r="CQ34">
        <f>SUM(AY$13:AY34)*BU34/1000</f>
        <v>0</v>
      </c>
      <c r="CR34" t="e">
        <f>SUM(AZ$13:AZ34)*BV34/1000</f>
        <v>#N/A</v>
      </c>
      <c r="CS34" t="e">
        <f>SUM(BA$13:BA34)*BW34/1000</f>
        <v>#N/A</v>
      </c>
      <c r="CT34" t="e">
        <f>SUM(BB$13:BB34)*BX34/1000</f>
        <v>#N/A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 t="e">
        <f t="shared" si="70"/>
        <v>#N/A</v>
      </c>
      <c r="DA34">
        <f t="shared" si="71"/>
        <v>2044</v>
      </c>
      <c r="DB34" s="80">
        <f>IFERROR(VLOOKUP($DA34,'Table 3 TransCost'!$AA$10:$AD$32,4,FALSE),0)</f>
        <v>79.89</v>
      </c>
      <c r="DC34" s="150">
        <f t="shared" si="72"/>
        <v>0</v>
      </c>
    </row>
    <row r="35" spans="1:107">
      <c r="B35" s="13"/>
      <c r="C35" s="8"/>
      <c r="D35" s="42"/>
      <c r="E35" s="8"/>
      <c r="F35" s="34"/>
      <c r="G35" s="12"/>
      <c r="H35" s="34"/>
      <c r="I35" s="150"/>
      <c r="J35" s="150"/>
      <c r="M35" s="99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BH35" s="114"/>
      <c r="BI35" s="114"/>
      <c r="BJ35" s="114"/>
      <c r="BK35" s="114"/>
      <c r="BL35" s="301"/>
      <c r="BM35" s="114"/>
      <c r="BN35" s="114"/>
      <c r="BO35" s="301"/>
      <c r="BP35" s="114"/>
      <c r="BQ35" s="301"/>
      <c r="BR35" s="114"/>
      <c r="BS35" s="114"/>
      <c r="BT35" s="114"/>
      <c r="BU35" s="301"/>
      <c r="BV35" s="114"/>
      <c r="BW35" s="114"/>
      <c r="BX35" s="285"/>
      <c r="BY35" s="114"/>
      <c r="DB35" s="80"/>
      <c r="DC35" s="150"/>
    </row>
    <row r="36" spans="1:107" hidden="1">
      <c r="B36" s="13"/>
      <c r="C36" s="8"/>
      <c r="D36" s="42"/>
      <c r="E36" s="8"/>
      <c r="F36" s="34"/>
      <c r="G36" s="12"/>
      <c r="H36" s="34"/>
      <c r="I36" s="150"/>
      <c r="J36" s="150"/>
      <c r="M36" s="99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BH36" s="114"/>
      <c r="BI36" s="114"/>
      <c r="BJ36" s="114"/>
      <c r="BK36" s="114"/>
      <c r="BL36" s="301"/>
      <c r="BM36" s="114"/>
      <c r="BN36" s="114"/>
      <c r="BO36" s="301"/>
      <c r="BP36" s="114"/>
      <c r="BQ36" s="301"/>
      <c r="BR36" s="114"/>
      <c r="BS36" s="114"/>
      <c r="BT36" s="114"/>
      <c r="BU36" s="301"/>
      <c r="BV36" s="114"/>
      <c r="BW36" s="114"/>
      <c r="BX36" s="285"/>
      <c r="BY36" s="114"/>
      <c r="DB36" s="80"/>
      <c r="DC36" s="150"/>
    </row>
    <row r="37" spans="1:107" hidden="1">
      <c r="B37" s="13"/>
      <c r="C37" s="8"/>
      <c r="D37" s="42"/>
      <c r="E37" s="8"/>
      <c r="F37" s="34"/>
      <c r="G37" s="12"/>
      <c r="H37" s="34"/>
      <c r="I37" s="150"/>
      <c r="J37" s="150"/>
      <c r="M37" s="99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BH37" s="114"/>
      <c r="BI37" s="114"/>
      <c r="BJ37" s="114"/>
      <c r="BK37" s="114"/>
      <c r="BL37" s="301"/>
      <c r="BM37" s="114"/>
      <c r="BN37" s="114"/>
      <c r="BO37" s="301"/>
      <c r="BP37" s="114"/>
      <c r="BQ37" s="301"/>
      <c r="BR37" s="114"/>
      <c r="BS37" s="114"/>
      <c r="BT37" s="114"/>
      <c r="BU37" s="301"/>
      <c r="BV37" s="114"/>
      <c r="BW37" s="114"/>
      <c r="BX37" s="285"/>
      <c r="BY37" s="114"/>
      <c r="DB37" s="80"/>
      <c r="DC37" s="150"/>
    </row>
    <row r="38" spans="1:107" hidden="1">
      <c r="B38" s="13"/>
      <c r="C38" s="8"/>
      <c r="D38" s="42"/>
      <c r="E38" s="8"/>
      <c r="F38" s="34"/>
      <c r="G38" s="12"/>
      <c r="H38" s="34"/>
      <c r="I38" s="150"/>
      <c r="J38" s="150"/>
      <c r="M38" s="99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BH38" s="114"/>
      <c r="BI38" s="114"/>
      <c r="BJ38" s="114"/>
      <c r="BK38" s="114"/>
      <c r="BL38" s="301"/>
      <c r="BM38" s="114"/>
      <c r="BN38" s="114"/>
      <c r="BO38" s="301"/>
      <c r="BP38" s="114"/>
      <c r="BQ38" s="301"/>
      <c r="BR38" s="114"/>
      <c r="BS38" s="114"/>
      <c r="BT38" s="114"/>
      <c r="BU38" s="301"/>
      <c r="BV38" s="114"/>
      <c r="BW38" s="114"/>
      <c r="BX38" s="285"/>
      <c r="BY38" s="114"/>
      <c r="DB38" s="80"/>
      <c r="DC38" s="150"/>
    </row>
    <row r="39" spans="1:107" hidden="1">
      <c r="B39" s="144"/>
      <c r="C39" s="8"/>
      <c r="D39" s="42"/>
      <c r="E39" s="8"/>
      <c r="F39" s="34"/>
      <c r="G39" s="8"/>
      <c r="H39" s="34"/>
      <c r="I39"/>
      <c r="M39" s="99"/>
      <c r="BL39" t="s">
        <v>152</v>
      </c>
      <c r="BO39" t="s">
        <v>152</v>
      </c>
      <c r="BU39" t="s">
        <v>152</v>
      </c>
      <c r="BX39" t="s">
        <v>152</v>
      </c>
      <c r="DB39" s="80"/>
      <c r="DC39" s="150"/>
    </row>
    <row r="40" spans="1:107" ht="12" customHeight="1">
      <c r="B40" s="144"/>
      <c r="C40" s="8"/>
      <c r="D40" s="42"/>
      <c r="E40" s="8"/>
      <c r="F40" s="34"/>
      <c r="G40" s="8"/>
      <c r="H40" s="34"/>
      <c r="I40"/>
      <c r="M40" s="99"/>
      <c r="N40" t="s">
        <v>92</v>
      </c>
      <c r="P40">
        <v>2026</v>
      </c>
      <c r="Q40">
        <v>2038</v>
      </c>
      <c r="R40">
        <v>2026</v>
      </c>
      <c r="S40">
        <v>2029</v>
      </c>
      <c r="T40">
        <v>2028</v>
      </c>
      <c r="U40">
        <v>2029</v>
      </c>
      <c r="V40">
        <v>2026</v>
      </c>
      <c r="W40">
        <v>2028</v>
      </c>
      <c r="X40">
        <v>2030</v>
      </c>
      <c r="Y40">
        <v>2029</v>
      </c>
      <c r="Z40">
        <v>2031</v>
      </c>
      <c r="AA40">
        <v>2032</v>
      </c>
      <c r="AD40">
        <v>2029</v>
      </c>
      <c r="AE40">
        <v>2031</v>
      </c>
      <c r="AF40">
        <v>2037</v>
      </c>
    </row>
    <row r="41" spans="1:107">
      <c r="A41" s="368"/>
      <c r="B41" s="368"/>
      <c r="D41" s="8"/>
      <c r="F41" s="34"/>
      <c r="H41" s="34"/>
      <c r="I41"/>
      <c r="N41" t="s">
        <v>153</v>
      </c>
      <c r="P41" s="169">
        <v>1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9"/>
      <c r="AC41" s="169"/>
      <c r="AD41" s="169">
        <v>0</v>
      </c>
      <c r="AE41" s="169">
        <v>0</v>
      </c>
      <c r="AF41" s="169">
        <v>0</v>
      </c>
      <c r="AG41" s="169"/>
      <c r="AH41" s="169"/>
      <c r="AI41" s="169"/>
      <c r="AJ41" s="169"/>
    </row>
    <row r="42" spans="1:107">
      <c r="A42" s="156"/>
      <c r="B42" s="49"/>
      <c r="I42" t="s">
        <v>217</v>
      </c>
      <c r="P42" s="146"/>
      <c r="Q42" s="146"/>
      <c r="R42" s="146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</row>
    <row r="43" spans="1:107">
      <c r="B43" s="44"/>
      <c r="C43" s="8"/>
      <c r="D43" s="8"/>
      <c r="H43" s="34"/>
      <c r="I43" s="97">
        <v>6.88E-2</v>
      </c>
    </row>
    <row r="44" spans="1:107">
      <c r="B44" s="44"/>
      <c r="E44" s="8"/>
      <c r="G44" s="158"/>
      <c r="H44" s="34"/>
    </row>
    <row r="45" spans="1:107">
      <c r="A45" s="369"/>
      <c r="B45" s="369"/>
      <c r="E45" s="8"/>
      <c r="G45" s="158"/>
      <c r="H45" s="34"/>
    </row>
    <row r="46" spans="1:107" ht="13.7" customHeight="1">
      <c r="A46" s="49"/>
      <c r="B46" s="49"/>
      <c r="H46" s="34"/>
      <c r="I46" t="s">
        <v>218</v>
      </c>
    </row>
    <row r="47" spans="1:107" ht="21" customHeight="1">
      <c r="A47" s="369" t="str">
        <f>'Table 5'!A9</f>
        <v>15 Year</v>
      </c>
      <c r="B47" s="369"/>
      <c r="E47" s="8"/>
      <c r="G47" s="96"/>
      <c r="H47" s="34"/>
      <c r="I47" t="s">
        <v>100</v>
      </c>
      <c r="K47" s="313">
        <v>2.155E-2</v>
      </c>
    </row>
    <row r="48" spans="1:107">
      <c r="B48" s="49" t="str">
        <f>" Levelized Prices (Nominal) @ "&amp;TEXT($I$43,"0.00%")&amp;" Discount Rate (1) (3) "</f>
        <v xml:space="preserve"> Levelized Prices (Nominal) @ 6.88% Discount Rate (1) (3) </v>
      </c>
      <c r="H48" s="34"/>
      <c r="I48"/>
      <c r="M48" s="99"/>
    </row>
    <row r="49" spans="1:19">
      <c r="B49" s="44" t="s">
        <v>8</v>
      </c>
      <c r="C49" s="8">
        <f ca="1">'Table 5'!$D$9*(Study_CF*8.76)/'Table 5'!$F$9</f>
        <v>69.314648837618194</v>
      </c>
      <c r="D49" s="8"/>
      <c r="H49" s="34"/>
      <c r="I49"/>
    </row>
    <row r="50" spans="1:19">
      <c r="B50" s="44" t="s">
        <v>31</v>
      </c>
      <c r="E50" s="8">
        <f ca="1">'Table 5'!$C$9/'Table 5'!$F$9</f>
        <v>17.587457920993295</v>
      </c>
      <c r="G50" s="158">
        <f ca="1">'Table 5'!$G$9</f>
        <v>44.451049881298694</v>
      </c>
      <c r="H50" s="34"/>
      <c r="I50" s="174"/>
      <c r="K50" s="80"/>
      <c r="S50" s="150"/>
    </row>
    <row r="51" spans="1:19" ht="8.25" customHeight="1">
      <c r="A51" s="369"/>
      <c r="B51" s="369"/>
      <c r="E51" s="8"/>
      <c r="G51" s="96"/>
      <c r="H51" s="34"/>
    </row>
    <row r="52" spans="1:19">
      <c r="A52" s="369">
        <f>'Table 5'!A7</f>
        <v>0</v>
      </c>
      <c r="B52" s="369"/>
      <c r="E52" s="8"/>
      <c r="G52" s="96"/>
      <c r="H52" s="34"/>
      <c r="I52"/>
      <c r="M52" s="99"/>
    </row>
    <row r="53" spans="1:19" hidden="1">
      <c r="B53" s="44" t="s">
        <v>8</v>
      </c>
      <c r="C53" s="8" t="e">
        <f ca="1">'Table 5'!$D$7*(Study_CF*8.76)/'Table 5'!$F$7</f>
        <v>#DIV/0!</v>
      </c>
      <c r="E53" s="8" t="e">
        <f>'Table 5'!$C$7/'Table 5'!$F$7</f>
        <v>#DIV/0!</v>
      </c>
      <c r="G53" s="158">
        <f>'Table 5'!$G$7</f>
        <v>0</v>
      </c>
      <c r="H53" s="34"/>
      <c r="I53"/>
    </row>
    <row r="54" spans="1:19" hidden="1">
      <c r="B54" s="44" t="s">
        <v>31</v>
      </c>
      <c r="C54" s="8"/>
      <c r="D54" s="8"/>
      <c r="H54" s="34"/>
      <c r="I54"/>
      <c r="S54" s="150"/>
    </row>
    <row r="55" spans="1:19" hidden="1">
      <c r="B55" s="44"/>
      <c r="E55" s="8"/>
      <c r="G55" s="158"/>
      <c r="H55" s="34"/>
    </row>
    <row r="56" spans="1:19" hidden="1">
      <c r="A56" s="369">
        <f>'Table 5'!A10</f>
        <v>0</v>
      </c>
      <c r="B56" s="369"/>
      <c r="E56" s="8"/>
      <c r="G56" s="96"/>
      <c r="H56" s="34"/>
    </row>
    <row r="57" spans="1:19" hidden="1">
      <c r="B57" s="44" t="s">
        <v>8</v>
      </c>
      <c r="C57" s="8" t="e">
        <f ca="1">'Table 5'!$D$10*(Study_CF*8.76)/'Table 5'!$F$10</f>
        <v>#DIV/0!</v>
      </c>
      <c r="E57" s="8" t="e">
        <f>'Table 5'!$C$10/'Table 5'!$F$10</f>
        <v>#DIV/0!</v>
      </c>
      <c r="G57" s="158">
        <f>'Table 5'!$G$10</f>
        <v>0</v>
      </c>
      <c r="H57" s="34"/>
    </row>
    <row r="58" spans="1:19" hidden="1">
      <c r="B58" s="44" t="s">
        <v>31</v>
      </c>
      <c r="C58" s="8"/>
      <c r="D58" s="8"/>
      <c r="H58" s="34"/>
    </row>
    <row r="59" spans="1:19">
      <c r="B59" s="49"/>
      <c r="H59" s="34"/>
    </row>
    <row r="60" spans="1:19">
      <c r="B60" s="44"/>
      <c r="C60" s="8"/>
      <c r="D60" s="8"/>
      <c r="H60" s="34"/>
    </row>
    <row r="61" spans="1:19">
      <c r="A61" s="369"/>
      <c r="B61" s="369"/>
      <c r="E61" s="8"/>
      <c r="G61" s="96"/>
      <c r="H61" s="34"/>
    </row>
    <row r="62" spans="1:19">
      <c r="B62" s="49"/>
      <c r="H62" s="34"/>
    </row>
    <row r="63" spans="1:19">
      <c r="B63" s="44"/>
      <c r="C63" s="8"/>
      <c r="D63" s="8"/>
      <c r="H63" s="34"/>
    </row>
    <row r="64" spans="1:19">
      <c r="B64" s="44"/>
      <c r="E64" s="8"/>
      <c r="G64" s="158"/>
      <c r="H64" s="34"/>
    </row>
    <row r="65" spans="1:13">
      <c r="E65" s="35"/>
      <c r="G65" s="35"/>
      <c r="H65" s="34"/>
      <c r="I65" s="96"/>
    </row>
    <row r="66" spans="1:13">
      <c r="B66" s="45"/>
      <c r="E66" s="34"/>
      <c r="F66" s="35"/>
      <c r="G66" s="34"/>
      <c r="H66" s="34"/>
      <c r="I66" s="96"/>
    </row>
    <row r="67" spans="1:13">
      <c r="F67" s="35"/>
      <c r="H67" s="34"/>
      <c r="I67" s="96"/>
    </row>
    <row r="70" spans="1:13">
      <c r="B70" s="85"/>
    </row>
    <row r="71" spans="1:13" ht="12.75" customHeight="1">
      <c r="B71" s="85"/>
    </row>
    <row r="72" spans="1:13" ht="12.75" customHeight="1">
      <c r="A72" s="3" t="b">
        <f>SUM(P13:AJ28)&gt;0</f>
        <v>1</v>
      </c>
      <c r="B72" s="85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1</v>
      </c>
      <c r="B73" s="9"/>
      <c r="C73" s="6"/>
      <c r="D73" s="6"/>
      <c r="E73" s="6"/>
      <c r="G73" s="6"/>
    </row>
    <row r="74" spans="1:13">
      <c r="A74" t="e">
        <f>INDEX($O$13:$AJ$33,IF(SUM($P$13:$AJ$33)&gt;0,SUM($P$13:$AJ$33),FALSE)-1,1)</f>
        <v>#N/A</v>
      </c>
      <c r="I74" t="s">
        <v>57</v>
      </c>
    </row>
    <row r="75" spans="1:13" s="48" customFormat="1">
      <c r="B75" s="9"/>
      <c r="I75" t="str">
        <f ca="1">"       Avoided Costs calculated annually are  "&amp;TEXT(PMT(Discount_Rate,COUNT($G$13:$G$27),-NPV(Discount_Rate,$G$13:$G$27)),"$0.00")&amp;"/MWH"</f>
        <v xml:space="preserve">       Avoided Costs calculated annually are  $44.46/MWH</v>
      </c>
      <c r="J75"/>
      <c r="K75"/>
      <c r="L75"/>
      <c r="M75"/>
    </row>
    <row r="76" spans="1:13" s="48" customFormat="1">
      <c r="B76" s="9"/>
      <c r="I76" s="9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46"/>
      <c r="I77" s="48"/>
      <c r="L77" s="48"/>
      <c r="M77" s="48"/>
    </row>
    <row r="78" spans="1:13">
      <c r="A78"/>
      <c r="F78" s="6"/>
    </row>
    <row r="81" spans="1:11">
      <c r="A81"/>
      <c r="J81" s="48"/>
      <c r="K81" s="48"/>
    </row>
    <row r="82" spans="1:11">
      <c r="A82"/>
      <c r="J82" s="48"/>
      <c r="K82" s="48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DA1E-0FFC-43AE-B409-B099CD0AC282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228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32%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UTS Solar with Storage - 32% Capacity Factor</v>
      </c>
    </row>
    <row r="10" spans="2:26" hidden="1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 hidden="1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 hidden="1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/>
      <c r="E23" s="113"/>
      <c r="F23" s="113"/>
      <c r="G23" s="114"/>
      <c r="H23" s="113"/>
      <c r="I23" s="114"/>
      <c r="J23" s="114"/>
      <c r="K23" s="113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/>
      <c r="E24" s="113"/>
      <c r="F24" s="113"/>
      <c r="G24" s="114"/>
      <c r="H24" s="113"/>
      <c r="I24" s="114"/>
      <c r="J24" s="114"/>
      <c r="K24" s="113"/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/>
      <c r="E25" s="113"/>
      <c r="F25" s="113"/>
      <c r="G25" s="114"/>
      <c r="H25" s="113"/>
      <c r="I25" s="114"/>
      <c r="J25" s="114"/>
      <c r="K25" s="113"/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>
        <v>2471.0880000000002</v>
      </c>
      <c r="D26" s="113">
        <f>C26*$C$62</f>
        <v>133.90283630678405</v>
      </c>
      <c r="E26" s="113">
        <f>$C$56</f>
        <v>44.561753424658001</v>
      </c>
      <c r="F26" s="161">
        <f>$C$60</f>
        <v>13.177008391297024</v>
      </c>
      <c r="G26" s="114">
        <f t="shared" ref="G26" si="1">(D26+E26+F26)/(8.76*$C$63)</f>
        <v>67.84257631367673</v>
      </c>
      <c r="H26" s="113"/>
      <c r="I26" s="114">
        <f t="shared" ref="I26" si="2">(G26+H26)</f>
        <v>67.84257631367673</v>
      </c>
      <c r="J26" s="114">
        <f t="shared" ref="J26" si="3">ROUND(I26*$C$63*8.76,2)</f>
        <v>191.64</v>
      </c>
      <c r="K26" s="113">
        <f t="shared" ref="K26" si="4">(D26+E26+F26)</f>
        <v>191.64159812273908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ref="D27:F37" si="5">ROUND(D26*(1+IRP21_Infl_Rate),2)</f>
        <v>136.79</v>
      </c>
      <c r="E27" s="113">
        <f t="shared" si="5"/>
        <v>45.52</v>
      </c>
      <c r="F27" s="113">
        <f t="shared" si="5"/>
        <v>13.46</v>
      </c>
      <c r="G27" s="114">
        <f t="shared" ref="G27:G37" si="6">(D27+E27+F27)/(8.76*$C$63)</f>
        <v>69.304061827026601</v>
      </c>
      <c r="H27" s="113"/>
      <c r="I27" s="114">
        <f t="shared" ref="I27:I37" si="7">(G27+H27)</f>
        <v>69.304061827026601</v>
      </c>
      <c r="J27" s="114">
        <f t="shared" ref="J27:J37" si="8">ROUND(I27*$C$63*8.76,2)</f>
        <v>195.77</v>
      </c>
      <c r="K27" s="113">
        <f t="shared" ref="K27:K37" si="9">(D27+E27+F27)</f>
        <v>195.77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139.74</v>
      </c>
      <c r="E28" s="113">
        <f t="shared" si="5"/>
        <v>46.5</v>
      </c>
      <c r="F28" s="113">
        <f t="shared" si="5"/>
        <v>13.75</v>
      </c>
      <c r="G28" s="114">
        <f t="shared" si="6"/>
        <v>70.797973769152833</v>
      </c>
      <c r="H28" s="113"/>
      <c r="I28" s="114">
        <f t="shared" si="7"/>
        <v>70.797973769152833</v>
      </c>
      <c r="J28" s="114">
        <f t="shared" si="8"/>
        <v>199.99</v>
      </c>
      <c r="K28" s="113">
        <f t="shared" si="9"/>
        <v>199.99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142.75</v>
      </c>
      <c r="E29" s="113">
        <f t="shared" si="5"/>
        <v>47.5</v>
      </c>
      <c r="F29" s="113">
        <f t="shared" si="5"/>
        <v>14.05</v>
      </c>
      <c r="G29" s="114">
        <f t="shared" si="6"/>
        <v>72.32374639250925</v>
      </c>
      <c r="H29" s="113"/>
      <c r="I29" s="114">
        <f t="shared" si="7"/>
        <v>72.32374639250925</v>
      </c>
      <c r="J29" s="114">
        <f t="shared" si="8"/>
        <v>204.3</v>
      </c>
      <c r="K29" s="113">
        <f t="shared" si="9"/>
        <v>204.3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145.83000000000001</v>
      </c>
      <c r="E30" s="113">
        <f t="shared" si="5"/>
        <v>48.52</v>
      </c>
      <c r="F30" s="113">
        <f t="shared" si="5"/>
        <v>14.35</v>
      </c>
      <c r="G30" s="114">
        <f t="shared" si="6"/>
        <v>73.881379697095838</v>
      </c>
      <c r="H30" s="113"/>
      <c r="I30" s="114">
        <f t="shared" si="7"/>
        <v>73.881379697095838</v>
      </c>
      <c r="J30" s="114">
        <f t="shared" si="8"/>
        <v>208.7</v>
      </c>
      <c r="K30" s="113">
        <f t="shared" si="9"/>
        <v>208.70000000000002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148.97</v>
      </c>
      <c r="E31" s="113">
        <f t="shared" si="5"/>
        <v>49.57</v>
      </c>
      <c r="F31" s="113">
        <f t="shared" si="5"/>
        <v>14.66</v>
      </c>
      <c r="G31" s="114">
        <f t="shared" si="6"/>
        <v>75.474413758604854</v>
      </c>
      <c r="H31" s="113"/>
      <c r="I31" s="114">
        <f t="shared" si="7"/>
        <v>75.474413758604854</v>
      </c>
      <c r="J31" s="114">
        <f t="shared" si="8"/>
        <v>213.2</v>
      </c>
      <c r="K31" s="113">
        <f t="shared" si="9"/>
        <v>213.2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152.18</v>
      </c>
      <c r="E32" s="113">
        <f t="shared" si="5"/>
        <v>50.64</v>
      </c>
      <c r="F32" s="113">
        <f t="shared" si="5"/>
        <v>14.98</v>
      </c>
      <c r="G32" s="114">
        <f t="shared" si="6"/>
        <v>77.102848577036283</v>
      </c>
      <c r="H32" s="113"/>
      <c r="I32" s="114">
        <f t="shared" si="7"/>
        <v>77.102848577036283</v>
      </c>
      <c r="J32" s="114">
        <f t="shared" si="8"/>
        <v>217.8</v>
      </c>
      <c r="K32" s="113">
        <f t="shared" si="9"/>
        <v>217.79999999999998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155.46</v>
      </c>
      <c r="E33" s="113">
        <f t="shared" si="5"/>
        <v>51.73</v>
      </c>
      <c r="F33" s="113">
        <f t="shared" si="5"/>
        <v>15.3</v>
      </c>
      <c r="G33" s="114">
        <f t="shared" si="6"/>
        <v>78.763144076697913</v>
      </c>
      <c r="H33" s="113"/>
      <c r="I33" s="114">
        <f t="shared" si="7"/>
        <v>78.763144076697913</v>
      </c>
      <c r="J33" s="114">
        <f t="shared" si="8"/>
        <v>222.49</v>
      </c>
      <c r="K33" s="113">
        <f t="shared" si="9"/>
        <v>222.49</v>
      </c>
    </row>
    <row r="34" spans="2:12">
      <c r="B34" s="111">
        <f t="shared" si="0"/>
        <v>2040</v>
      </c>
      <c r="C34" s="115"/>
      <c r="D34" s="113">
        <f t="shared" si="5"/>
        <v>158.81</v>
      </c>
      <c r="E34" s="113">
        <f t="shared" si="5"/>
        <v>52.84</v>
      </c>
      <c r="F34" s="113">
        <f t="shared" si="5"/>
        <v>15.63</v>
      </c>
      <c r="G34" s="114">
        <f t="shared" si="6"/>
        <v>80.458840333281941</v>
      </c>
      <c r="H34" s="113"/>
      <c r="I34" s="114">
        <f t="shared" si="7"/>
        <v>80.458840333281941</v>
      </c>
      <c r="J34" s="114">
        <f t="shared" si="8"/>
        <v>227.28</v>
      </c>
      <c r="K34" s="113">
        <f t="shared" si="9"/>
        <v>227.28</v>
      </c>
    </row>
    <row r="35" spans="2:12">
      <c r="B35" s="111">
        <f t="shared" si="0"/>
        <v>2041</v>
      </c>
      <c r="C35" s="115"/>
      <c r="D35" s="113">
        <f t="shared" si="5"/>
        <v>162.22999999999999</v>
      </c>
      <c r="E35" s="113">
        <f t="shared" si="5"/>
        <v>53.98</v>
      </c>
      <c r="F35" s="113">
        <f t="shared" si="5"/>
        <v>15.97</v>
      </c>
      <c r="G35" s="114">
        <f t="shared" si="6"/>
        <v>82.19347742248064</v>
      </c>
      <c r="H35" s="113"/>
      <c r="I35" s="114">
        <f t="shared" si="7"/>
        <v>82.19347742248064</v>
      </c>
      <c r="J35" s="114">
        <f t="shared" si="8"/>
        <v>232.18</v>
      </c>
      <c r="K35" s="113">
        <f t="shared" si="9"/>
        <v>232.17999999999998</v>
      </c>
    </row>
    <row r="36" spans="2:12">
      <c r="B36" s="111">
        <f t="shared" si="0"/>
        <v>2042</v>
      </c>
      <c r="C36" s="115"/>
      <c r="D36" s="113">
        <f t="shared" si="5"/>
        <v>165.73</v>
      </c>
      <c r="E36" s="113">
        <f t="shared" si="5"/>
        <v>55.14</v>
      </c>
      <c r="F36" s="113">
        <f t="shared" si="5"/>
        <v>16.309999999999999</v>
      </c>
      <c r="G36" s="114">
        <f t="shared" si="6"/>
        <v>83.963515268601782</v>
      </c>
      <c r="H36" s="113"/>
      <c r="I36" s="114">
        <f t="shared" si="7"/>
        <v>83.963515268601782</v>
      </c>
      <c r="J36" s="114">
        <f t="shared" si="8"/>
        <v>237.18</v>
      </c>
      <c r="K36" s="113">
        <f t="shared" si="9"/>
        <v>237.18</v>
      </c>
    </row>
    <row r="37" spans="2:12">
      <c r="B37" s="111">
        <f t="shared" si="0"/>
        <v>2043</v>
      </c>
      <c r="C37" s="115"/>
      <c r="D37" s="113">
        <f t="shared" si="5"/>
        <v>169.3</v>
      </c>
      <c r="E37" s="113">
        <f t="shared" si="5"/>
        <v>56.33</v>
      </c>
      <c r="F37" s="113">
        <f t="shared" si="5"/>
        <v>16.66</v>
      </c>
      <c r="G37" s="114">
        <f t="shared" si="6"/>
        <v>85.772493947337566</v>
      </c>
      <c r="H37" s="113"/>
      <c r="I37" s="114">
        <f t="shared" si="7"/>
        <v>85.772493947337566</v>
      </c>
      <c r="J37" s="114">
        <f t="shared" si="8"/>
        <v>242.29</v>
      </c>
      <c r="K37" s="113">
        <f t="shared" si="9"/>
        <v>242.29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32.2%)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UTS Solar with Storage - 32%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2032</v>
      </c>
    </row>
    <row r="55" spans="2:17">
      <c r="B55" t="s">
        <v>215</v>
      </c>
      <c r="C55" s="328">
        <f>2718196.8/1100</f>
        <v>2471.0879999999997</v>
      </c>
      <c r="D55" s="104" t="s">
        <v>65</v>
      </c>
      <c r="O55" s="230">
        <v>1100</v>
      </c>
      <c r="P55" s="104" t="s">
        <v>32</v>
      </c>
    </row>
    <row r="56" spans="2:17">
      <c r="B56" t="s">
        <v>215</v>
      </c>
      <c r="C56" s="129">
        <f>49017.9287671238/1100</f>
        <v>44.561753424658001</v>
      </c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215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2033$</v>
      </c>
      <c r="C60" s="134">
        <f>INDEX('Table 3 TransCost'!$39:$39,1,MATCH(F60,'Table 3 TransCost'!$4:$4,0)+2)</f>
        <v>13.177008391297024</v>
      </c>
      <c r="D60" s="104" t="s">
        <v>150</v>
      </c>
      <c r="F60" s="104" t="s">
        <v>158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0.32246556589655162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3732-CDFE-4D1A-B65C-F8D86B90582F}">
  <sheetPr>
    <tabColor rgb="FFFFC000"/>
    <pageSetUpPr fitToPage="1"/>
  </sheetPr>
  <dimension ref="B1:AD89"/>
  <sheetViews>
    <sheetView topLeftCell="A5" zoomScale="80" zoomScaleNormal="80" workbookViewId="0">
      <selection activeCell="D23" sqref="D23"/>
    </sheetView>
  </sheetViews>
  <sheetFormatPr defaultColWidth="9.33203125" defaultRowHeight="12.75"/>
  <cols>
    <col min="1" max="1" width="2.83203125" customWidth="1"/>
    <col min="2" max="2" width="10.83203125" customWidth="1"/>
    <col min="3" max="3" width="14.1640625" customWidth="1"/>
    <col min="4" max="4" width="12.33203125" customWidth="1"/>
    <col min="5" max="5" width="10.83203125" customWidth="1"/>
    <col min="6" max="6" width="10" customWidth="1"/>
    <col min="7" max="7" width="10.5" customWidth="1"/>
    <col min="8" max="8" width="10.5" bestFit="1" customWidth="1"/>
    <col min="9" max="9" width="11.6640625" bestFit="1" customWidth="1"/>
    <col min="10" max="10" width="11.1640625" customWidth="1"/>
    <col min="11" max="11" width="12" bestFit="1" customWidth="1"/>
    <col min="12" max="12" width="14.1640625" customWidth="1"/>
    <col min="13" max="13" width="14.33203125" customWidth="1"/>
    <col min="14" max="14" width="22.33203125" customWidth="1"/>
    <col min="15" max="15" width="9.33203125" customWidth="1"/>
    <col min="16" max="21" width="11.33203125" customWidth="1"/>
    <col min="22" max="22" width="10.33203125" customWidth="1"/>
    <col min="23" max="23" width="12" customWidth="1"/>
    <col min="24" max="24" width="11.5" customWidth="1"/>
    <col min="27" max="27" width="13.6640625" customWidth="1"/>
    <col min="29" max="30" width="9.33203125" style="104"/>
  </cols>
  <sheetData>
    <row r="1" spans="2:28" ht="15.75" hidden="1">
      <c r="B1" s="1" t="s">
        <v>35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2:28" ht="15.75">
      <c r="B2" s="1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2:28" ht="15.75">
      <c r="B3" s="1" t="s">
        <v>56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V3" s="104"/>
      <c r="W3" s="104"/>
      <c r="X3" s="104"/>
      <c r="Y3" s="104"/>
      <c r="Z3" s="104"/>
      <c r="AA3" s="104"/>
      <c r="AB3" s="104"/>
    </row>
    <row r="4" spans="2:28" ht="15.75">
      <c r="B4" s="1" t="s">
        <v>180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V4" s="104"/>
      <c r="W4" s="104"/>
      <c r="X4" s="104"/>
      <c r="Y4" s="104"/>
      <c r="Z4" s="104"/>
      <c r="AA4" s="104"/>
      <c r="AB4" s="104"/>
    </row>
    <row r="5" spans="2:28" ht="15.75">
      <c r="B5" s="1" t="str">
        <f>C48</f>
        <v>Sm Adv Nuclear - 196 MW- East Side Resource (5,050')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2:28" ht="15.75">
      <c r="B6" s="1"/>
      <c r="C6" s="234"/>
      <c r="D6" s="234"/>
      <c r="E6" s="234"/>
      <c r="F6" s="234"/>
      <c r="G6" s="234"/>
      <c r="H6" s="234"/>
      <c r="I6" s="234"/>
      <c r="J6" s="234"/>
      <c r="L6" s="235"/>
    </row>
    <row r="7" spans="2:28">
      <c r="B7" s="234"/>
      <c r="C7" s="234"/>
      <c r="D7" s="234"/>
      <c r="E7" s="234"/>
      <c r="F7" s="234"/>
      <c r="G7" s="234"/>
      <c r="H7" s="234"/>
      <c r="I7" s="234"/>
      <c r="J7" s="234"/>
      <c r="V7" s="104"/>
      <c r="W7" s="104"/>
      <c r="X7" s="104"/>
      <c r="Y7" s="104"/>
      <c r="Z7" s="104"/>
      <c r="AA7" s="104"/>
      <c r="AB7" s="104"/>
    </row>
    <row r="8" spans="2:28" ht="51.75" customHeight="1">
      <c r="B8" s="14" t="s">
        <v>0</v>
      </c>
      <c r="C8" s="15" t="s">
        <v>10</v>
      </c>
      <c r="D8" s="15" t="s">
        <v>11</v>
      </c>
      <c r="E8" s="15" t="s">
        <v>91</v>
      </c>
      <c r="F8" s="15" t="s">
        <v>12</v>
      </c>
      <c r="G8" s="15" t="s">
        <v>13</v>
      </c>
      <c r="H8" s="15" t="s">
        <v>101</v>
      </c>
      <c r="I8" s="15" t="s">
        <v>102</v>
      </c>
      <c r="J8" s="236" t="s">
        <v>21</v>
      </c>
      <c r="K8" s="236" t="s">
        <v>103</v>
      </c>
      <c r="L8" s="15" t="s">
        <v>52</v>
      </c>
      <c r="M8" s="106" t="s">
        <v>151</v>
      </c>
      <c r="V8" s="104"/>
      <c r="W8" s="104"/>
      <c r="X8" s="104"/>
      <c r="Y8" s="104"/>
      <c r="Z8" s="104"/>
      <c r="AA8" s="104"/>
      <c r="AB8" s="104"/>
    </row>
    <row r="9" spans="2:28" ht="48" customHeight="1">
      <c r="B9" s="237"/>
      <c r="C9" s="16" t="s">
        <v>8</v>
      </c>
      <c r="D9" s="17" t="s">
        <v>9</v>
      </c>
      <c r="E9" s="17" t="s">
        <v>9</v>
      </c>
      <c r="F9" s="17" t="s">
        <v>9</v>
      </c>
      <c r="G9" s="16" t="s">
        <v>31</v>
      </c>
      <c r="H9" s="17" t="s">
        <v>9</v>
      </c>
      <c r="I9" s="17" t="s">
        <v>9</v>
      </c>
      <c r="J9" s="17" t="s">
        <v>104</v>
      </c>
      <c r="K9" s="16" t="s">
        <v>31</v>
      </c>
      <c r="L9" s="16" t="s">
        <v>31</v>
      </c>
      <c r="M9" s="109" t="s">
        <v>9</v>
      </c>
      <c r="V9" s="104"/>
      <c r="W9" s="104"/>
      <c r="X9" s="104"/>
      <c r="Y9" s="104"/>
      <c r="Z9" s="104"/>
      <c r="AA9" s="172"/>
      <c r="AB9" s="172"/>
    </row>
    <row r="10" spans="2:28">
      <c r="C10" s="238" t="s">
        <v>1</v>
      </c>
      <c r="D10" s="238" t="s">
        <v>2</v>
      </c>
      <c r="E10" s="238" t="s">
        <v>3</v>
      </c>
      <c r="F10" s="238" t="s">
        <v>4</v>
      </c>
      <c r="G10" s="238" t="s">
        <v>5</v>
      </c>
      <c r="H10" s="238" t="s">
        <v>7</v>
      </c>
      <c r="I10" s="238" t="s">
        <v>22</v>
      </c>
      <c r="J10" s="238" t="s">
        <v>23</v>
      </c>
      <c r="K10" s="238" t="s">
        <v>24</v>
      </c>
      <c r="L10" s="110" t="s">
        <v>24</v>
      </c>
      <c r="M10" s="110" t="s">
        <v>178</v>
      </c>
      <c r="V10" s="104"/>
      <c r="W10" s="104"/>
      <c r="X10" s="104"/>
      <c r="Y10" s="104"/>
      <c r="Z10" s="104"/>
      <c r="AA10" s="104"/>
      <c r="AB10" s="104"/>
    </row>
    <row r="11" spans="2:28" ht="6" customHeight="1">
      <c r="M11" s="104"/>
      <c r="V11" s="104"/>
      <c r="W11" s="104"/>
      <c r="X11" s="104"/>
      <c r="Y11" s="104"/>
      <c r="Z11" s="104"/>
      <c r="AA11" s="104"/>
      <c r="AB11" s="104"/>
    </row>
    <row r="12" spans="2:28" ht="15.75">
      <c r="B12" s="40" t="str">
        <f>C48</f>
        <v>Sm Adv Nuclear - 196 MW- East Side Resource (5,050')</v>
      </c>
      <c r="J12" s="234"/>
      <c r="K12" s="234"/>
      <c r="L12" s="234"/>
      <c r="M12" s="104"/>
      <c r="V12" s="104"/>
      <c r="W12" s="104"/>
      <c r="X12" s="104"/>
      <c r="Y12" s="104"/>
      <c r="Z12" s="104"/>
      <c r="AA12" s="104"/>
      <c r="AB12" s="104"/>
    </row>
    <row r="13" spans="2:28" ht="18.95" customHeight="1">
      <c r="B13" s="136"/>
      <c r="C13" s="239"/>
      <c r="D13" s="240"/>
      <c r="E13" s="241"/>
      <c r="F13" s="241"/>
      <c r="G13" s="241"/>
      <c r="H13" s="241"/>
      <c r="I13" s="241"/>
      <c r="J13" s="241"/>
      <c r="K13" s="241"/>
      <c r="L13" s="241"/>
      <c r="M13" s="113"/>
      <c r="V13" s="104"/>
      <c r="W13" s="134"/>
      <c r="X13" s="134"/>
      <c r="Y13" s="134"/>
      <c r="Z13" s="104"/>
      <c r="AA13" s="134"/>
      <c r="AB13" s="134"/>
    </row>
    <row r="14" spans="2:28">
      <c r="B14" s="136">
        <v>2020</v>
      </c>
      <c r="C14" s="242"/>
      <c r="D14" s="113"/>
      <c r="E14" s="113"/>
      <c r="F14" s="113"/>
      <c r="G14" s="320">
        <f>$C$68</f>
        <v>6.7187999999999999</v>
      </c>
      <c r="H14" s="241"/>
      <c r="I14" s="241"/>
      <c r="J14" s="241"/>
      <c r="K14" s="241"/>
      <c r="L14" s="241"/>
      <c r="M14" s="113"/>
      <c r="N14" s="38"/>
      <c r="P14" s="314"/>
      <c r="V14" s="104"/>
      <c r="W14" s="104"/>
      <c r="X14" s="134"/>
      <c r="Y14" s="230"/>
      <c r="Z14" s="104"/>
      <c r="AA14" s="134"/>
      <c r="AB14" s="134"/>
    </row>
    <row r="15" spans="2:28">
      <c r="B15" s="136">
        <f t="shared" ref="B15:B36" si="0">B14+1</f>
        <v>2021</v>
      </c>
      <c r="C15" s="242"/>
      <c r="D15" s="113"/>
      <c r="E15" s="113"/>
      <c r="F15" s="113"/>
      <c r="G15" s="322">
        <f t="shared" ref="G15:G36" si="1">ROUND(G14*(1+IRP21_Infl_Rate),2)</f>
        <v>6.86</v>
      </c>
      <c r="H15" s="241"/>
      <c r="I15" s="241"/>
      <c r="J15" s="113"/>
      <c r="K15" s="241"/>
      <c r="L15" s="241"/>
      <c r="M15" s="113"/>
      <c r="N15" s="38"/>
      <c r="P15" s="314"/>
      <c r="Q15" s="314"/>
      <c r="V15" s="104"/>
      <c r="W15" s="134"/>
      <c r="X15" s="134"/>
      <c r="Y15" s="230"/>
      <c r="Z15" s="134"/>
      <c r="AA15" s="134"/>
      <c r="AB15" s="134"/>
    </row>
    <row r="16" spans="2:28">
      <c r="B16" s="136">
        <f t="shared" si="0"/>
        <v>2022</v>
      </c>
      <c r="C16" s="242"/>
      <c r="D16" s="113"/>
      <c r="E16" s="113"/>
      <c r="F16" s="113"/>
      <c r="G16" s="322">
        <f t="shared" si="1"/>
        <v>7.01</v>
      </c>
      <c r="H16" s="241"/>
      <c r="I16" s="241"/>
      <c r="J16" s="113"/>
      <c r="K16" s="241"/>
      <c r="L16" s="241"/>
      <c r="M16" s="113"/>
      <c r="N16" s="38"/>
      <c r="P16" s="314"/>
      <c r="Q16" s="314"/>
      <c r="V16" s="104"/>
      <c r="W16" s="134"/>
      <c r="X16" s="134"/>
      <c r="Y16" s="230"/>
      <c r="Z16" s="134"/>
      <c r="AA16" s="134"/>
      <c r="AB16" s="134"/>
    </row>
    <row r="17" spans="2:30">
      <c r="B17" s="136">
        <f t="shared" si="0"/>
        <v>2023</v>
      </c>
      <c r="C17" s="242"/>
      <c r="D17" s="113"/>
      <c r="E17" s="113"/>
      <c r="F17" s="113"/>
      <c r="G17" s="322">
        <f t="shared" si="1"/>
        <v>7.16</v>
      </c>
      <c r="H17" s="241"/>
      <c r="I17" s="241"/>
      <c r="J17" s="113"/>
      <c r="K17" s="241"/>
      <c r="L17" s="241"/>
      <c r="M17" s="113"/>
      <c r="N17" s="38"/>
      <c r="P17" s="314"/>
      <c r="Q17" s="314"/>
      <c r="V17" s="104"/>
      <c r="W17" s="134"/>
      <c r="X17" s="134"/>
      <c r="Y17" s="230"/>
      <c r="Z17" s="134"/>
      <c r="AA17" s="134"/>
      <c r="AB17" s="134"/>
    </row>
    <row r="18" spans="2:30">
      <c r="B18" s="136">
        <f t="shared" si="0"/>
        <v>2024</v>
      </c>
      <c r="C18" s="242"/>
      <c r="D18" s="113"/>
      <c r="E18" s="113"/>
      <c r="F18" s="113"/>
      <c r="G18" s="322">
        <f t="shared" si="1"/>
        <v>7.31</v>
      </c>
      <c r="H18" s="241"/>
      <c r="I18" s="241"/>
      <c r="J18" s="113"/>
      <c r="K18" s="241"/>
      <c r="L18" s="241"/>
      <c r="M18" s="113"/>
      <c r="N18" s="38"/>
      <c r="P18" s="314"/>
      <c r="Q18" s="314"/>
      <c r="V18" s="104"/>
      <c r="W18" s="134"/>
      <c r="X18" s="134"/>
      <c r="Y18" s="230"/>
      <c r="Z18" s="134"/>
      <c r="AA18" s="134"/>
      <c r="AB18" s="134"/>
    </row>
    <row r="19" spans="2:30">
      <c r="B19" s="136">
        <f t="shared" si="0"/>
        <v>2025</v>
      </c>
      <c r="C19" s="242"/>
      <c r="D19" s="113"/>
      <c r="E19" s="113"/>
      <c r="F19" s="113"/>
      <c r="G19" s="322">
        <f t="shared" si="1"/>
        <v>7.47</v>
      </c>
      <c r="H19" s="241"/>
      <c r="I19" s="241"/>
      <c r="J19" s="113"/>
      <c r="K19" s="241"/>
      <c r="L19" s="241"/>
      <c r="M19" s="113"/>
      <c r="N19" s="38"/>
      <c r="P19" s="314"/>
      <c r="Q19" s="314"/>
      <c r="V19" s="104"/>
      <c r="W19" s="134"/>
      <c r="X19" s="134"/>
      <c r="Y19" s="230"/>
      <c r="Z19" s="134"/>
      <c r="AA19" s="134"/>
      <c r="AB19" s="134"/>
    </row>
    <row r="20" spans="2:30">
      <c r="B20" s="136">
        <f t="shared" si="0"/>
        <v>2026</v>
      </c>
      <c r="C20" s="242"/>
      <c r="D20" s="240"/>
      <c r="E20" s="113"/>
      <c r="F20" s="113"/>
      <c r="G20" s="322">
        <f t="shared" si="1"/>
        <v>7.63</v>
      </c>
      <c r="H20" s="241"/>
      <c r="I20" s="241"/>
      <c r="J20" s="113"/>
      <c r="K20" s="241"/>
      <c r="L20" s="241"/>
      <c r="M20" s="113"/>
      <c r="N20" s="38"/>
      <c r="P20" s="314"/>
      <c r="Q20" s="314" t="s">
        <v>182</v>
      </c>
      <c r="V20" s="104"/>
      <c r="W20" s="134"/>
      <c r="X20" s="134"/>
      <c r="Y20" s="134"/>
      <c r="Z20" s="134"/>
      <c r="AA20" s="134"/>
      <c r="AB20" s="134"/>
    </row>
    <row r="21" spans="2:30">
      <c r="B21" s="136">
        <f t="shared" si="0"/>
        <v>2027</v>
      </c>
      <c r="C21" s="242"/>
      <c r="D21" s="113"/>
      <c r="E21" s="113"/>
      <c r="F21" s="113"/>
      <c r="G21" s="322">
        <f t="shared" si="1"/>
        <v>7.79</v>
      </c>
      <c r="H21" s="241"/>
      <c r="I21" s="241"/>
      <c r="J21" s="113"/>
      <c r="K21" s="241"/>
      <c r="L21" s="241"/>
      <c r="M21" s="113"/>
      <c r="N21" s="38"/>
      <c r="P21" s="314"/>
      <c r="Q21" t="s">
        <v>183</v>
      </c>
      <c r="V21" s="304"/>
      <c r="W21" s="134"/>
      <c r="X21" s="134"/>
      <c r="Y21" s="134"/>
      <c r="Z21" s="134"/>
      <c r="AA21" s="134"/>
      <c r="AB21" s="134"/>
    </row>
    <row r="22" spans="2:30">
      <c r="B22" s="136">
        <f t="shared" si="0"/>
        <v>2028</v>
      </c>
      <c r="C22" s="312">
        <f>$C$64</f>
        <v>3799.5717060566089</v>
      </c>
      <c r="D22" s="321">
        <f>ROUND(C22*$C$70,2)</f>
        <v>255.84</v>
      </c>
      <c r="E22" s="113"/>
      <c r="F22" s="308">
        <f>$C$67</f>
        <v>222.01</v>
      </c>
      <c r="G22" s="322">
        <f t="shared" si="1"/>
        <v>7.96</v>
      </c>
      <c r="H22" s="241">
        <f t="shared" ref="H22:H26" si="2">ROUND(G22*(8.76*$H$59)+F22,2)</f>
        <v>281.7</v>
      </c>
      <c r="I22" s="241">
        <f t="shared" ref="I22:I26" si="3">ROUND(D22+E22+H22,2)</f>
        <v>537.54</v>
      </c>
      <c r="J22" s="113"/>
      <c r="K22" s="241">
        <f t="shared" ref="K22:K26" si="4">ROUND($L$59*J22/1000,2)</f>
        <v>0</v>
      </c>
      <c r="L22" s="241">
        <f t="shared" ref="L22:L26" si="5">ROUND(I22*1000/8760/$H$59+K22,2)</f>
        <v>71.69</v>
      </c>
      <c r="M22" s="113">
        <f t="shared" ref="M22:M26" si="6">(D22+E22+F22)</f>
        <v>477.85</v>
      </c>
      <c r="N22" s="38"/>
      <c r="P22" s="314"/>
      <c r="Q22" s="314">
        <v>-13</v>
      </c>
      <c r="V22" s="104"/>
      <c r="W22" s="134"/>
      <c r="X22" s="134"/>
      <c r="Y22" s="134"/>
      <c r="Z22" s="134"/>
      <c r="AA22" s="134"/>
      <c r="AB22" s="134"/>
    </row>
    <row r="23" spans="2:30">
      <c r="B23" s="136">
        <f t="shared" si="0"/>
        <v>2029</v>
      </c>
      <c r="C23" s="242"/>
      <c r="D23" s="322">
        <f t="shared" ref="D23:D36" si="7">ROUND(D22*(1+IRP21_Infl_Rate),2)</f>
        <v>261.35000000000002</v>
      </c>
      <c r="E23" s="113"/>
      <c r="F23" s="322">
        <f t="shared" ref="F23:F36" si="8">ROUND(F22*(1+IRP21_Infl_Rate),2)</f>
        <v>226.79</v>
      </c>
      <c r="G23" s="322">
        <f t="shared" si="1"/>
        <v>8.1300000000000008</v>
      </c>
      <c r="H23" s="241">
        <f t="shared" si="2"/>
        <v>287.75</v>
      </c>
      <c r="I23" s="241">
        <f t="shared" si="3"/>
        <v>549.1</v>
      </c>
      <c r="J23" s="113"/>
      <c r="K23" s="241">
        <f t="shared" si="4"/>
        <v>0</v>
      </c>
      <c r="L23" s="241">
        <f t="shared" si="5"/>
        <v>73.23</v>
      </c>
      <c r="M23" s="113">
        <f t="shared" si="6"/>
        <v>488.14</v>
      </c>
      <c r="N23" s="38"/>
      <c r="P23" s="314"/>
      <c r="Q23" s="314">
        <v>-13</v>
      </c>
      <c r="V23" s="104"/>
      <c r="W23" s="134"/>
      <c r="X23" s="134"/>
      <c r="Y23" s="134"/>
      <c r="Z23" s="134"/>
      <c r="AA23" s="134"/>
      <c r="AB23" s="134"/>
    </row>
    <row r="24" spans="2:30" s="245" customFormat="1">
      <c r="B24" s="243">
        <f t="shared" si="0"/>
        <v>2030</v>
      </c>
      <c r="C24" s="242"/>
      <c r="D24" s="322">
        <f t="shared" si="7"/>
        <v>266.98</v>
      </c>
      <c r="E24" s="113"/>
      <c r="F24" s="322">
        <f t="shared" si="8"/>
        <v>231.68</v>
      </c>
      <c r="G24" s="322">
        <f t="shared" si="1"/>
        <v>8.31</v>
      </c>
      <c r="H24" s="241">
        <f t="shared" si="2"/>
        <v>293.99</v>
      </c>
      <c r="I24" s="241">
        <f t="shared" si="3"/>
        <v>560.97</v>
      </c>
      <c r="J24" s="113"/>
      <c r="K24" s="241">
        <f t="shared" si="4"/>
        <v>0</v>
      </c>
      <c r="L24" s="241">
        <f t="shared" si="5"/>
        <v>74.81</v>
      </c>
      <c r="M24" s="113">
        <f t="shared" si="6"/>
        <v>498.66</v>
      </c>
      <c r="N24" s="45"/>
      <c r="O24"/>
      <c r="P24" s="314"/>
      <c r="Q24" s="314">
        <v>-13</v>
      </c>
      <c r="V24" s="104"/>
      <c r="W24" s="134"/>
      <c r="X24" s="134"/>
      <c r="Y24" s="134"/>
      <c r="Z24" s="134"/>
      <c r="AA24" s="134"/>
      <c r="AB24" s="134"/>
      <c r="AC24" s="104"/>
      <c r="AD24" s="104"/>
    </row>
    <row r="25" spans="2:30" s="245" customFormat="1">
      <c r="B25" s="243">
        <f t="shared" si="0"/>
        <v>2031</v>
      </c>
      <c r="C25" s="242"/>
      <c r="D25" s="322">
        <f t="shared" si="7"/>
        <v>272.73</v>
      </c>
      <c r="E25" s="113"/>
      <c r="F25" s="322">
        <f t="shared" si="8"/>
        <v>236.67</v>
      </c>
      <c r="G25" s="322">
        <f t="shared" si="1"/>
        <v>8.49</v>
      </c>
      <c r="H25" s="241">
        <f t="shared" si="2"/>
        <v>300.33</v>
      </c>
      <c r="I25" s="241">
        <f t="shared" si="3"/>
        <v>573.05999999999995</v>
      </c>
      <c r="J25" s="113"/>
      <c r="K25" s="241">
        <f t="shared" si="4"/>
        <v>0</v>
      </c>
      <c r="L25" s="241">
        <f t="shared" si="5"/>
        <v>76.42</v>
      </c>
      <c r="M25" s="113">
        <f t="shared" si="6"/>
        <v>509.4</v>
      </c>
      <c r="N25" s="45"/>
      <c r="O25"/>
      <c r="P25" s="314"/>
      <c r="Q25" s="314">
        <v>-13</v>
      </c>
      <c r="V25" s="104"/>
      <c r="W25" s="134"/>
      <c r="X25" s="134"/>
      <c r="Y25" s="134"/>
      <c r="Z25" s="134"/>
      <c r="AA25" s="134"/>
      <c r="AB25" s="134"/>
      <c r="AC25" s="104"/>
      <c r="AD25" s="104"/>
    </row>
    <row r="26" spans="2:30" s="245" customFormat="1">
      <c r="B26" s="243">
        <f t="shared" si="0"/>
        <v>2032</v>
      </c>
      <c r="C26" s="242"/>
      <c r="D26" s="322">
        <f t="shared" si="7"/>
        <v>278.61</v>
      </c>
      <c r="E26" s="113"/>
      <c r="F26" s="322">
        <f t="shared" si="8"/>
        <v>241.77</v>
      </c>
      <c r="G26" s="322">
        <f t="shared" si="1"/>
        <v>8.67</v>
      </c>
      <c r="H26" s="241">
        <f t="shared" si="2"/>
        <v>306.77999999999997</v>
      </c>
      <c r="I26" s="241">
        <f t="shared" si="3"/>
        <v>585.39</v>
      </c>
      <c r="J26" s="113"/>
      <c r="K26" s="241">
        <f t="shared" si="4"/>
        <v>0</v>
      </c>
      <c r="L26" s="241">
        <f t="shared" si="5"/>
        <v>78.069999999999993</v>
      </c>
      <c r="M26" s="113">
        <f t="shared" si="6"/>
        <v>520.38</v>
      </c>
      <c r="N26" s="45"/>
      <c r="O26"/>
      <c r="P26" s="314"/>
      <c r="Q26" s="314">
        <v>-13</v>
      </c>
      <c r="V26" s="104"/>
      <c r="W26" s="134"/>
      <c r="X26" s="134"/>
      <c r="Y26" s="134"/>
      <c r="Z26" s="134"/>
      <c r="AA26" s="134"/>
      <c r="AB26" s="134"/>
      <c r="AC26" s="104"/>
      <c r="AD26" s="104"/>
    </row>
    <row r="27" spans="2:30" s="245" customFormat="1">
      <c r="B27" s="243">
        <f t="shared" si="0"/>
        <v>2033</v>
      </c>
      <c r="C27" s="244"/>
      <c r="D27" s="322">
        <f t="shared" si="7"/>
        <v>284.61</v>
      </c>
      <c r="E27" s="113"/>
      <c r="F27" s="322">
        <f t="shared" si="8"/>
        <v>246.98</v>
      </c>
      <c r="G27" s="322">
        <f t="shared" si="1"/>
        <v>8.86</v>
      </c>
      <c r="H27" s="241">
        <f t="shared" ref="H27:H36" si="9">ROUND(G27*(8.76*$H$59)+F27,2)</f>
        <v>313.42</v>
      </c>
      <c r="I27" s="241">
        <f>ROUND(D27+E27+H27,2)</f>
        <v>598.03</v>
      </c>
      <c r="J27" s="113"/>
      <c r="K27" s="241">
        <f t="shared" ref="K27:K36" si="10">ROUND($L$59*J27/1000,2)</f>
        <v>0</v>
      </c>
      <c r="L27" s="241">
        <f t="shared" ref="L27:L36" si="11">ROUND(I27*1000/8760/$H$59+K27,2)</f>
        <v>79.75</v>
      </c>
      <c r="M27" s="113">
        <f>(D27+E27+F27)</f>
        <v>531.59</v>
      </c>
      <c r="N27" s="45"/>
      <c r="O27"/>
      <c r="P27" s="314"/>
      <c r="Q27" s="314">
        <v>-13</v>
      </c>
      <c r="S27" s="319"/>
      <c r="V27" s="104"/>
      <c r="W27" s="134"/>
      <c r="X27" s="134"/>
      <c r="Y27" s="134"/>
      <c r="Z27" s="134"/>
      <c r="AA27" s="134"/>
      <c r="AB27" s="134"/>
      <c r="AC27" s="104"/>
      <c r="AD27" s="104"/>
    </row>
    <row r="28" spans="2:30" s="245" customFormat="1">
      <c r="B28" s="243">
        <f t="shared" si="0"/>
        <v>2034</v>
      </c>
      <c r="C28" s="244"/>
      <c r="D28" s="322">
        <f t="shared" si="7"/>
        <v>290.74</v>
      </c>
      <c r="E28" s="113"/>
      <c r="F28" s="322">
        <f t="shared" si="8"/>
        <v>252.3</v>
      </c>
      <c r="G28" s="322">
        <f t="shared" si="1"/>
        <v>9.0500000000000007</v>
      </c>
      <c r="H28" s="241">
        <f t="shared" si="9"/>
        <v>320.16000000000003</v>
      </c>
      <c r="I28" s="241">
        <f t="shared" ref="I28:I36" si="12">ROUND(D28+E28+H28,2)</f>
        <v>610.9</v>
      </c>
      <c r="J28" s="113"/>
      <c r="K28" s="241">
        <f t="shared" si="10"/>
        <v>0</v>
      </c>
      <c r="L28" s="241">
        <f t="shared" si="11"/>
        <v>81.47</v>
      </c>
      <c r="M28" s="113">
        <f t="shared" ref="M28:M36" si="13">(D28+E28+F28)</f>
        <v>543.04</v>
      </c>
      <c r="N28" s="45"/>
      <c r="O28"/>
      <c r="P28"/>
      <c r="Q28" s="314">
        <v>5</v>
      </c>
      <c r="V28" s="104"/>
      <c r="W28" s="134"/>
      <c r="X28" s="134"/>
      <c r="Y28" s="134"/>
      <c r="Z28" s="134"/>
      <c r="AA28" s="134"/>
      <c r="AB28" s="134"/>
      <c r="AC28" s="104"/>
      <c r="AD28" s="104"/>
    </row>
    <row r="29" spans="2:30">
      <c r="B29" s="136">
        <f t="shared" si="0"/>
        <v>2035</v>
      </c>
      <c r="C29" s="242"/>
      <c r="D29" s="322">
        <f t="shared" si="7"/>
        <v>297.01</v>
      </c>
      <c r="E29" s="113"/>
      <c r="F29" s="322">
        <f t="shared" si="8"/>
        <v>257.74</v>
      </c>
      <c r="G29" s="322">
        <f t="shared" si="1"/>
        <v>9.25</v>
      </c>
      <c r="H29" s="241">
        <f t="shared" si="9"/>
        <v>327.10000000000002</v>
      </c>
      <c r="I29" s="241">
        <f t="shared" si="12"/>
        <v>624.11</v>
      </c>
      <c r="J29" s="113"/>
      <c r="K29" s="241">
        <f t="shared" si="10"/>
        <v>0</v>
      </c>
      <c r="L29" s="241">
        <f t="shared" si="11"/>
        <v>83.23</v>
      </c>
      <c r="M29" s="113">
        <f t="shared" si="13"/>
        <v>554.75</v>
      </c>
      <c r="N29" s="45"/>
      <c r="Q29" s="314">
        <v>5</v>
      </c>
      <c r="V29" s="104"/>
      <c r="W29" s="134"/>
      <c r="X29" s="134"/>
      <c r="Y29" s="134"/>
      <c r="Z29" s="134"/>
      <c r="AA29" s="134"/>
      <c r="AB29" s="134"/>
    </row>
    <row r="30" spans="2:30">
      <c r="B30" s="136">
        <f t="shared" si="0"/>
        <v>2036</v>
      </c>
      <c r="C30" s="242"/>
      <c r="D30" s="322">
        <f t="shared" si="7"/>
        <v>303.41000000000003</v>
      </c>
      <c r="E30" s="113"/>
      <c r="F30" s="322">
        <f t="shared" si="8"/>
        <v>263.29000000000002</v>
      </c>
      <c r="G30" s="322">
        <f t="shared" si="1"/>
        <v>9.4499999999999993</v>
      </c>
      <c r="H30" s="241">
        <f t="shared" si="9"/>
        <v>334.15</v>
      </c>
      <c r="I30" s="241">
        <f t="shared" si="12"/>
        <v>637.55999999999995</v>
      </c>
      <c r="J30" s="113"/>
      <c r="K30" s="241">
        <f t="shared" si="10"/>
        <v>0</v>
      </c>
      <c r="L30" s="241">
        <f t="shared" si="11"/>
        <v>85.02</v>
      </c>
      <c r="M30" s="113">
        <f t="shared" si="13"/>
        <v>566.70000000000005</v>
      </c>
      <c r="N30" s="45"/>
      <c r="Q30" s="314">
        <v>5</v>
      </c>
    </row>
    <row r="31" spans="2:30">
      <c r="B31" s="136">
        <f t="shared" si="0"/>
        <v>2037</v>
      </c>
      <c r="C31" s="242"/>
      <c r="D31" s="322">
        <f t="shared" si="7"/>
        <v>309.95</v>
      </c>
      <c r="E31" s="113"/>
      <c r="F31" s="322">
        <f t="shared" si="8"/>
        <v>268.95999999999998</v>
      </c>
      <c r="G31" s="322">
        <f t="shared" si="1"/>
        <v>9.65</v>
      </c>
      <c r="H31" s="241">
        <f t="shared" si="9"/>
        <v>341.32</v>
      </c>
      <c r="I31" s="241">
        <f t="shared" si="12"/>
        <v>651.27</v>
      </c>
      <c r="J31" s="113"/>
      <c r="K31" s="241">
        <f t="shared" si="10"/>
        <v>0</v>
      </c>
      <c r="L31" s="241">
        <f t="shared" si="11"/>
        <v>86.85</v>
      </c>
      <c r="M31" s="113">
        <f t="shared" si="13"/>
        <v>578.91</v>
      </c>
      <c r="N31" s="45"/>
      <c r="Q31" s="314">
        <v>5</v>
      </c>
    </row>
    <row r="32" spans="2:30">
      <c r="B32" s="136">
        <f t="shared" si="0"/>
        <v>2038</v>
      </c>
      <c r="C32" s="242"/>
      <c r="D32" s="322">
        <f t="shared" si="7"/>
        <v>316.63</v>
      </c>
      <c r="E32" s="113"/>
      <c r="F32" s="322">
        <f t="shared" si="8"/>
        <v>274.76</v>
      </c>
      <c r="G32" s="322">
        <f t="shared" si="1"/>
        <v>9.86</v>
      </c>
      <c r="H32" s="241">
        <f t="shared" si="9"/>
        <v>348.7</v>
      </c>
      <c r="I32" s="241">
        <f t="shared" si="12"/>
        <v>665.33</v>
      </c>
      <c r="J32" s="113"/>
      <c r="K32" s="241">
        <f t="shared" si="10"/>
        <v>0</v>
      </c>
      <c r="L32" s="241">
        <f t="shared" si="11"/>
        <v>88.73</v>
      </c>
      <c r="M32" s="113">
        <f t="shared" si="13"/>
        <v>591.39</v>
      </c>
      <c r="N32" s="45"/>
      <c r="Q32" s="314">
        <v>5</v>
      </c>
    </row>
    <row r="33" spans="2:17">
      <c r="B33" s="136">
        <f t="shared" si="0"/>
        <v>2039</v>
      </c>
      <c r="C33" s="242"/>
      <c r="D33" s="322">
        <f t="shared" si="7"/>
        <v>323.45</v>
      </c>
      <c r="E33" s="113"/>
      <c r="F33" s="322">
        <f t="shared" si="8"/>
        <v>280.68</v>
      </c>
      <c r="G33" s="322">
        <f t="shared" si="1"/>
        <v>10.07</v>
      </c>
      <c r="H33" s="241">
        <f t="shared" si="9"/>
        <v>356.19</v>
      </c>
      <c r="I33" s="241">
        <f t="shared" si="12"/>
        <v>679.64</v>
      </c>
      <c r="J33" s="113"/>
      <c r="K33" s="241">
        <f t="shared" si="10"/>
        <v>0</v>
      </c>
      <c r="L33" s="241">
        <f t="shared" si="11"/>
        <v>90.64</v>
      </c>
      <c r="M33" s="113">
        <f t="shared" si="13"/>
        <v>604.13</v>
      </c>
      <c r="Q33" s="314">
        <v>5</v>
      </c>
    </row>
    <row r="34" spans="2:17">
      <c r="B34" s="136">
        <f t="shared" si="0"/>
        <v>2040</v>
      </c>
      <c r="C34" s="242"/>
      <c r="D34" s="322">
        <f t="shared" si="7"/>
        <v>330.42</v>
      </c>
      <c r="E34" s="113"/>
      <c r="F34" s="322">
        <f t="shared" si="8"/>
        <v>286.73</v>
      </c>
      <c r="G34" s="322">
        <f t="shared" si="1"/>
        <v>10.29</v>
      </c>
      <c r="H34" s="241">
        <f t="shared" si="9"/>
        <v>363.89</v>
      </c>
      <c r="I34" s="241">
        <f t="shared" si="12"/>
        <v>694.31</v>
      </c>
      <c r="J34" s="113"/>
      <c r="K34" s="241">
        <f t="shared" si="10"/>
        <v>0</v>
      </c>
      <c r="L34" s="241">
        <f t="shared" si="11"/>
        <v>92.59</v>
      </c>
      <c r="M34" s="113">
        <f t="shared" si="13"/>
        <v>617.15000000000009</v>
      </c>
      <c r="Q34" s="314">
        <v>5</v>
      </c>
    </row>
    <row r="35" spans="2:17">
      <c r="B35" s="136">
        <f t="shared" si="0"/>
        <v>2041</v>
      </c>
      <c r="C35" s="242"/>
      <c r="D35" s="322">
        <f t="shared" si="7"/>
        <v>337.54</v>
      </c>
      <c r="E35" s="113"/>
      <c r="F35" s="322">
        <f t="shared" si="8"/>
        <v>292.91000000000003</v>
      </c>
      <c r="G35" s="322">
        <f t="shared" si="1"/>
        <v>10.51</v>
      </c>
      <c r="H35" s="241">
        <f t="shared" si="9"/>
        <v>371.72</v>
      </c>
      <c r="I35" s="241">
        <f t="shared" si="12"/>
        <v>709.26</v>
      </c>
      <c r="J35" s="113"/>
      <c r="K35" s="241">
        <f t="shared" si="10"/>
        <v>0</v>
      </c>
      <c r="L35" s="241">
        <f t="shared" si="11"/>
        <v>94.59</v>
      </c>
      <c r="M35" s="113">
        <f t="shared" si="13"/>
        <v>630.45000000000005</v>
      </c>
      <c r="Q35" s="314">
        <v>5</v>
      </c>
    </row>
    <row r="36" spans="2:17">
      <c r="B36" s="136">
        <f t="shared" si="0"/>
        <v>2042</v>
      </c>
      <c r="C36" s="242"/>
      <c r="D36" s="322">
        <f t="shared" si="7"/>
        <v>344.81</v>
      </c>
      <c r="E36" s="113"/>
      <c r="F36" s="322">
        <f t="shared" si="8"/>
        <v>299.22000000000003</v>
      </c>
      <c r="G36" s="322">
        <f t="shared" si="1"/>
        <v>10.74</v>
      </c>
      <c r="H36" s="241">
        <f t="shared" si="9"/>
        <v>379.75</v>
      </c>
      <c r="I36" s="241">
        <f t="shared" si="12"/>
        <v>724.56</v>
      </c>
      <c r="J36" s="113"/>
      <c r="K36" s="241">
        <f t="shared" si="10"/>
        <v>0</v>
      </c>
      <c r="L36" s="241">
        <f t="shared" si="11"/>
        <v>96.63</v>
      </c>
      <c r="M36" s="113">
        <f t="shared" si="13"/>
        <v>644.03</v>
      </c>
      <c r="Q36" s="314">
        <v>5</v>
      </c>
    </row>
    <row r="37" spans="2:17">
      <c r="N37" s="136"/>
      <c r="P37" s="246"/>
    </row>
    <row r="38" spans="2:17" ht="14.25">
      <c r="B38" s="4" t="s">
        <v>25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N38" s="136"/>
      <c r="O38" s="246"/>
      <c r="P38" s="246"/>
    </row>
    <row r="40" spans="2:17">
      <c r="B40" t="s">
        <v>105</v>
      </c>
      <c r="D40" s="247" t="s">
        <v>174</v>
      </c>
    </row>
    <row r="41" spans="2:17">
      <c r="C41" s="248" t="str">
        <f>D10</f>
        <v>(b)</v>
      </c>
      <c r="D41" s="241" t="str">
        <f>"= "&amp;C10&amp;" x "&amp;C70</f>
        <v>= (a) x 0.0673334815141819</v>
      </c>
    </row>
    <row r="42" spans="2:17">
      <c r="C42" s="248" t="str">
        <f>H10</f>
        <v>(f)</v>
      </c>
      <c r="D42" s="241" t="str">
        <f>"= "&amp;$G$10&amp;" x  (8.76 x "&amp;TEXT(H59,"0.0%")&amp;") + "&amp;$F$10</f>
        <v>= (e) x  (8.76 x 85.6%) + (d)</v>
      </c>
    </row>
    <row r="43" spans="2:17">
      <c r="C43" s="248" t="str">
        <f>I10</f>
        <v>(g)</v>
      </c>
      <c r="D43" s="241" t="str">
        <f>"= "&amp;D10&amp;" + "&amp;H10</f>
        <v>= (b) + (f)</v>
      </c>
    </row>
    <row r="44" spans="2:17">
      <c r="C44" s="248" t="str">
        <f>J10</f>
        <v>(h)</v>
      </c>
      <c r="D44" s="249" t="str">
        <f>'Table 4'!B3&amp;" - "&amp;'Table 4'!B4</f>
        <v>Table 4 - Burnertip Natural Gas Price Forecast</v>
      </c>
    </row>
    <row r="45" spans="2:17">
      <c r="C45" s="248" t="str">
        <f>K10</f>
        <v>(i)</v>
      </c>
      <c r="D45" s="241" t="str">
        <f>"= "&amp;TEXT(L59,"?,0")&amp;" MMBtu/MWH x "&amp;J9</f>
        <v>=  0 MMBtu/MWH x $/MMBtu</v>
      </c>
    </row>
    <row r="46" spans="2:17">
      <c r="C46" s="248" t="str">
        <f>L10</f>
        <v>(i)</v>
      </c>
      <c r="D46" s="241" t="str">
        <f>"= "&amp;I10&amp;" / (8.76 x 'Capacity Factor' ) + "&amp;K10</f>
        <v>= (g) / (8.76 x 'Capacity Factor' ) + (i)</v>
      </c>
    </row>
    <row r="47" spans="2:17" ht="13.5" thickBot="1"/>
    <row r="48" spans="2:17" ht="13.5" thickBot="1">
      <c r="C48" s="39" t="s">
        <v>181</v>
      </c>
      <c r="D48" s="250"/>
      <c r="E48" s="250"/>
      <c r="F48" s="250"/>
      <c r="G48" s="250"/>
      <c r="H48" s="250"/>
      <c r="I48" s="250"/>
      <c r="J48" s="250"/>
      <c r="K48" s="251"/>
      <c r="L48" s="252"/>
    </row>
    <row r="49" spans="2:22" ht="5.25" customHeight="1"/>
    <row r="50" spans="2:22" ht="5.25" customHeight="1"/>
    <row r="51" spans="2:22">
      <c r="C51" s="253" t="s">
        <v>106</v>
      </c>
      <c r="D51" s="254"/>
      <c r="E51" s="253"/>
      <c r="F51" s="253"/>
      <c r="G51" s="255" t="s">
        <v>32</v>
      </c>
      <c r="H51" s="255" t="s">
        <v>107</v>
      </c>
      <c r="I51" s="255" t="s">
        <v>108</v>
      </c>
      <c r="J51" s="255" t="s">
        <v>33</v>
      </c>
    </row>
    <row r="52" spans="2:22">
      <c r="C52" s="245" t="s">
        <v>109</v>
      </c>
      <c r="G52" s="256">
        <f>C63</f>
        <v>345</v>
      </c>
      <c r="H52" s="38">
        <f>G52/G54</f>
        <v>1</v>
      </c>
      <c r="I52" s="257">
        <f>C64</f>
        <v>3799.5717060566089</v>
      </c>
      <c r="J52" s="258">
        <f>C67</f>
        <v>222.01</v>
      </c>
      <c r="Q52" s="104"/>
      <c r="R52" s="104"/>
      <c r="S52" s="226"/>
      <c r="T52" s="104"/>
      <c r="U52" s="104"/>
      <c r="V52" s="104"/>
    </row>
    <row r="53" spans="2:22">
      <c r="C53" s="245"/>
      <c r="G53" s="259">
        <f>D63</f>
        <v>0</v>
      </c>
      <c r="H53" s="260">
        <f>1-H52</f>
        <v>0</v>
      </c>
      <c r="I53" s="261">
        <f>D64</f>
        <v>0</v>
      </c>
      <c r="J53" s="262">
        <f>D67</f>
        <v>0</v>
      </c>
      <c r="Q53" s="291"/>
      <c r="R53" s="104"/>
      <c r="S53" s="226"/>
      <c r="T53" s="226"/>
      <c r="U53" s="104"/>
      <c r="V53" s="226"/>
    </row>
    <row r="54" spans="2:22">
      <c r="C54" s="245" t="s">
        <v>110</v>
      </c>
      <c r="G54" s="256">
        <f>G52+G53</f>
        <v>345</v>
      </c>
      <c r="H54" s="38">
        <f>H52+H53</f>
        <v>1</v>
      </c>
      <c r="I54" s="257">
        <f>ROUND(((G52*I52)+(G53*I53))/G54,0)</f>
        <v>3800</v>
      </c>
      <c r="J54" s="258">
        <f>ROUND(((G52*J52)+(G53*J53))/G54,2)</f>
        <v>222.01</v>
      </c>
      <c r="Q54" s="291"/>
      <c r="R54" s="104"/>
      <c r="S54" s="226"/>
      <c r="T54" s="104"/>
      <c r="U54" s="104"/>
      <c r="V54" s="226"/>
    </row>
    <row r="55" spans="2:22">
      <c r="C55" s="245"/>
      <c r="G55" s="256"/>
      <c r="H55" s="38"/>
      <c r="I55" s="263"/>
      <c r="J55" s="264"/>
      <c r="Q55" s="104"/>
      <c r="R55" s="104"/>
      <c r="S55" s="104"/>
      <c r="T55" s="104"/>
      <c r="U55" s="104"/>
      <c r="V55" s="226"/>
    </row>
    <row r="56" spans="2:22">
      <c r="C56" s="265" t="s">
        <v>106</v>
      </c>
      <c r="D56" s="254"/>
      <c r="E56" s="253"/>
      <c r="F56" s="253"/>
      <c r="G56" s="255" t="s">
        <v>32</v>
      </c>
      <c r="H56" s="255" t="s">
        <v>34</v>
      </c>
      <c r="I56" s="255" t="s">
        <v>111</v>
      </c>
      <c r="J56" s="255" t="s">
        <v>107</v>
      </c>
      <c r="K56" s="255" t="s">
        <v>112</v>
      </c>
      <c r="L56" s="255" t="s">
        <v>113</v>
      </c>
    </row>
    <row r="57" spans="2:22">
      <c r="C57" s="266" t="str">
        <f>C52</f>
        <v>SCCT Dry "F" - Turbine</v>
      </c>
      <c r="D57" s="267"/>
      <c r="E57" s="267"/>
      <c r="F57" s="267"/>
      <c r="G57">
        <f>C63</f>
        <v>345</v>
      </c>
      <c r="H57" s="38">
        <f>C71</f>
        <v>0.85562099999999996</v>
      </c>
      <c r="I57" s="150">
        <f>H57*G57</f>
        <v>295.18924499999997</v>
      </c>
      <c r="J57" s="38">
        <f>I57/I59</f>
        <v>1</v>
      </c>
      <c r="K57" s="264">
        <f>C68</f>
        <v>6.7187999999999999</v>
      </c>
      <c r="L57" s="268">
        <f>C69</f>
        <v>0</v>
      </c>
    </row>
    <row r="58" spans="2:22">
      <c r="C58" s="266">
        <f>C53</f>
        <v>0</v>
      </c>
      <c r="D58" s="267"/>
      <c r="E58" s="267"/>
      <c r="F58" s="267"/>
      <c r="G58" s="269">
        <f>D63</f>
        <v>0</v>
      </c>
      <c r="H58" s="260">
        <f>D71</f>
        <v>0</v>
      </c>
      <c r="I58" s="270">
        <f>H58*G58</f>
        <v>0</v>
      </c>
      <c r="J58" s="260">
        <f>1-J57</f>
        <v>0</v>
      </c>
      <c r="K58" s="271">
        <f>D68</f>
        <v>0</v>
      </c>
      <c r="L58" s="272">
        <f>D69</f>
        <v>0</v>
      </c>
    </row>
    <row r="59" spans="2:22">
      <c r="C59" s="245" t="s">
        <v>114</v>
      </c>
      <c r="G59">
        <f>G57+G58</f>
        <v>345</v>
      </c>
      <c r="H59" s="273">
        <f>ROUND(I59/G59,3)</f>
        <v>0.85599999999999998</v>
      </c>
      <c r="I59" s="150">
        <f>SUM(I57:I58)</f>
        <v>295.18924499999997</v>
      </c>
      <c r="J59" s="38">
        <f>J57+J58</f>
        <v>1</v>
      </c>
      <c r="K59" s="264">
        <f>ROUND(($J57*K57)+($J58*K58),2)</f>
        <v>6.72</v>
      </c>
      <c r="L59" s="274">
        <f>ROUND(($J57*L57)+($J58*L58),0)</f>
        <v>0</v>
      </c>
    </row>
    <row r="60" spans="2:22">
      <c r="H60" s="273"/>
      <c r="J60" s="38"/>
      <c r="K60" s="264"/>
      <c r="L60" s="275" t="s">
        <v>115</v>
      </c>
    </row>
    <row r="62" spans="2:22">
      <c r="C62" s="255" t="s">
        <v>116</v>
      </c>
      <c r="D62" s="255" t="s">
        <v>117</v>
      </c>
      <c r="E62" s="318"/>
      <c r="F62" s="276" t="str">
        <f>D40</f>
        <v xml:space="preserve">Plant Costs  - 2019 IRP - Table 7.1 &amp; 7.2 </v>
      </c>
      <c r="G62" s="277"/>
      <c r="H62" s="277"/>
      <c r="I62" s="277"/>
      <c r="J62" s="277"/>
      <c r="K62" s="277"/>
      <c r="L62" s="278"/>
    </row>
    <row r="63" spans="2:22">
      <c r="C63" s="285">
        <v>345</v>
      </c>
      <c r="F63" t="s">
        <v>118</v>
      </c>
      <c r="I63" s="279"/>
    </row>
    <row r="64" spans="2:22">
      <c r="B64" t="s">
        <v>179</v>
      </c>
      <c r="C64" s="284">
        <f>1310852.23858953/C63</f>
        <v>3799.5717060566089</v>
      </c>
      <c r="D64" s="263"/>
      <c r="F64" t="s">
        <v>119</v>
      </c>
    </row>
    <row r="65" spans="2:13">
      <c r="B65" t="s">
        <v>179</v>
      </c>
      <c r="C65" s="315">
        <v>222.01</v>
      </c>
      <c r="D65" s="264"/>
      <c r="F65" t="s">
        <v>120</v>
      </c>
    </row>
    <row r="66" spans="2:13">
      <c r="C66" s="287">
        <v>0</v>
      </c>
      <c r="D66" s="280"/>
      <c r="F66" t="s">
        <v>121</v>
      </c>
    </row>
    <row r="67" spans="2:13">
      <c r="B67" t="s">
        <v>179</v>
      </c>
      <c r="C67" s="264">
        <f>C65+C66</f>
        <v>222.01</v>
      </c>
      <c r="D67" s="264"/>
      <c r="F67" t="s">
        <v>122</v>
      </c>
    </row>
    <row r="68" spans="2:13">
      <c r="B68" t="s">
        <v>156</v>
      </c>
      <c r="C68" s="315">
        <v>6.7187999999999999</v>
      </c>
      <c r="D68" s="264"/>
      <c r="F68" t="s">
        <v>123</v>
      </c>
    </row>
    <row r="69" spans="2:13">
      <c r="C69" s="289"/>
      <c r="D69" s="274"/>
      <c r="F69" t="s">
        <v>124</v>
      </c>
    </row>
    <row r="70" spans="2:13">
      <c r="C70" s="286">
        <v>6.7333481514181892E-2</v>
      </c>
      <c r="D70" s="281"/>
      <c r="F70" t="s">
        <v>36</v>
      </c>
    </row>
    <row r="71" spans="2:13">
      <c r="C71" s="288">
        <v>0.85562099999999996</v>
      </c>
      <c r="D71" s="282"/>
      <c r="F71" t="s">
        <v>37</v>
      </c>
    </row>
    <row r="72" spans="2:13">
      <c r="D72" s="38">
        <f>ROUND(I59/G59,3)</f>
        <v>0.85599999999999998</v>
      </c>
      <c r="F72" t="s">
        <v>125</v>
      </c>
    </row>
    <row r="73" spans="2:13">
      <c r="B73" s="302" t="e">
        <f>LEFT(RIGHT(INDEX('Table 3 TransCost'!$39:$39,1,MATCH(E73,'Table 3 TransCost'!$4:$4,0)),6),5)</f>
        <v>#N/A</v>
      </c>
      <c r="C73" s="222"/>
      <c r="D73" s="104" t="s">
        <v>150</v>
      </c>
      <c r="E73" s="226"/>
      <c r="F73" s="104"/>
    </row>
    <row r="74" spans="2:13" ht="13.5" thickBot="1">
      <c r="C74" s="317">
        <v>26.724569206547603</v>
      </c>
      <c r="F74" t="s">
        <v>176</v>
      </c>
      <c r="G74" s="316"/>
    </row>
    <row r="75" spans="2:13" ht="13.5" thickBot="1"/>
    <row r="76" spans="2:13" ht="13.5" thickBot="1">
      <c r="C76" s="37" t="str">
        <f>"Company Official Inflation Forecast Dated "&amp;TEXT('Table 4'!$H$5,"mmmm dd, yyyy")</f>
        <v>Company Official Inflation Forecast Dated December 30, 2022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5"/>
    </row>
    <row r="77" spans="2:13">
      <c r="C77" s="78">
        <v>2017</v>
      </c>
      <c r="D77" s="38">
        <v>0.02</v>
      </c>
      <c r="G77" s="78">
        <f>C85+1</f>
        <v>2026</v>
      </c>
      <c r="H77" s="38">
        <v>2.1999999999999999E-2</v>
      </c>
      <c r="I77" s="38"/>
      <c r="J77" s="78">
        <f>G85+1</f>
        <v>2035</v>
      </c>
      <c r="K77" s="38">
        <v>2.1000000000000001E-2</v>
      </c>
      <c r="L77" s="104"/>
      <c r="M77" s="104"/>
    </row>
    <row r="78" spans="2:13">
      <c r="C78" s="78">
        <f t="shared" ref="C78:C85" si="14">C77+1</f>
        <v>2018</v>
      </c>
      <c r="D78" s="38">
        <v>2.4E-2</v>
      </c>
      <c r="G78" s="78">
        <f t="shared" ref="G78:G85" si="15">G77+1</f>
        <v>2027</v>
      </c>
      <c r="H78" s="38">
        <v>2.1999999999999999E-2</v>
      </c>
      <c r="I78" s="38"/>
      <c r="J78" s="78">
        <f>J77+1</f>
        <v>2036</v>
      </c>
      <c r="K78" s="38">
        <v>2.1000000000000001E-2</v>
      </c>
      <c r="L78" s="104"/>
      <c r="M78" s="104"/>
    </row>
    <row r="79" spans="2:13">
      <c r="C79" s="78">
        <f t="shared" si="14"/>
        <v>2019</v>
      </c>
      <c r="D79" s="38">
        <v>1.7999999999999999E-2</v>
      </c>
      <c r="G79" s="78">
        <f t="shared" si="15"/>
        <v>2028</v>
      </c>
      <c r="H79" s="38">
        <v>2.1999999999999999E-2</v>
      </c>
      <c r="I79" s="38"/>
      <c r="J79" s="78">
        <f t="shared" ref="J79:J85" si="16">J78+1</f>
        <v>2037</v>
      </c>
      <c r="K79" s="38">
        <v>2.1000000000000001E-2</v>
      </c>
      <c r="L79" s="104"/>
      <c r="M79" s="104"/>
    </row>
    <row r="80" spans="2:13">
      <c r="C80" s="78">
        <f t="shared" si="14"/>
        <v>2020</v>
      </c>
      <c r="D80" s="38">
        <v>1.2999999999999999E-2</v>
      </c>
      <c r="G80" s="78">
        <f t="shared" si="15"/>
        <v>2029</v>
      </c>
      <c r="H80" s="38">
        <v>2.1999999999999999E-2</v>
      </c>
      <c r="I80" s="38"/>
      <c r="J80" s="78">
        <f t="shared" si="16"/>
        <v>2038</v>
      </c>
      <c r="K80" s="38">
        <v>2.1000000000000001E-2</v>
      </c>
      <c r="L80" s="104"/>
      <c r="M80" s="104"/>
    </row>
    <row r="81" spans="3:13">
      <c r="C81" s="78">
        <f t="shared" si="14"/>
        <v>2021</v>
      </c>
      <c r="D81" s="38">
        <v>4.5999999999999999E-2</v>
      </c>
      <c r="G81" s="78">
        <f t="shared" si="15"/>
        <v>2030</v>
      </c>
      <c r="H81" s="38">
        <v>2.1999999999999999E-2</v>
      </c>
      <c r="I81" s="38"/>
      <c r="J81" s="78">
        <f t="shared" si="16"/>
        <v>2039</v>
      </c>
      <c r="K81" s="38">
        <v>2.1000000000000001E-2</v>
      </c>
      <c r="L81" s="104"/>
      <c r="M81" s="104"/>
    </row>
    <row r="82" spans="3:13">
      <c r="C82" s="78">
        <f t="shared" si="14"/>
        <v>2022</v>
      </c>
      <c r="D82" s="38">
        <v>7.4999999999999997E-2</v>
      </c>
      <c r="G82" s="78">
        <f t="shared" si="15"/>
        <v>2031</v>
      </c>
      <c r="H82" s="38">
        <v>2.1999999999999999E-2</v>
      </c>
      <c r="I82" s="38"/>
      <c r="J82" s="78">
        <f t="shared" si="16"/>
        <v>2040</v>
      </c>
      <c r="K82" s="38">
        <v>2.1000000000000001E-2</v>
      </c>
      <c r="L82" s="104"/>
      <c r="M82" s="104"/>
    </row>
    <row r="83" spans="3:13">
      <c r="C83" s="78">
        <f t="shared" si="14"/>
        <v>2023</v>
      </c>
      <c r="D83" s="38">
        <v>3.9E-2</v>
      </c>
      <c r="G83" s="78">
        <f t="shared" si="15"/>
        <v>2032</v>
      </c>
      <c r="H83" s="38">
        <v>2.1999999999999999E-2</v>
      </c>
      <c r="I83" s="38"/>
      <c r="J83" s="78">
        <f t="shared" si="16"/>
        <v>2041</v>
      </c>
      <c r="K83" s="38">
        <v>2.1999999999999999E-2</v>
      </c>
      <c r="L83" s="104"/>
      <c r="M83" s="104"/>
    </row>
    <row r="84" spans="3:13">
      <c r="C84" s="78">
        <f t="shared" si="14"/>
        <v>2024</v>
      </c>
      <c r="D84" s="38">
        <v>2.3E-2</v>
      </c>
      <c r="G84" s="78">
        <f t="shared" si="15"/>
        <v>2033</v>
      </c>
      <c r="H84" s="38">
        <v>2.1999999999999999E-2</v>
      </c>
      <c r="I84" s="38"/>
      <c r="J84" s="78">
        <f t="shared" si="16"/>
        <v>2042</v>
      </c>
      <c r="K84" s="38">
        <v>2.1999999999999999E-2</v>
      </c>
      <c r="L84" s="104"/>
      <c r="M84" s="104"/>
    </row>
    <row r="85" spans="3:13">
      <c r="C85" s="78">
        <f t="shared" si="14"/>
        <v>2025</v>
      </c>
      <c r="D85" s="38">
        <v>2.1999999999999999E-2</v>
      </c>
      <c r="G85" s="78">
        <f t="shared" si="15"/>
        <v>2034</v>
      </c>
      <c r="H85" s="38">
        <v>2.1000000000000001E-2</v>
      </c>
      <c r="I85" s="38"/>
      <c r="J85" s="78">
        <f t="shared" si="16"/>
        <v>2043</v>
      </c>
      <c r="K85" s="38">
        <v>2.1999999999999999E-2</v>
      </c>
      <c r="L85" s="104"/>
      <c r="M85" s="104"/>
    </row>
    <row r="88" spans="3:13">
      <c r="D88" s="283"/>
    </row>
    <row r="89" spans="3:13">
      <c r="D89" s="283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B1:AD79"/>
  <sheetViews>
    <sheetView view="pageBreakPreview" topLeftCell="A2" zoomScale="60" zoomScaleNormal="70" workbookViewId="0">
      <selection activeCell="B4" sqref="B4"/>
    </sheetView>
  </sheetViews>
  <sheetFormatPr defaultColWidth="9.33203125" defaultRowHeight="12.75"/>
  <cols>
    <col min="1" max="1" width="2.83203125" customWidth="1"/>
    <col min="2" max="2" width="10.83203125" customWidth="1"/>
    <col min="3" max="3" width="14.1640625" customWidth="1"/>
    <col min="4" max="4" width="12.33203125" customWidth="1"/>
    <col min="5" max="5" width="10.83203125" customWidth="1"/>
    <col min="6" max="6" width="10" customWidth="1"/>
    <col min="7" max="7" width="10.5" customWidth="1"/>
    <col min="8" max="8" width="10.5" bestFit="1" customWidth="1"/>
    <col min="9" max="9" width="11.6640625" bestFit="1" customWidth="1"/>
    <col min="10" max="10" width="11.1640625" customWidth="1"/>
    <col min="11" max="11" width="12" bestFit="1" customWidth="1"/>
    <col min="12" max="12" width="14.1640625" customWidth="1"/>
    <col min="13" max="13" width="14.33203125" customWidth="1"/>
    <col min="14" max="14" width="22.33203125" customWidth="1"/>
    <col min="15" max="15" width="9.33203125" customWidth="1"/>
    <col min="16" max="21" width="11.33203125" customWidth="1"/>
    <col min="22" max="22" width="10.33203125" customWidth="1"/>
    <col min="23" max="23" width="12" customWidth="1"/>
    <col min="24" max="24" width="11.5" customWidth="1"/>
    <col min="27" max="27" width="13.6640625" customWidth="1"/>
    <col min="29" max="30" width="9.33203125" style="104"/>
  </cols>
  <sheetData>
    <row r="1" spans="2:28" ht="15.75" hidden="1">
      <c r="B1" s="1" t="s">
        <v>35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2:28" ht="15.75">
      <c r="B2" s="1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2:28" ht="15.75">
      <c r="B3" s="1" t="s">
        <v>56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V3" s="104"/>
      <c r="W3" s="104"/>
      <c r="X3" s="104"/>
      <c r="Y3" s="104"/>
      <c r="Z3" s="104"/>
      <c r="AA3" s="104"/>
      <c r="AB3" s="104"/>
    </row>
    <row r="4" spans="2:28" ht="15.75">
      <c r="B4" s="1" t="s">
        <v>209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V4" s="104"/>
      <c r="W4" s="104"/>
      <c r="X4" s="104"/>
      <c r="Y4" s="104"/>
      <c r="Z4" s="104"/>
      <c r="AA4" s="104"/>
      <c r="AB4" s="104"/>
    </row>
    <row r="5" spans="2:28" ht="15.75">
      <c r="B5" s="1" t="str">
        <f>C48</f>
        <v>Non Emitting - 206 MW- East Side Resource (5,050')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2:28" ht="15.75">
      <c r="B6" s="1"/>
      <c r="C6" s="234"/>
      <c r="D6" s="234"/>
      <c r="E6" s="234"/>
      <c r="F6" s="234"/>
      <c r="G6" s="234"/>
      <c r="H6" s="234"/>
      <c r="I6" s="234"/>
      <c r="J6" s="234"/>
      <c r="L6" s="235"/>
    </row>
    <row r="7" spans="2:28">
      <c r="B7" s="234"/>
      <c r="C7" s="234"/>
      <c r="D7" s="234"/>
      <c r="E7" s="234"/>
      <c r="F7" s="234"/>
      <c r="G7" s="234"/>
      <c r="H7" s="234"/>
      <c r="I7" s="234"/>
      <c r="J7" s="234"/>
      <c r="V7" s="104"/>
      <c r="W7" s="104"/>
      <c r="X7" s="104"/>
      <c r="Y7" s="104"/>
      <c r="Z7" s="104"/>
      <c r="AA7" s="104"/>
      <c r="AB7" s="104"/>
    </row>
    <row r="8" spans="2:28" ht="51.75" customHeight="1">
      <c r="B8" s="14" t="s">
        <v>0</v>
      </c>
      <c r="C8" s="15" t="s">
        <v>10</v>
      </c>
      <c r="D8" s="15" t="s">
        <v>11</v>
      </c>
      <c r="E8" s="15" t="s">
        <v>91</v>
      </c>
      <c r="F8" s="15" t="s">
        <v>12</v>
      </c>
      <c r="G8" s="15" t="s">
        <v>13</v>
      </c>
      <c r="H8" s="15" t="s">
        <v>101</v>
      </c>
      <c r="I8" s="15" t="s">
        <v>102</v>
      </c>
      <c r="J8" s="236" t="s">
        <v>21</v>
      </c>
      <c r="K8" s="236" t="s">
        <v>103</v>
      </c>
      <c r="L8" s="15" t="s">
        <v>52</v>
      </c>
      <c r="M8" s="106" t="s">
        <v>151</v>
      </c>
      <c r="V8" s="104"/>
      <c r="W8" s="104"/>
      <c r="X8" s="104"/>
      <c r="Y8" s="104"/>
      <c r="Z8" s="104"/>
      <c r="AA8" s="104"/>
      <c r="AB8" s="104"/>
    </row>
    <row r="9" spans="2:28" ht="48" customHeight="1">
      <c r="B9" s="237"/>
      <c r="C9" s="16" t="s">
        <v>8</v>
      </c>
      <c r="D9" s="17" t="s">
        <v>9</v>
      </c>
      <c r="E9" s="17" t="s">
        <v>9</v>
      </c>
      <c r="F9" s="17" t="s">
        <v>9</v>
      </c>
      <c r="G9" s="16" t="s">
        <v>31</v>
      </c>
      <c r="H9" s="17" t="s">
        <v>9</v>
      </c>
      <c r="I9" s="17" t="s">
        <v>9</v>
      </c>
      <c r="J9" s="17" t="s">
        <v>104</v>
      </c>
      <c r="K9" s="16" t="s">
        <v>31</v>
      </c>
      <c r="L9" s="16" t="s">
        <v>31</v>
      </c>
      <c r="M9" s="109" t="s">
        <v>9</v>
      </c>
      <c r="V9" s="104"/>
      <c r="W9" s="104"/>
      <c r="X9" s="104"/>
      <c r="Y9" s="104"/>
      <c r="Z9" s="104"/>
      <c r="AA9" s="172"/>
      <c r="AB9" s="172"/>
    </row>
    <row r="10" spans="2:28">
      <c r="C10" s="238" t="s">
        <v>1</v>
      </c>
      <c r="D10" s="238" t="s">
        <v>2</v>
      </c>
      <c r="E10" s="238" t="s">
        <v>3</v>
      </c>
      <c r="F10" s="238" t="s">
        <v>4</v>
      </c>
      <c r="G10" s="238" t="s">
        <v>5</v>
      </c>
      <c r="H10" s="238" t="s">
        <v>7</v>
      </c>
      <c r="I10" s="238" t="s">
        <v>22</v>
      </c>
      <c r="J10" s="238" t="s">
        <v>23</v>
      </c>
      <c r="K10" s="238" t="s">
        <v>24</v>
      </c>
      <c r="L10" s="110" t="s">
        <v>24</v>
      </c>
      <c r="M10" s="110" t="s">
        <v>178</v>
      </c>
      <c r="V10" s="104"/>
      <c r="W10" s="104"/>
      <c r="X10" s="104"/>
      <c r="Y10" s="104"/>
      <c r="Z10" s="104"/>
      <c r="AA10" s="104"/>
      <c r="AB10" s="104"/>
    </row>
    <row r="11" spans="2:28" ht="6" customHeight="1">
      <c r="M11" s="104"/>
      <c r="V11" s="104"/>
      <c r="W11" s="104"/>
      <c r="X11" s="104"/>
      <c r="Y11" s="104"/>
      <c r="Z11" s="104"/>
      <c r="AA11" s="104"/>
      <c r="AB11" s="104"/>
    </row>
    <row r="12" spans="2:28" ht="15.75">
      <c r="B12" s="40" t="str">
        <f>C48</f>
        <v>Non Emitting - 206 MW- East Side Resource (5,050')</v>
      </c>
      <c r="J12" s="234"/>
      <c r="K12" s="234"/>
      <c r="L12" s="234"/>
      <c r="M12" s="104"/>
      <c r="V12" s="104"/>
      <c r="W12" s="104"/>
      <c r="X12" s="104"/>
      <c r="Y12" s="104"/>
      <c r="Z12" s="104"/>
      <c r="AA12" s="104"/>
      <c r="AB12" s="104"/>
    </row>
    <row r="13" spans="2:28" ht="18.95" customHeight="1">
      <c r="B13" s="136"/>
      <c r="C13" s="239"/>
      <c r="D13" s="240"/>
      <c r="E13" s="241"/>
      <c r="F13" s="241"/>
      <c r="G13" s="241"/>
      <c r="H13" s="241"/>
      <c r="I13" s="241"/>
      <c r="J13" s="241"/>
      <c r="K13" s="241"/>
      <c r="L13" s="241"/>
      <c r="M13" s="113"/>
      <c r="V13" s="104"/>
      <c r="W13" s="134"/>
      <c r="X13" s="134"/>
      <c r="Y13" s="134"/>
      <c r="Z13" s="104"/>
      <c r="AA13" s="134"/>
      <c r="AB13" s="134"/>
    </row>
    <row r="14" spans="2:28">
      <c r="B14" s="136">
        <v>2020</v>
      </c>
      <c r="C14" s="242"/>
      <c r="D14" s="113"/>
      <c r="E14" s="113"/>
      <c r="F14" s="113"/>
      <c r="G14" s="333">
        <f>$C$68</f>
        <v>21.294</v>
      </c>
      <c r="H14" s="241"/>
      <c r="I14" s="241"/>
      <c r="J14" s="334">
        <f>$C$74</f>
        <v>26.724569206547603</v>
      </c>
      <c r="K14" s="241"/>
      <c r="L14" s="241"/>
      <c r="M14" s="113"/>
      <c r="N14" s="38"/>
      <c r="P14" s="314"/>
      <c r="V14" s="104"/>
      <c r="W14" s="104"/>
      <c r="X14" s="134"/>
      <c r="Y14" s="230"/>
      <c r="Z14" s="104"/>
      <c r="AA14" s="134"/>
      <c r="AB14" s="134"/>
    </row>
    <row r="15" spans="2:28">
      <c r="B15" s="136">
        <f t="shared" ref="B15:B36" si="0">B14+1</f>
        <v>2021</v>
      </c>
      <c r="C15" s="242"/>
      <c r="D15" s="113"/>
      <c r="E15" s="113"/>
      <c r="F15" s="113"/>
      <c r="G15" s="113">
        <f t="shared" ref="G15:G36" si="1">ROUND(G14*(1+IRP21_Infl_Rate),2)</f>
        <v>21.75</v>
      </c>
      <c r="H15" s="241"/>
      <c r="I15" s="241"/>
      <c r="J15" s="113">
        <f t="shared" ref="J15:J36" si="2">ROUND(J14*(1+IRP21_Infl_Rate),2)</f>
        <v>27.3</v>
      </c>
      <c r="K15" s="241"/>
      <c r="L15" s="241"/>
      <c r="M15" s="113"/>
      <c r="N15" s="38"/>
      <c r="P15" s="314"/>
      <c r="Q15" s="314"/>
      <c r="V15" s="104"/>
      <c r="W15" s="134"/>
      <c r="X15" s="134"/>
      <c r="Y15" s="230"/>
      <c r="Z15" s="134"/>
      <c r="AA15" s="134"/>
      <c r="AB15" s="134"/>
    </row>
    <row r="16" spans="2:28">
      <c r="B16" s="136">
        <f t="shared" si="0"/>
        <v>2022</v>
      </c>
      <c r="C16" s="242"/>
      <c r="D16" s="113"/>
      <c r="E16" s="113"/>
      <c r="F16" s="113"/>
      <c r="G16" s="113">
        <f t="shared" si="1"/>
        <v>22.22</v>
      </c>
      <c r="H16" s="241"/>
      <c r="I16" s="241"/>
      <c r="J16" s="113">
        <f t="shared" si="2"/>
        <v>27.89</v>
      </c>
      <c r="K16" s="241"/>
      <c r="L16" s="241"/>
      <c r="M16" s="113"/>
      <c r="N16" s="38"/>
      <c r="P16" s="314"/>
      <c r="Q16" s="314"/>
      <c r="V16" s="104"/>
      <c r="W16" s="134"/>
      <c r="X16" s="134"/>
      <c r="Y16" s="230"/>
      <c r="Z16" s="134"/>
      <c r="AA16" s="134"/>
      <c r="AB16" s="134"/>
    </row>
    <row r="17" spans="2:30">
      <c r="B17" s="136">
        <f t="shared" si="0"/>
        <v>2023</v>
      </c>
      <c r="C17" s="242"/>
      <c r="D17" s="113"/>
      <c r="E17" s="113"/>
      <c r="F17" s="113"/>
      <c r="G17" s="113">
        <f t="shared" si="1"/>
        <v>22.7</v>
      </c>
      <c r="H17" s="241"/>
      <c r="I17" s="241"/>
      <c r="J17" s="113">
        <f t="shared" si="2"/>
        <v>28.49</v>
      </c>
      <c r="K17" s="241"/>
      <c r="L17" s="241"/>
      <c r="M17" s="113"/>
      <c r="N17" s="38"/>
      <c r="P17" s="314"/>
      <c r="Q17" s="314"/>
      <c r="V17" s="104"/>
      <c r="W17" s="134"/>
      <c r="X17" s="134"/>
      <c r="Y17" s="230"/>
      <c r="Z17" s="134"/>
      <c r="AA17" s="134"/>
      <c r="AB17" s="134"/>
    </row>
    <row r="18" spans="2:30">
      <c r="B18" s="136">
        <f t="shared" si="0"/>
        <v>2024</v>
      </c>
      <c r="C18" s="242"/>
      <c r="D18" s="113"/>
      <c r="E18" s="113"/>
      <c r="F18" s="113"/>
      <c r="G18" s="113">
        <f t="shared" si="1"/>
        <v>23.19</v>
      </c>
      <c r="H18" s="241"/>
      <c r="I18" s="241"/>
      <c r="J18" s="113">
        <f t="shared" si="2"/>
        <v>29.1</v>
      </c>
      <c r="K18" s="241"/>
      <c r="L18" s="241"/>
      <c r="M18" s="113"/>
      <c r="N18" s="38"/>
      <c r="P18" s="314"/>
      <c r="Q18" s="314"/>
      <c r="V18" s="104"/>
      <c r="W18" s="134"/>
      <c r="X18" s="134"/>
      <c r="Y18" s="230"/>
      <c r="Z18" s="134"/>
      <c r="AA18" s="134"/>
      <c r="AB18" s="134"/>
    </row>
    <row r="19" spans="2:30">
      <c r="B19" s="136">
        <f t="shared" si="0"/>
        <v>2025</v>
      </c>
      <c r="C19" s="242"/>
      <c r="D19" s="113"/>
      <c r="E19" s="113"/>
      <c r="F19" s="113"/>
      <c r="G19" s="113">
        <f t="shared" si="1"/>
        <v>23.69</v>
      </c>
      <c r="H19" s="241"/>
      <c r="I19" s="241"/>
      <c r="J19" s="113">
        <f t="shared" si="2"/>
        <v>29.73</v>
      </c>
      <c r="K19" s="241"/>
      <c r="L19" s="241"/>
      <c r="M19" s="113"/>
      <c r="N19" s="38"/>
      <c r="P19" s="314"/>
      <c r="Q19" s="314"/>
      <c r="V19" s="104"/>
      <c r="W19" s="134"/>
      <c r="X19" s="134"/>
      <c r="Y19" s="230"/>
      <c r="Z19" s="134"/>
      <c r="AA19" s="134"/>
      <c r="AB19" s="134"/>
    </row>
    <row r="20" spans="2:30">
      <c r="B20" s="136">
        <f t="shared" si="0"/>
        <v>2026</v>
      </c>
      <c r="C20" s="242"/>
      <c r="D20" s="240"/>
      <c r="E20" s="113"/>
      <c r="F20" s="113"/>
      <c r="G20" s="113">
        <f t="shared" si="1"/>
        <v>24.2</v>
      </c>
      <c r="H20" s="241"/>
      <c r="I20" s="241"/>
      <c r="J20" s="113">
        <f t="shared" si="2"/>
        <v>30.37</v>
      </c>
      <c r="K20" s="241"/>
      <c r="L20" s="241"/>
      <c r="M20" s="113"/>
      <c r="N20" s="38"/>
      <c r="P20" s="314"/>
      <c r="Q20" s="314"/>
      <c r="V20" s="104"/>
      <c r="W20" s="134"/>
      <c r="X20" s="134"/>
      <c r="Y20" s="134"/>
      <c r="Z20" s="134"/>
      <c r="AA20" s="134"/>
      <c r="AB20" s="134"/>
    </row>
    <row r="21" spans="2:30">
      <c r="B21" s="136">
        <f t="shared" si="0"/>
        <v>2027</v>
      </c>
      <c r="C21" s="242"/>
      <c r="D21" s="113"/>
      <c r="E21" s="113"/>
      <c r="F21" s="113"/>
      <c r="G21" s="113">
        <f t="shared" si="1"/>
        <v>24.72</v>
      </c>
      <c r="H21" s="241"/>
      <c r="I21" s="241"/>
      <c r="J21" s="113">
        <f t="shared" si="2"/>
        <v>31.02</v>
      </c>
      <c r="K21" s="241"/>
      <c r="L21" s="241"/>
      <c r="M21" s="113"/>
      <c r="N21" s="38"/>
      <c r="P21" s="314"/>
      <c r="Q21" s="314"/>
      <c r="V21" s="304"/>
      <c r="W21" s="134"/>
      <c r="X21" s="134"/>
      <c r="Y21" s="134"/>
      <c r="Z21" s="134"/>
      <c r="AA21" s="134"/>
      <c r="AB21" s="134"/>
    </row>
    <row r="22" spans="2:30">
      <c r="B22" s="136">
        <f t="shared" si="0"/>
        <v>2028</v>
      </c>
      <c r="C22" s="242"/>
      <c r="D22" s="113"/>
      <c r="E22" s="113"/>
      <c r="F22" s="113"/>
      <c r="G22" s="113">
        <f t="shared" si="1"/>
        <v>25.25</v>
      </c>
      <c r="H22" s="241"/>
      <c r="I22" s="241"/>
      <c r="J22" s="113">
        <f t="shared" si="2"/>
        <v>31.69</v>
      </c>
      <c r="K22" s="241"/>
      <c r="L22" s="241"/>
      <c r="M22" s="113"/>
      <c r="N22" s="38"/>
      <c r="P22" s="314"/>
      <c r="Q22" s="314"/>
      <c r="V22" s="104"/>
      <c r="W22" s="134"/>
      <c r="X22" s="134"/>
      <c r="Y22" s="134"/>
      <c r="Z22" s="134"/>
      <c r="AA22" s="134"/>
      <c r="AB22" s="134"/>
    </row>
    <row r="23" spans="2:30">
      <c r="B23" s="136">
        <f t="shared" si="0"/>
        <v>2029</v>
      </c>
      <c r="C23" s="242"/>
      <c r="D23" s="113"/>
      <c r="E23" s="113"/>
      <c r="F23" s="113"/>
      <c r="G23" s="113">
        <f t="shared" si="1"/>
        <v>25.79</v>
      </c>
      <c r="H23" s="241"/>
      <c r="I23" s="241"/>
      <c r="J23" s="113">
        <f t="shared" si="2"/>
        <v>32.369999999999997</v>
      </c>
      <c r="K23" s="241"/>
      <c r="L23" s="241"/>
      <c r="M23" s="113"/>
      <c r="N23" s="38"/>
      <c r="P23" s="314"/>
      <c r="Q23" s="314"/>
      <c r="V23" s="104"/>
      <c r="W23" s="134"/>
      <c r="X23" s="134"/>
      <c r="Y23" s="134"/>
      <c r="Z23" s="134"/>
      <c r="AA23" s="134"/>
      <c r="AB23" s="134"/>
    </row>
    <row r="24" spans="2:30" s="245" customFormat="1">
      <c r="B24" s="243">
        <f t="shared" si="0"/>
        <v>2030</v>
      </c>
      <c r="C24" s="242"/>
      <c r="D24" s="113"/>
      <c r="E24" s="113"/>
      <c r="F24" s="113"/>
      <c r="G24" s="113">
        <f t="shared" si="1"/>
        <v>26.35</v>
      </c>
      <c r="H24" s="241"/>
      <c r="I24" s="241"/>
      <c r="J24" s="113">
        <f t="shared" si="2"/>
        <v>33.07</v>
      </c>
      <c r="K24" s="241"/>
      <c r="L24" s="241"/>
      <c r="M24" s="113"/>
      <c r="N24" s="45"/>
      <c r="O24"/>
      <c r="P24" s="314"/>
      <c r="Q24" s="314"/>
      <c r="V24" s="104"/>
      <c r="W24" s="134"/>
      <c r="X24" s="134"/>
      <c r="Y24" s="134"/>
      <c r="Z24" s="134"/>
      <c r="AA24" s="134"/>
      <c r="AB24" s="134"/>
      <c r="AC24" s="104"/>
      <c r="AD24" s="104"/>
    </row>
    <row r="25" spans="2:30" s="245" customFormat="1">
      <c r="B25" s="243">
        <f t="shared" si="0"/>
        <v>2031</v>
      </c>
      <c r="C25" s="314">
        <f>$C$64</f>
        <v>1319.927786794867</v>
      </c>
      <c r="D25" s="240">
        <f>ROUND(C25*$C$70,2)</f>
        <v>98.96</v>
      </c>
      <c r="E25" s="161">
        <f>$C$73</f>
        <v>12.45513744317196</v>
      </c>
      <c r="F25" s="113">
        <v>0</v>
      </c>
      <c r="G25" s="113">
        <f t="shared" si="1"/>
        <v>26.92</v>
      </c>
      <c r="H25" s="241">
        <f t="shared" ref="H25" si="3">ROUND(G25*(8.76*$H$59)+F25,2)</f>
        <v>77.819999999999993</v>
      </c>
      <c r="I25" s="241">
        <f>ROUND(D25+E25+H25,2)</f>
        <v>189.24</v>
      </c>
      <c r="J25" s="113">
        <f t="shared" si="2"/>
        <v>33.78</v>
      </c>
      <c r="K25" s="241">
        <f t="shared" ref="K25" si="4">ROUND($L$59*J25/1000,2)</f>
        <v>335.64</v>
      </c>
      <c r="L25" s="241">
        <f t="shared" ref="L25" si="5">ROUND(I25*1000/8760/$H$59+K25,2)</f>
        <v>401.1</v>
      </c>
      <c r="M25" s="113">
        <f>(D25+E25+F25)</f>
        <v>111.41513744317196</v>
      </c>
      <c r="N25" s="45"/>
      <c r="O25"/>
      <c r="P25" s="314"/>
      <c r="Q25" s="314"/>
      <c r="V25" s="104"/>
      <c r="W25" s="134"/>
      <c r="X25" s="134"/>
      <c r="Y25" s="134"/>
      <c r="Z25" s="134"/>
      <c r="AA25" s="134"/>
      <c r="AB25" s="134"/>
      <c r="AC25" s="104"/>
      <c r="AD25" s="104"/>
    </row>
    <row r="26" spans="2:30" s="245" customFormat="1">
      <c r="B26" s="243">
        <f t="shared" si="0"/>
        <v>2032</v>
      </c>
      <c r="C26" s="242"/>
      <c r="D26" s="113">
        <f t="shared" ref="D26:D36" si="6">ROUND(D25*(1+IRP21_Infl_Rate),2)</f>
        <v>101.09</v>
      </c>
      <c r="E26" s="113">
        <f t="shared" ref="E26:E36" si="7">ROUND(E25*(1+IRP21_Infl_Rate),2)</f>
        <v>12.72</v>
      </c>
      <c r="F26" s="113">
        <f t="shared" ref="F26:F36" si="8">ROUND(F25*(1+IRP21_Infl_Rate),2)</f>
        <v>0</v>
      </c>
      <c r="G26" s="113">
        <f t="shared" si="1"/>
        <v>27.5</v>
      </c>
      <c r="H26" s="241">
        <f t="shared" ref="H26" si="9">ROUND(G26*(8.76*$H$59)+F26,2)</f>
        <v>79.5</v>
      </c>
      <c r="I26" s="241">
        <f>ROUND(D26+E26+H26,2)</f>
        <v>193.31</v>
      </c>
      <c r="J26" s="113">
        <f t="shared" si="2"/>
        <v>34.51</v>
      </c>
      <c r="K26" s="241">
        <f t="shared" ref="K26" si="10">ROUND($L$59*J26/1000,2)</f>
        <v>342.89</v>
      </c>
      <c r="L26" s="241">
        <f t="shared" ref="L26" si="11">ROUND(I26*1000/8760/$H$59+K26,2)</f>
        <v>409.76</v>
      </c>
      <c r="M26" s="113">
        <f>(D26+E26+F26)</f>
        <v>113.81</v>
      </c>
      <c r="N26" s="45"/>
      <c r="O26"/>
      <c r="P26" s="314"/>
      <c r="Q26" s="314"/>
      <c r="V26" s="104"/>
      <c r="W26" s="134"/>
      <c r="X26" s="134"/>
      <c r="Y26" s="134"/>
      <c r="Z26" s="134"/>
      <c r="AA26" s="134"/>
      <c r="AB26" s="134"/>
      <c r="AC26" s="104"/>
      <c r="AD26" s="104"/>
    </row>
    <row r="27" spans="2:30" s="245" customFormat="1">
      <c r="B27" s="243">
        <f t="shared" si="0"/>
        <v>2033</v>
      </c>
      <c r="C27" s="244"/>
      <c r="D27" s="113">
        <f t="shared" si="6"/>
        <v>103.27</v>
      </c>
      <c r="E27" s="113">
        <f t="shared" si="7"/>
        <v>12.99</v>
      </c>
      <c r="F27" s="113">
        <f t="shared" si="8"/>
        <v>0</v>
      </c>
      <c r="G27" s="113">
        <f t="shared" si="1"/>
        <v>28.09</v>
      </c>
      <c r="H27" s="241">
        <f t="shared" ref="H27:H36" si="12">ROUND(G27*(8.76*$H$59)+F27,2)</f>
        <v>81.2</v>
      </c>
      <c r="I27" s="241">
        <f>ROUND(D27+E27+H27,2)</f>
        <v>197.46</v>
      </c>
      <c r="J27" s="113">
        <f t="shared" si="2"/>
        <v>35.25</v>
      </c>
      <c r="K27" s="241">
        <f t="shared" ref="K27:K32" si="13">ROUND($L$59*J27/1000,2)</f>
        <v>350.24</v>
      </c>
      <c r="L27" s="241">
        <f t="shared" ref="L27:L32" si="14">ROUND(I27*1000/8760/$H$59+K27,2)</f>
        <v>418.55</v>
      </c>
      <c r="M27" s="113">
        <f>(D27+E27+F27)</f>
        <v>116.25999999999999</v>
      </c>
      <c r="N27" s="45"/>
      <c r="O27"/>
      <c r="P27" s="314"/>
      <c r="Q27" s="314"/>
      <c r="S27" s="319"/>
      <c r="V27" s="104"/>
      <c r="W27" s="134"/>
      <c r="X27" s="134"/>
      <c r="Y27" s="134"/>
      <c r="Z27" s="134"/>
      <c r="AA27" s="134"/>
      <c r="AB27" s="134"/>
      <c r="AC27" s="104"/>
      <c r="AD27" s="104"/>
    </row>
    <row r="28" spans="2:30" s="245" customFormat="1">
      <c r="B28" s="243">
        <f t="shared" si="0"/>
        <v>2034</v>
      </c>
      <c r="C28" s="244"/>
      <c r="D28" s="113">
        <f t="shared" si="6"/>
        <v>105.5</v>
      </c>
      <c r="E28" s="113">
        <f t="shared" si="7"/>
        <v>13.27</v>
      </c>
      <c r="F28" s="113">
        <f t="shared" si="8"/>
        <v>0</v>
      </c>
      <c r="G28" s="113">
        <f t="shared" si="1"/>
        <v>28.7</v>
      </c>
      <c r="H28" s="241">
        <f t="shared" si="12"/>
        <v>82.97</v>
      </c>
      <c r="I28" s="241">
        <f t="shared" ref="I28:I36" si="15">ROUND(D28+E28+H28,2)</f>
        <v>201.74</v>
      </c>
      <c r="J28" s="113">
        <f t="shared" si="2"/>
        <v>36.01</v>
      </c>
      <c r="K28" s="241">
        <f t="shared" si="13"/>
        <v>357.8</v>
      </c>
      <c r="L28" s="241">
        <f t="shared" si="14"/>
        <v>427.59</v>
      </c>
      <c r="M28" s="113">
        <f t="shared" ref="M28:M36" si="16">(D28+E28+F28)</f>
        <v>118.77</v>
      </c>
      <c r="N28" s="45"/>
      <c r="O28"/>
      <c r="P28"/>
      <c r="V28" s="104"/>
      <c r="W28" s="134"/>
      <c r="X28" s="134"/>
      <c r="Y28" s="134"/>
      <c r="Z28" s="134"/>
      <c r="AA28" s="134"/>
      <c r="AB28" s="134"/>
      <c r="AC28" s="104"/>
      <c r="AD28" s="104"/>
    </row>
    <row r="29" spans="2:30">
      <c r="B29" s="136">
        <f t="shared" si="0"/>
        <v>2035</v>
      </c>
      <c r="C29" s="242"/>
      <c r="D29" s="113">
        <f t="shared" si="6"/>
        <v>107.77</v>
      </c>
      <c r="E29" s="113">
        <f t="shared" si="7"/>
        <v>13.56</v>
      </c>
      <c r="F29" s="113">
        <f t="shared" si="8"/>
        <v>0</v>
      </c>
      <c r="G29" s="113">
        <f t="shared" si="1"/>
        <v>29.32</v>
      </c>
      <c r="H29" s="241">
        <f t="shared" si="12"/>
        <v>84.76</v>
      </c>
      <c r="I29" s="241">
        <f t="shared" si="15"/>
        <v>206.09</v>
      </c>
      <c r="J29" s="113">
        <f t="shared" si="2"/>
        <v>36.79</v>
      </c>
      <c r="K29" s="241">
        <f t="shared" si="13"/>
        <v>365.55</v>
      </c>
      <c r="L29" s="241">
        <f t="shared" si="14"/>
        <v>436.84</v>
      </c>
      <c r="M29" s="113">
        <f t="shared" si="16"/>
        <v>121.33</v>
      </c>
      <c r="N29" s="45"/>
      <c r="V29" s="104"/>
      <c r="W29" s="134"/>
      <c r="X29" s="134"/>
      <c r="Y29" s="134"/>
      <c r="Z29" s="134"/>
      <c r="AA29" s="134"/>
      <c r="AB29" s="134"/>
    </row>
    <row r="30" spans="2:30">
      <c r="B30" s="136">
        <f t="shared" si="0"/>
        <v>2036</v>
      </c>
      <c r="C30" s="242"/>
      <c r="D30" s="113">
        <f t="shared" si="6"/>
        <v>110.09</v>
      </c>
      <c r="E30" s="113">
        <f t="shared" si="7"/>
        <v>13.85</v>
      </c>
      <c r="F30" s="113">
        <f t="shared" si="8"/>
        <v>0</v>
      </c>
      <c r="G30" s="113">
        <f t="shared" si="1"/>
        <v>29.95</v>
      </c>
      <c r="H30" s="241">
        <f t="shared" si="12"/>
        <v>86.58</v>
      </c>
      <c r="I30" s="241">
        <f t="shared" si="15"/>
        <v>210.52</v>
      </c>
      <c r="J30" s="113">
        <f t="shared" si="2"/>
        <v>37.58</v>
      </c>
      <c r="K30" s="241">
        <f t="shared" si="13"/>
        <v>373.39</v>
      </c>
      <c r="L30" s="241">
        <f t="shared" si="14"/>
        <v>446.21</v>
      </c>
      <c r="M30" s="113">
        <f t="shared" si="16"/>
        <v>123.94</v>
      </c>
      <c r="N30" s="45"/>
    </row>
    <row r="31" spans="2:30">
      <c r="B31" s="136">
        <f t="shared" si="0"/>
        <v>2037</v>
      </c>
      <c r="C31" s="242"/>
      <c r="D31" s="113">
        <f t="shared" si="6"/>
        <v>112.46</v>
      </c>
      <c r="E31" s="113">
        <f t="shared" si="7"/>
        <v>14.15</v>
      </c>
      <c r="F31" s="113">
        <f t="shared" si="8"/>
        <v>0</v>
      </c>
      <c r="G31" s="113">
        <f t="shared" si="1"/>
        <v>30.6</v>
      </c>
      <c r="H31" s="241">
        <f t="shared" si="12"/>
        <v>88.46</v>
      </c>
      <c r="I31" s="241">
        <f t="shared" si="15"/>
        <v>215.07</v>
      </c>
      <c r="J31" s="113">
        <f t="shared" si="2"/>
        <v>38.39</v>
      </c>
      <c r="K31" s="241">
        <f t="shared" si="13"/>
        <v>381.44</v>
      </c>
      <c r="L31" s="241">
        <f t="shared" si="14"/>
        <v>455.84</v>
      </c>
      <c r="M31" s="113">
        <f t="shared" si="16"/>
        <v>126.61</v>
      </c>
      <c r="N31" s="45"/>
    </row>
    <row r="32" spans="2:30">
      <c r="B32" s="136">
        <f t="shared" si="0"/>
        <v>2038</v>
      </c>
      <c r="C32" s="242"/>
      <c r="D32" s="113">
        <f t="shared" si="6"/>
        <v>114.88</v>
      </c>
      <c r="E32" s="113">
        <f t="shared" si="7"/>
        <v>14.45</v>
      </c>
      <c r="F32" s="113">
        <f t="shared" si="8"/>
        <v>0</v>
      </c>
      <c r="G32" s="113">
        <f t="shared" si="1"/>
        <v>31.26</v>
      </c>
      <c r="H32" s="241">
        <f t="shared" si="12"/>
        <v>90.37</v>
      </c>
      <c r="I32" s="241">
        <f t="shared" si="15"/>
        <v>219.7</v>
      </c>
      <c r="J32" s="113">
        <f t="shared" si="2"/>
        <v>39.22</v>
      </c>
      <c r="K32" s="241">
        <f t="shared" si="13"/>
        <v>389.69</v>
      </c>
      <c r="L32" s="241">
        <f t="shared" si="14"/>
        <v>465.69</v>
      </c>
      <c r="M32" s="113">
        <f t="shared" si="16"/>
        <v>129.32999999999998</v>
      </c>
      <c r="N32" s="45"/>
    </row>
    <row r="33" spans="2:16">
      <c r="B33" s="136">
        <f t="shared" si="0"/>
        <v>2039</v>
      </c>
      <c r="C33" s="242"/>
      <c r="D33" s="113">
        <f t="shared" si="6"/>
        <v>117.36</v>
      </c>
      <c r="E33" s="113">
        <f t="shared" si="7"/>
        <v>14.76</v>
      </c>
      <c r="F33" s="113">
        <f t="shared" si="8"/>
        <v>0</v>
      </c>
      <c r="G33" s="113">
        <f t="shared" si="1"/>
        <v>31.93</v>
      </c>
      <c r="H33" s="241">
        <f t="shared" si="12"/>
        <v>92.3</v>
      </c>
      <c r="I33" s="241">
        <f t="shared" si="15"/>
        <v>224.42</v>
      </c>
      <c r="J33" s="113">
        <f t="shared" si="2"/>
        <v>40.07</v>
      </c>
      <c r="K33" s="241">
        <f t="shared" ref="K33:K36" si="17">ROUND($L$59*J33/1000,2)</f>
        <v>398.14</v>
      </c>
      <c r="L33" s="241">
        <f t="shared" ref="L33:L36" si="18">ROUND(I33*1000/8760/$H$59+K33,2)</f>
        <v>475.77</v>
      </c>
      <c r="M33" s="113">
        <f t="shared" si="16"/>
        <v>132.12</v>
      </c>
    </row>
    <row r="34" spans="2:16">
      <c r="B34" s="136">
        <f t="shared" si="0"/>
        <v>2040</v>
      </c>
      <c r="C34" s="242"/>
      <c r="D34" s="113">
        <f t="shared" si="6"/>
        <v>119.89</v>
      </c>
      <c r="E34" s="113">
        <f t="shared" si="7"/>
        <v>15.08</v>
      </c>
      <c r="F34" s="113">
        <f t="shared" si="8"/>
        <v>0</v>
      </c>
      <c r="G34" s="113">
        <f t="shared" si="1"/>
        <v>32.619999999999997</v>
      </c>
      <c r="H34" s="241">
        <f t="shared" si="12"/>
        <v>94.3</v>
      </c>
      <c r="I34" s="241">
        <f t="shared" si="15"/>
        <v>229.27</v>
      </c>
      <c r="J34" s="113">
        <f t="shared" si="2"/>
        <v>40.93</v>
      </c>
      <c r="K34" s="241">
        <f t="shared" si="17"/>
        <v>406.68</v>
      </c>
      <c r="L34" s="241">
        <f t="shared" si="18"/>
        <v>485.99</v>
      </c>
      <c r="M34" s="113">
        <f t="shared" si="16"/>
        <v>134.97</v>
      </c>
    </row>
    <row r="35" spans="2:16">
      <c r="B35" s="136">
        <f t="shared" si="0"/>
        <v>2041</v>
      </c>
      <c r="C35" s="242"/>
      <c r="D35" s="113">
        <f t="shared" si="6"/>
        <v>122.47</v>
      </c>
      <c r="E35" s="113">
        <f t="shared" si="7"/>
        <v>15.4</v>
      </c>
      <c r="F35" s="113">
        <f t="shared" si="8"/>
        <v>0</v>
      </c>
      <c r="G35" s="113">
        <f t="shared" si="1"/>
        <v>33.32</v>
      </c>
      <c r="H35" s="241">
        <f t="shared" si="12"/>
        <v>96.32</v>
      </c>
      <c r="I35" s="241">
        <f t="shared" si="15"/>
        <v>234.19</v>
      </c>
      <c r="J35" s="113">
        <f t="shared" si="2"/>
        <v>41.81</v>
      </c>
      <c r="K35" s="241">
        <f t="shared" si="17"/>
        <v>415.42</v>
      </c>
      <c r="L35" s="241">
        <f t="shared" si="18"/>
        <v>496.43</v>
      </c>
      <c r="M35" s="113">
        <f t="shared" si="16"/>
        <v>137.87</v>
      </c>
    </row>
    <row r="36" spans="2:16">
      <c r="B36" s="136">
        <f t="shared" si="0"/>
        <v>2042</v>
      </c>
      <c r="C36" s="242"/>
      <c r="D36" s="113">
        <f t="shared" si="6"/>
        <v>125.11</v>
      </c>
      <c r="E36" s="113">
        <f t="shared" si="7"/>
        <v>15.73</v>
      </c>
      <c r="F36" s="113">
        <f t="shared" si="8"/>
        <v>0</v>
      </c>
      <c r="G36" s="113">
        <f t="shared" si="1"/>
        <v>34.04</v>
      </c>
      <c r="H36" s="241">
        <f t="shared" si="12"/>
        <v>98.4</v>
      </c>
      <c r="I36" s="241">
        <f t="shared" si="15"/>
        <v>239.24</v>
      </c>
      <c r="J36" s="113">
        <f t="shared" si="2"/>
        <v>42.71</v>
      </c>
      <c r="K36" s="241">
        <f t="shared" si="17"/>
        <v>424.37</v>
      </c>
      <c r="L36" s="241">
        <f t="shared" si="18"/>
        <v>507.13</v>
      </c>
      <c r="M36" s="113">
        <f t="shared" si="16"/>
        <v>140.84</v>
      </c>
    </row>
    <row r="37" spans="2:16">
      <c r="N37" s="136"/>
      <c r="P37" s="246"/>
    </row>
    <row r="38" spans="2:16" ht="14.25">
      <c r="B38" s="4" t="s">
        <v>25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N38" s="136"/>
      <c r="O38" s="246"/>
      <c r="P38" s="246"/>
    </row>
    <row r="40" spans="2:16">
      <c r="B40" t="s">
        <v>105</v>
      </c>
      <c r="D40" s="247" t="s">
        <v>210</v>
      </c>
    </row>
    <row r="41" spans="2:16">
      <c r="C41" s="248" t="str">
        <f>D10</f>
        <v>(b)</v>
      </c>
      <c r="D41" s="241" t="str">
        <f>"= "&amp;C10&amp;" x "&amp;C70</f>
        <v>= (a) x 0.0749741404851062</v>
      </c>
    </row>
    <row r="42" spans="2:16">
      <c r="C42" s="248" t="str">
        <f>H10</f>
        <v>(f)</v>
      </c>
      <c r="D42" s="241" t="str">
        <f>"= "&amp;$G$10&amp;" x  (8.76 x "&amp;TEXT(H59,"0.0%")&amp;") + "&amp;$F$10</f>
        <v>= (e) x  (8.76 x 33.0%) + (d)</v>
      </c>
    </row>
    <row r="43" spans="2:16">
      <c r="C43" s="248" t="str">
        <f>I10</f>
        <v>(g)</v>
      </c>
      <c r="D43" s="241" t="str">
        <f>"= "&amp;D10&amp;" + "&amp;H10</f>
        <v>= (b) + (f)</v>
      </c>
    </row>
    <row r="44" spans="2:16">
      <c r="C44" s="248" t="str">
        <f>J10</f>
        <v>(h)</v>
      </c>
      <c r="D44" s="249" t="str">
        <f>'Table 4'!B3&amp;" - "&amp;'Table 4'!B4</f>
        <v>Table 4 - Burnertip Natural Gas Price Forecast</v>
      </c>
    </row>
    <row r="45" spans="2:16">
      <c r="C45" s="248" t="str">
        <f>K10</f>
        <v>(i)</v>
      </c>
      <c r="D45" s="241" t="str">
        <f>"= "&amp;TEXT(L59,"?,0")&amp;" MMBtu/MWH x "&amp;J9</f>
        <v>= 9,936 MMBtu/MWH x $/MMBtu</v>
      </c>
    </row>
    <row r="46" spans="2:16">
      <c r="C46" s="248" t="str">
        <f>L10</f>
        <v>(i)</v>
      </c>
      <c r="D46" s="241" t="str">
        <f>"= "&amp;I10&amp;" / (8.76 x 'Capacity Factor' ) + "&amp;K10</f>
        <v>= (g) / (8.76 x 'Capacity Factor' ) + (i)</v>
      </c>
    </row>
    <row r="47" spans="2:16" ht="13.5" thickBot="1"/>
    <row r="48" spans="2:16" ht="13.5" thickBot="1">
      <c r="C48" s="39" t="s">
        <v>175</v>
      </c>
      <c r="D48" s="250"/>
      <c r="E48" s="250"/>
      <c r="F48" s="250"/>
      <c r="G48" s="250"/>
      <c r="H48" s="250"/>
      <c r="I48" s="250"/>
      <c r="J48" s="250"/>
      <c r="K48" s="251"/>
      <c r="L48" s="252"/>
    </row>
    <row r="49" spans="2:22" ht="5.25" customHeight="1"/>
    <row r="50" spans="2:22" ht="5.25" customHeight="1"/>
    <row r="51" spans="2:22">
      <c r="C51" s="253" t="s">
        <v>106</v>
      </c>
      <c r="D51" s="254"/>
      <c r="E51" s="253"/>
      <c r="F51" s="253"/>
      <c r="G51" s="255" t="s">
        <v>32</v>
      </c>
      <c r="H51" s="255" t="s">
        <v>107</v>
      </c>
      <c r="I51" s="255" t="s">
        <v>108</v>
      </c>
      <c r="J51" s="255" t="s">
        <v>33</v>
      </c>
    </row>
    <row r="52" spans="2:22">
      <c r="C52" s="245" t="s">
        <v>109</v>
      </c>
      <c r="G52" s="256">
        <f>C63</f>
        <v>206.11</v>
      </c>
      <c r="H52" s="38">
        <f>G52/G54</f>
        <v>1</v>
      </c>
      <c r="I52" s="257">
        <f>C64</f>
        <v>1319.927786794867</v>
      </c>
      <c r="J52" s="258">
        <f>C67</f>
        <v>0</v>
      </c>
      <c r="Q52" s="104"/>
      <c r="R52" s="104"/>
      <c r="S52" s="104"/>
      <c r="T52" s="104"/>
      <c r="U52" s="104"/>
      <c r="V52" s="104"/>
    </row>
    <row r="53" spans="2:22">
      <c r="C53" s="245"/>
      <c r="G53" s="259">
        <f>D63</f>
        <v>0</v>
      </c>
      <c r="H53" s="260">
        <f>1-H52</f>
        <v>0</v>
      </c>
      <c r="I53" s="261">
        <f>D64</f>
        <v>0</v>
      </c>
      <c r="J53" s="262">
        <f>D67</f>
        <v>0</v>
      </c>
      <c r="Q53" s="323"/>
      <c r="R53" s="104"/>
      <c r="S53" s="104"/>
      <c r="T53" s="104"/>
      <c r="U53" s="104"/>
      <c r="V53" s="104"/>
    </row>
    <row r="54" spans="2:22">
      <c r="C54" s="245" t="s">
        <v>110</v>
      </c>
      <c r="G54" s="256">
        <f>G52+G53</f>
        <v>206.11</v>
      </c>
      <c r="H54" s="38">
        <f>H52+H53</f>
        <v>1</v>
      </c>
      <c r="I54" s="257">
        <f>ROUND(((G52*I52)+(G53*I53))/G54,0)</f>
        <v>1320</v>
      </c>
      <c r="J54" s="258">
        <f>ROUND(((G52*J52)+(G53*J53))/G54,2)</f>
        <v>0</v>
      </c>
      <c r="Q54" s="323"/>
      <c r="R54" s="104"/>
      <c r="S54" s="104"/>
      <c r="T54" s="104"/>
      <c r="U54" s="104"/>
      <c r="V54" s="104"/>
    </row>
    <row r="55" spans="2:22">
      <c r="C55" s="245"/>
      <c r="G55" s="256"/>
      <c r="H55" s="38"/>
      <c r="I55" s="263"/>
      <c r="J55" s="264"/>
      <c r="Q55" s="104"/>
      <c r="R55" s="104"/>
      <c r="S55" s="104"/>
      <c r="T55" s="104"/>
      <c r="U55" s="104"/>
      <c r="V55" s="104"/>
    </row>
    <row r="56" spans="2:22">
      <c r="C56" s="265" t="s">
        <v>106</v>
      </c>
      <c r="D56" s="254"/>
      <c r="E56" s="253"/>
      <c r="F56" s="253"/>
      <c r="G56" s="255" t="s">
        <v>32</v>
      </c>
      <c r="H56" s="255" t="s">
        <v>34</v>
      </c>
      <c r="I56" s="255" t="s">
        <v>111</v>
      </c>
      <c r="J56" s="255" t="s">
        <v>107</v>
      </c>
      <c r="K56" s="255" t="s">
        <v>112</v>
      </c>
      <c r="L56" s="255" t="s">
        <v>113</v>
      </c>
    </row>
    <row r="57" spans="2:22">
      <c r="C57" s="266" t="str">
        <f>C52</f>
        <v>SCCT Dry "F" - Turbine</v>
      </c>
      <c r="D57" s="267"/>
      <c r="E57" s="267"/>
      <c r="F57" s="267"/>
      <c r="G57">
        <f>C63</f>
        <v>206.11</v>
      </c>
      <c r="H57" s="38">
        <f>C71</f>
        <v>0.33</v>
      </c>
      <c r="I57" s="150">
        <f>H57*G57</f>
        <v>68.016300000000001</v>
      </c>
      <c r="J57" s="38">
        <f>I57/I59</f>
        <v>1</v>
      </c>
      <c r="K57" s="264">
        <f>C68</f>
        <v>21.294</v>
      </c>
      <c r="L57" s="268">
        <f>C69</f>
        <v>9936</v>
      </c>
    </row>
    <row r="58" spans="2:22">
      <c r="C58" s="266">
        <f>C53</f>
        <v>0</v>
      </c>
      <c r="D58" s="267"/>
      <c r="E58" s="267"/>
      <c r="F58" s="267"/>
      <c r="G58" s="269">
        <f>D63</f>
        <v>0</v>
      </c>
      <c r="H58" s="260">
        <f>D71</f>
        <v>0</v>
      </c>
      <c r="I58" s="270">
        <f>H58*G58</f>
        <v>0</v>
      </c>
      <c r="J58" s="260">
        <f>1-J57</f>
        <v>0</v>
      </c>
      <c r="K58" s="271">
        <f>D68</f>
        <v>0</v>
      </c>
      <c r="L58" s="272">
        <f>D69</f>
        <v>0</v>
      </c>
    </row>
    <row r="59" spans="2:22">
      <c r="C59" s="245" t="s">
        <v>114</v>
      </c>
      <c r="G59">
        <f>G57+G58</f>
        <v>206.11</v>
      </c>
      <c r="H59" s="273">
        <f>ROUND(I59/G59,3)</f>
        <v>0.33</v>
      </c>
      <c r="I59" s="150">
        <f>SUM(I57:I58)</f>
        <v>68.016300000000001</v>
      </c>
      <c r="J59" s="38">
        <f>J57+J58</f>
        <v>1</v>
      </c>
      <c r="K59" s="264">
        <f>ROUND(($J57*K57)+($J58*K58),2)</f>
        <v>21.29</v>
      </c>
      <c r="L59" s="274">
        <f>ROUND(($J57*L57)+($J58*L58),0)</f>
        <v>9936</v>
      </c>
    </row>
    <row r="60" spans="2:22">
      <c r="H60" s="273"/>
      <c r="J60" s="38"/>
      <c r="K60" s="264"/>
      <c r="L60" s="275" t="s">
        <v>115</v>
      </c>
    </row>
    <row r="62" spans="2:22">
      <c r="C62" s="255" t="s">
        <v>116</v>
      </c>
      <c r="D62" s="255" t="s">
        <v>117</v>
      </c>
      <c r="E62" s="318"/>
      <c r="F62" s="276" t="str">
        <f>D40</f>
        <v xml:space="preserve">Plant Costs  - 2021 IRP - Table 7.1 &amp; 7.2 </v>
      </c>
      <c r="G62" s="277"/>
      <c r="H62" s="277"/>
      <c r="I62" s="277"/>
      <c r="J62" s="277"/>
      <c r="K62" s="277"/>
      <c r="L62" s="278"/>
    </row>
    <row r="63" spans="2:22">
      <c r="C63">
        <v>206.11</v>
      </c>
      <c r="F63" t="s">
        <v>118</v>
      </c>
      <c r="I63" s="279"/>
    </row>
    <row r="64" spans="2:22">
      <c r="B64" t="s">
        <v>206</v>
      </c>
      <c r="C64" s="263">
        <f>272050.31613629/C63</f>
        <v>1319.927786794867</v>
      </c>
      <c r="D64" s="263"/>
      <c r="F64" t="s">
        <v>119</v>
      </c>
    </row>
    <row r="65" spans="2:7">
      <c r="C65" s="264">
        <v>0</v>
      </c>
      <c r="D65" s="264"/>
      <c r="F65" t="s">
        <v>120</v>
      </c>
    </row>
    <row r="66" spans="2:7">
      <c r="C66" s="280">
        <v>0</v>
      </c>
      <c r="D66" s="280"/>
      <c r="F66" t="s">
        <v>121</v>
      </c>
    </row>
    <row r="67" spans="2:7">
      <c r="B67" t="s">
        <v>156</v>
      </c>
      <c r="C67" s="264">
        <f>C65+C66</f>
        <v>0</v>
      </c>
      <c r="D67" s="264"/>
      <c r="F67" t="s">
        <v>122</v>
      </c>
    </row>
    <row r="68" spans="2:7">
      <c r="B68" t="s">
        <v>156</v>
      </c>
      <c r="C68" s="335">
        <v>21.294</v>
      </c>
      <c r="D68" s="264"/>
      <c r="F68" t="s">
        <v>123</v>
      </c>
    </row>
    <row r="69" spans="2:7">
      <c r="C69" s="274">
        <v>9936</v>
      </c>
      <c r="D69" s="274"/>
      <c r="F69" t="s">
        <v>124</v>
      </c>
    </row>
    <row r="70" spans="2:7">
      <c r="C70" s="281">
        <v>7.4974140485106158E-2</v>
      </c>
      <c r="D70" s="281"/>
      <c r="F70" t="s">
        <v>36</v>
      </c>
    </row>
    <row r="71" spans="2:7">
      <c r="C71" s="282">
        <v>0.33</v>
      </c>
      <c r="D71" s="282"/>
      <c r="F71" t="s">
        <v>37</v>
      </c>
    </row>
    <row r="72" spans="2:7">
      <c r="D72" s="38">
        <f>ROUND(I59/G59,3)</f>
        <v>0.33</v>
      </c>
      <c r="F72" t="s">
        <v>125</v>
      </c>
    </row>
    <row r="73" spans="2:7">
      <c r="B73" s="302" t="str">
        <f>LEFT(RIGHT(INDEX('Table 3 TransCost'!$39:$39,1,MATCH(E73,'Table 3 TransCost'!$4:$4,0)),6),5)</f>
        <v>2031$</v>
      </c>
      <c r="C73" s="134">
        <f>INDEX('Table 3 TransCost'!$39:$39,1,MATCH(E73,'Table 3 TransCost'!$4:$4,0)+2)</f>
        <v>12.45513744317196</v>
      </c>
      <c r="D73" s="104" t="s">
        <v>150</v>
      </c>
      <c r="E73" s="104" t="s">
        <v>146</v>
      </c>
      <c r="F73" s="104"/>
    </row>
    <row r="74" spans="2:7" ht="13.5" thickBot="1">
      <c r="C74" s="80">
        <v>26.724569206547603</v>
      </c>
      <c r="F74" t="s">
        <v>176</v>
      </c>
      <c r="G74" s="316"/>
    </row>
    <row r="78" spans="2:7">
      <c r="D78" s="283"/>
    </row>
    <row r="79" spans="2:7">
      <c r="D79" s="283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4D45-7060-41D6-9F67-E7F2CE239B3C}">
  <sheetPr>
    <tabColor rgb="FFFFC000"/>
    <pageSetUpPr fitToPage="1"/>
  </sheetPr>
  <dimension ref="B1:AD77"/>
  <sheetViews>
    <sheetView view="pageBreakPreview" topLeftCell="A2" zoomScale="60" zoomScaleNormal="80" workbookViewId="0">
      <selection activeCell="A2" sqref="A1:XFD1048576"/>
    </sheetView>
  </sheetViews>
  <sheetFormatPr defaultColWidth="9.33203125" defaultRowHeight="12.75"/>
  <cols>
    <col min="1" max="1" width="2.83203125" customWidth="1"/>
    <col min="2" max="2" width="10.83203125" customWidth="1"/>
    <col min="3" max="3" width="14.1640625" customWidth="1"/>
    <col min="4" max="4" width="12.33203125" customWidth="1"/>
    <col min="5" max="5" width="10.83203125" customWidth="1"/>
    <col min="6" max="6" width="10" customWidth="1"/>
    <col min="7" max="7" width="10.5" customWidth="1"/>
    <col min="8" max="8" width="10.5" bestFit="1" customWidth="1"/>
    <col min="9" max="9" width="11.6640625" bestFit="1" customWidth="1"/>
    <col min="10" max="10" width="11.1640625" customWidth="1"/>
    <col min="11" max="11" width="12" bestFit="1" customWidth="1"/>
    <col min="12" max="12" width="14.1640625" customWidth="1"/>
    <col min="13" max="13" width="14.33203125" customWidth="1"/>
    <col min="14" max="14" width="22.33203125" customWidth="1"/>
    <col min="15" max="15" width="9.33203125" customWidth="1"/>
    <col min="16" max="21" width="11.33203125" customWidth="1"/>
    <col min="22" max="22" width="10.33203125" customWidth="1"/>
    <col min="23" max="23" width="12" customWidth="1"/>
    <col min="24" max="24" width="11.5" customWidth="1"/>
    <col min="27" max="27" width="13.6640625" customWidth="1"/>
    <col min="29" max="30" width="9.33203125" style="104"/>
  </cols>
  <sheetData>
    <row r="1" spans="2:28" ht="15.75" hidden="1">
      <c r="B1" s="1" t="s">
        <v>35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2:28" ht="15.75">
      <c r="B2" s="1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2:28" ht="15.75">
      <c r="B3" s="1" t="s">
        <v>56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V3" s="104"/>
      <c r="W3" s="104"/>
      <c r="X3" s="104"/>
      <c r="Y3" s="104"/>
      <c r="Z3" s="104"/>
      <c r="AA3" s="104"/>
      <c r="AB3" s="104"/>
    </row>
    <row r="4" spans="2:28" ht="15.75">
      <c r="B4" s="1" t="s">
        <v>208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V4" s="104"/>
      <c r="W4" s="104"/>
      <c r="X4" s="104"/>
      <c r="Y4" s="104"/>
      <c r="Z4" s="104"/>
      <c r="AA4" s="104"/>
      <c r="AB4" s="104"/>
    </row>
    <row r="5" spans="2:28" ht="15.75">
      <c r="B5" s="1" t="str">
        <f>C48</f>
        <v>Non Emitting - 206 MW- East Side Resource (5,050')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2:28" ht="15.75">
      <c r="B6" s="1"/>
      <c r="C6" s="234"/>
      <c r="D6" s="234"/>
      <c r="E6" s="234"/>
      <c r="F6" s="234"/>
      <c r="G6" s="234"/>
      <c r="H6" s="234"/>
      <c r="I6" s="234"/>
      <c r="J6" s="234"/>
      <c r="L6" s="235"/>
    </row>
    <row r="7" spans="2:28">
      <c r="B7" s="234"/>
      <c r="C7" s="234"/>
      <c r="D7" s="234"/>
      <c r="E7" s="234"/>
      <c r="F7" s="234"/>
      <c r="G7" s="234"/>
      <c r="H7" s="234"/>
      <c r="I7" s="234"/>
      <c r="J7" s="234"/>
      <c r="V7" s="104"/>
      <c r="W7" s="104"/>
      <c r="X7" s="104"/>
      <c r="Y7" s="104"/>
      <c r="Z7" s="104"/>
      <c r="AA7" s="104"/>
      <c r="AB7" s="104"/>
    </row>
    <row r="8" spans="2:28" ht="51.75" customHeight="1">
      <c r="B8" s="14" t="s">
        <v>0</v>
      </c>
      <c r="C8" s="15" t="s">
        <v>10</v>
      </c>
      <c r="D8" s="15" t="s">
        <v>11</v>
      </c>
      <c r="E8" s="15" t="s">
        <v>91</v>
      </c>
      <c r="F8" s="15" t="s">
        <v>12</v>
      </c>
      <c r="G8" s="15" t="s">
        <v>13</v>
      </c>
      <c r="H8" s="15" t="s">
        <v>101</v>
      </c>
      <c r="I8" s="15" t="s">
        <v>102</v>
      </c>
      <c r="J8" s="236" t="s">
        <v>21</v>
      </c>
      <c r="K8" s="236" t="s">
        <v>103</v>
      </c>
      <c r="L8" s="15" t="s">
        <v>52</v>
      </c>
      <c r="M8" s="106" t="s">
        <v>151</v>
      </c>
      <c r="V8" s="104"/>
      <c r="W8" s="104"/>
      <c r="X8" s="104"/>
      <c r="Y8" s="104"/>
      <c r="Z8" s="104"/>
      <c r="AA8" s="104"/>
      <c r="AB8" s="104"/>
    </row>
    <row r="9" spans="2:28" ht="48" customHeight="1">
      <c r="B9" s="237"/>
      <c r="C9" s="16" t="s">
        <v>8</v>
      </c>
      <c r="D9" s="17" t="s">
        <v>9</v>
      </c>
      <c r="E9" s="17" t="s">
        <v>9</v>
      </c>
      <c r="F9" s="17" t="s">
        <v>9</v>
      </c>
      <c r="G9" s="16" t="s">
        <v>31</v>
      </c>
      <c r="H9" s="17" t="s">
        <v>9</v>
      </c>
      <c r="I9" s="17" t="s">
        <v>9</v>
      </c>
      <c r="J9" s="17" t="s">
        <v>104</v>
      </c>
      <c r="K9" s="16" t="s">
        <v>31</v>
      </c>
      <c r="L9" s="16" t="s">
        <v>31</v>
      </c>
      <c r="M9" s="109" t="s">
        <v>9</v>
      </c>
      <c r="V9" s="104"/>
      <c r="W9" s="104"/>
      <c r="X9" s="104"/>
      <c r="Y9" s="104"/>
      <c r="Z9" s="104"/>
      <c r="AA9" s="172"/>
      <c r="AB9" s="172"/>
    </row>
    <row r="10" spans="2:28">
      <c r="C10" s="238" t="s">
        <v>1</v>
      </c>
      <c r="D10" s="238" t="s">
        <v>2</v>
      </c>
      <c r="E10" s="238" t="s">
        <v>3</v>
      </c>
      <c r="F10" s="238" t="s">
        <v>4</v>
      </c>
      <c r="G10" s="238" t="s">
        <v>5</v>
      </c>
      <c r="H10" s="238" t="s">
        <v>7</v>
      </c>
      <c r="I10" s="238" t="s">
        <v>22</v>
      </c>
      <c r="J10" s="238" t="s">
        <v>23</v>
      </c>
      <c r="K10" s="238" t="s">
        <v>24</v>
      </c>
      <c r="L10" s="110" t="s">
        <v>24</v>
      </c>
      <c r="M10" s="110" t="s">
        <v>178</v>
      </c>
      <c r="V10" s="104"/>
      <c r="W10" s="104"/>
      <c r="X10" s="104"/>
      <c r="Y10" s="104"/>
      <c r="Z10" s="104"/>
      <c r="AA10" s="104"/>
      <c r="AB10" s="104"/>
    </row>
    <row r="11" spans="2:28" ht="6" customHeight="1">
      <c r="M11" s="104"/>
      <c r="V11" s="104"/>
      <c r="W11" s="104"/>
      <c r="X11" s="104"/>
      <c r="Y11" s="104"/>
      <c r="Z11" s="104"/>
      <c r="AA11" s="104"/>
      <c r="AB11" s="104"/>
    </row>
    <row r="12" spans="2:28" ht="15.75">
      <c r="B12" s="40" t="str">
        <f>C48</f>
        <v>Non Emitting - 206 MW- East Side Resource (5,050')</v>
      </c>
      <c r="J12" s="234"/>
      <c r="K12" s="234"/>
      <c r="L12" s="234"/>
      <c r="M12" s="104"/>
      <c r="V12" s="104"/>
      <c r="W12" s="104"/>
      <c r="X12" s="104"/>
      <c r="Y12" s="104"/>
      <c r="Z12" s="104"/>
      <c r="AA12" s="104"/>
      <c r="AB12" s="104"/>
    </row>
    <row r="13" spans="2:28" ht="18.95" customHeight="1">
      <c r="B13" s="136"/>
      <c r="C13" s="239"/>
      <c r="D13" s="240"/>
      <c r="E13" s="241"/>
      <c r="F13" s="241"/>
      <c r="G13" s="241"/>
      <c r="H13" s="241"/>
      <c r="I13" s="241"/>
      <c r="J13" s="241"/>
      <c r="K13" s="241"/>
      <c r="L13" s="241"/>
      <c r="M13" s="113"/>
      <c r="V13" s="104"/>
      <c r="W13" s="134"/>
      <c r="X13" s="134"/>
      <c r="Y13" s="134"/>
      <c r="Z13" s="104"/>
      <c r="AA13" s="134"/>
      <c r="AB13" s="134"/>
    </row>
    <row r="14" spans="2:28">
      <c r="B14" s="136">
        <v>2020</v>
      </c>
      <c r="C14" s="242"/>
      <c r="D14" s="113"/>
      <c r="E14" s="113"/>
      <c r="F14" s="113"/>
      <c r="G14" s="336">
        <f>$C$68</f>
        <v>21.294</v>
      </c>
      <c r="H14" s="241"/>
      <c r="I14" s="241"/>
      <c r="J14" s="334">
        <f>$C$74</f>
        <v>26.724569206547603</v>
      </c>
      <c r="K14" s="241"/>
      <c r="L14" s="241"/>
      <c r="M14" s="113"/>
      <c r="N14" s="38"/>
      <c r="P14" s="314"/>
      <c r="V14" s="104"/>
      <c r="W14" s="104"/>
      <c r="X14" s="134"/>
      <c r="Y14" s="230"/>
      <c r="Z14" s="104"/>
      <c r="AA14" s="134"/>
      <c r="AB14" s="134"/>
    </row>
    <row r="15" spans="2:28">
      <c r="B15" s="136">
        <f t="shared" ref="B15:B36" si="0">B14+1</f>
        <v>2021</v>
      </c>
      <c r="C15" s="242"/>
      <c r="D15" s="113"/>
      <c r="E15" s="113"/>
      <c r="F15" s="113"/>
      <c r="G15" s="113">
        <f t="shared" ref="G15:G36" si="1">ROUND(G14*(1+IRP21_Infl_Rate),2)</f>
        <v>21.75</v>
      </c>
      <c r="H15" s="241"/>
      <c r="I15" s="241"/>
      <c r="J15" s="113">
        <f t="shared" ref="J15:J36" si="2">ROUND(J14*(1+IRP21_Infl_Rate),2)</f>
        <v>27.3</v>
      </c>
      <c r="K15" s="241"/>
      <c r="L15" s="241"/>
      <c r="M15" s="113"/>
      <c r="N15" s="38"/>
      <c r="P15" s="314"/>
      <c r="Q15" s="314"/>
      <c r="V15" s="104"/>
      <c r="W15" s="134"/>
      <c r="X15" s="134"/>
      <c r="Y15" s="230"/>
      <c r="Z15" s="134"/>
      <c r="AA15" s="134"/>
      <c r="AB15" s="134"/>
    </row>
    <row r="16" spans="2:28">
      <c r="B16" s="136">
        <f t="shared" si="0"/>
        <v>2022</v>
      </c>
      <c r="C16" s="242"/>
      <c r="D16" s="113"/>
      <c r="E16" s="113"/>
      <c r="F16" s="113"/>
      <c r="G16" s="113">
        <f t="shared" si="1"/>
        <v>22.22</v>
      </c>
      <c r="H16" s="241"/>
      <c r="I16" s="241"/>
      <c r="J16" s="113">
        <f t="shared" si="2"/>
        <v>27.89</v>
      </c>
      <c r="K16" s="241"/>
      <c r="L16" s="241"/>
      <c r="M16" s="113"/>
      <c r="N16" s="38"/>
      <c r="P16" s="314"/>
      <c r="Q16" s="314"/>
      <c r="V16" s="104"/>
      <c r="W16" s="134"/>
      <c r="X16" s="134"/>
      <c r="Y16" s="230"/>
      <c r="Z16" s="134"/>
      <c r="AA16" s="134"/>
      <c r="AB16" s="134"/>
    </row>
    <row r="17" spans="2:30">
      <c r="B17" s="136">
        <f t="shared" si="0"/>
        <v>2023</v>
      </c>
      <c r="C17" s="242"/>
      <c r="D17" s="113"/>
      <c r="E17" s="113"/>
      <c r="F17" s="113"/>
      <c r="G17" s="113">
        <f t="shared" si="1"/>
        <v>22.7</v>
      </c>
      <c r="H17" s="241"/>
      <c r="I17" s="241"/>
      <c r="J17" s="113">
        <f t="shared" si="2"/>
        <v>28.49</v>
      </c>
      <c r="K17" s="241"/>
      <c r="L17" s="241"/>
      <c r="M17" s="113"/>
      <c r="N17" s="38"/>
      <c r="P17" s="314"/>
      <c r="Q17" s="314"/>
      <c r="V17" s="104"/>
      <c r="W17" s="134"/>
      <c r="X17" s="134"/>
      <c r="Y17" s="230"/>
      <c r="Z17" s="134"/>
      <c r="AA17" s="134"/>
      <c r="AB17" s="134"/>
    </row>
    <row r="18" spans="2:30">
      <c r="B18" s="136">
        <f t="shared" si="0"/>
        <v>2024</v>
      </c>
      <c r="C18" s="242"/>
      <c r="D18" s="113"/>
      <c r="E18" s="113"/>
      <c r="F18" s="113"/>
      <c r="G18" s="113">
        <f t="shared" si="1"/>
        <v>23.19</v>
      </c>
      <c r="H18" s="241"/>
      <c r="I18" s="241"/>
      <c r="J18" s="113">
        <f t="shared" si="2"/>
        <v>29.1</v>
      </c>
      <c r="K18" s="241"/>
      <c r="L18" s="241"/>
      <c r="M18" s="113"/>
      <c r="N18" s="38"/>
      <c r="P18" s="314"/>
      <c r="Q18" s="314"/>
      <c r="V18" s="104"/>
      <c r="W18" s="134"/>
      <c r="X18" s="134"/>
      <c r="Y18" s="230"/>
      <c r="Z18" s="134"/>
      <c r="AA18" s="134"/>
      <c r="AB18" s="134"/>
    </row>
    <row r="19" spans="2:30">
      <c r="B19" s="136">
        <f t="shared" si="0"/>
        <v>2025</v>
      </c>
      <c r="C19" s="242"/>
      <c r="D19" s="113"/>
      <c r="E19" s="113"/>
      <c r="F19" s="113"/>
      <c r="G19" s="113">
        <f t="shared" si="1"/>
        <v>23.69</v>
      </c>
      <c r="H19" s="241"/>
      <c r="I19" s="241"/>
      <c r="J19" s="113">
        <f t="shared" si="2"/>
        <v>29.73</v>
      </c>
      <c r="K19" s="241"/>
      <c r="L19" s="241"/>
      <c r="M19" s="113"/>
      <c r="N19" s="38"/>
      <c r="P19" s="314"/>
      <c r="Q19" s="314"/>
      <c r="V19" s="104"/>
      <c r="W19" s="134"/>
      <c r="X19" s="134"/>
      <c r="Y19" s="230"/>
      <c r="Z19" s="134"/>
      <c r="AA19" s="134"/>
      <c r="AB19" s="134"/>
    </row>
    <row r="20" spans="2:30">
      <c r="B20" s="136">
        <f t="shared" si="0"/>
        <v>2026</v>
      </c>
      <c r="C20" s="242"/>
      <c r="D20" s="240"/>
      <c r="E20" s="113"/>
      <c r="F20" s="113"/>
      <c r="G20" s="113">
        <f t="shared" si="1"/>
        <v>24.2</v>
      </c>
      <c r="H20" s="241"/>
      <c r="I20" s="241"/>
      <c r="J20" s="113">
        <f t="shared" si="2"/>
        <v>30.37</v>
      </c>
      <c r="K20" s="241"/>
      <c r="L20" s="241"/>
      <c r="M20" s="113"/>
      <c r="N20" s="38"/>
      <c r="P20" s="314"/>
      <c r="Q20" s="314"/>
      <c r="V20" s="104"/>
      <c r="W20" s="134"/>
      <c r="X20" s="134"/>
      <c r="Y20" s="134"/>
      <c r="Z20" s="134"/>
      <c r="AA20" s="134"/>
      <c r="AB20" s="134"/>
    </row>
    <row r="21" spans="2:30">
      <c r="B21" s="136">
        <f t="shared" si="0"/>
        <v>2027</v>
      </c>
      <c r="C21" s="242"/>
      <c r="D21" s="113"/>
      <c r="E21" s="113"/>
      <c r="F21" s="113"/>
      <c r="G21" s="113">
        <f t="shared" si="1"/>
        <v>24.72</v>
      </c>
      <c r="H21" s="241"/>
      <c r="I21" s="241"/>
      <c r="J21" s="113">
        <f t="shared" si="2"/>
        <v>31.02</v>
      </c>
      <c r="K21" s="241"/>
      <c r="L21" s="241"/>
      <c r="M21" s="113"/>
      <c r="N21" s="38"/>
      <c r="P21" s="314"/>
      <c r="Q21" s="314"/>
      <c r="V21" s="304"/>
      <c r="W21" s="134"/>
      <c r="X21" s="134"/>
      <c r="Y21" s="134"/>
      <c r="Z21" s="134"/>
      <c r="AA21" s="134"/>
      <c r="AB21" s="134"/>
    </row>
    <row r="22" spans="2:30">
      <c r="B22" s="136">
        <f t="shared" si="0"/>
        <v>2028</v>
      </c>
      <c r="C22" s="242"/>
      <c r="D22" s="113"/>
      <c r="E22" s="113"/>
      <c r="F22" s="113"/>
      <c r="G22" s="113">
        <f t="shared" si="1"/>
        <v>25.25</v>
      </c>
      <c r="H22" s="241"/>
      <c r="I22" s="241"/>
      <c r="J22" s="113">
        <f t="shared" si="2"/>
        <v>31.69</v>
      </c>
      <c r="K22" s="241"/>
      <c r="L22" s="241"/>
      <c r="M22" s="113"/>
      <c r="N22" s="38"/>
      <c r="P22" s="314"/>
      <c r="Q22" s="314"/>
      <c r="V22" s="104"/>
      <c r="W22" s="134"/>
      <c r="X22" s="134"/>
      <c r="Y22" s="134"/>
      <c r="Z22" s="134"/>
      <c r="AA22" s="134"/>
      <c r="AB22" s="134"/>
    </row>
    <row r="23" spans="2:30">
      <c r="B23" s="136">
        <f t="shared" si="0"/>
        <v>2029</v>
      </c>
      <c r="C23" s="242"/>
      <c r="D23" s="113"/>
      <c r="E23" s="113"/>
      <c r="F23" s="113"/>
      <c r="G23" s="113">
        <f t="shared" si="1"/>
        <v>25.79</v>
      </c>
      <c r="H23" s="241"/>
      <c r="I23" s="241"/>
      <c r="J23" s="113">
        <f t="shared" si="2"/>
        <v>32.369999999999997</v>
      </c>
      <c r="K23" s="241"/>
      <c r="L23" s="241"/>
      <c r="M23" s="113"/>
      <c r="N23" s="38"/>
      <c r="P23" s="314"/>
      <c r="Q23" s="314"/>
      <c r="V23" s="104"/>
      <c r="W23" s="134"/>
      <c r="X23" s="134"/>
      <c r="Y23" s="134"/>
      <c r="Z23" s="134"/>
      <c r="AA23" s="134"/>
      <c r="AB23" s="134"/>
    </row>
    <row r="24" spans="2:30" s="245" customFormat="1">
      <c r="B24" s="243">
        <f t="shared" si="0"/>
        <v>2030</v>
      </c>
      <c r="C24" s="242"/>
      <c r="D24" s="113"/>
      <c r="E24" s="113"/>
      <c r="F24" s="113"/>
      <c r="G24" s="113">
        <f t="shared" si="1"/>
        <v>26.35</v>
      </c>
      <c r="H24" s="241"/>
      <c r="I24" s="241"/>
      <c r="J24" s="113">
        <f t="shared" si="2"/>
        <v>33.07</v>
      </c>
      <c r="K24" s="241"/>
      <c r="L24" s="241"/>
      <c r="M24" s="113"/>
      <c r="N24" s="45"/>
      <c r="O24"/>
      <c r="P24" s="314"/>
      <c r="Q24" s="314"/>
      <c r="V24" s="104"/>
      <c r="W24" s="134"/>
      <c r="X24" s="134"/>
      <c r="Y24" s="134"/>
      <c r="Z24" s="134"/>
      <c r="AA24" s="134"/>
      <c r="AB24" s="134"/>
      <c r="AC24" s="104"/>
      <c r="AD24" s="104"/>
    </row>
    <row r="25" spans="2:30" s="245" customFormat="1">
      <c r="B25" s="243">
        <f t="shared" si="0"/>
        <v>2031</v>
      </c>
      <c r="C25" s="242"/>
      <c r="D25" s="113"/>
      <c r="E25" s="113"/>
      <c r="F25" s="113"/>
      <c r="G25" s="113">
        <f t="shared" si="1"/>
        <v>26.92</v>
      </c>
      <c r="H25" s="241"/>
      <c r="I25" s="241"/>
      <c r="J25" s="113">
        <f t="shared" si="2"/>
        <v>33.78</v>
      </c>
      <c r="K25" s="241"/>
      <c r="L25" s="241"/>
      <c r="M25" s="113"/>
      <c r="N25" s="45"/>
      <c r="O25"/>
      <c r="P25" s="314"/>
      <c r="Q25" s="314"/>
      <c r="V25" s="104"/>
      <c r="W25" s="134"/>
      <c r="X25" s="134"/>
      <c r="Y25" s="134"/>
      <c r="Z25" s="134"/>
      <c r="AA25" s="134"/>
      <c r="AB25" s="134"/>
      <c r="AC25" s="104"/>
      <c r="AD25" s="104"/>
    </row>
    <row r="26" spans="2:30" s="245" customFormat="1">
      <c r="B26" s="243">
        <f t="shared" si="0"/>
        <v>2032</v>
      </c>
      <c r="C26" s="242"/>
      <c r="D26" s="113"/>
      <c r="E26" s="113"/>
      <c r="F26" s="113"/>
      <c r="G26" s="113">
        <f t="shared" si="1"/>
        <v>27.5</v>
      </c>
      <c r="H26" s="241"/>
      <c r="I26" s="241"/>
      <c r="J26" s="113">
        <f t="shared" si="2"/>
        <v>34.51</v>
      </c>
      <c r="K26" s="241"/>
      <c r="L26" s="241"/>
      <c r="M26" s="113"/>
      <c r="N26" s="45"/>
      <c r="O26"/>
      <c r="P26" s="314"/>
      <c r="Q26" s="314"/>
      <c r="V26" s="104"/>
      <c r="W26" s="134"/>
      <c r="X26" s="134"/>
      <c r="Y26" s="134"/>
      <c r="Z26" s="134"/>
      <c r="AA26" s="134"/>
      <c r="AB26" s="134"/>
      <c r="AC26" s="104"/>
      <c r="AD26" s="104"/>
    </row>
    <row r="27" spans="2:30" s="245" customFormat="1">
      <c r="B27" s="243">
        <f t="shared" si="0"/>
        <v>2033</v>
      </c>
      <c r="C27" s="242"/>
      <c r="D27" s="113"/>
      <c r="E27" s="113"/>
      <c r="F27" s="113"/>
      <c r="G27" s="113">
        <f t="shared" si="1"/>
        <v>28.09</v>
      </c>
      <c r="H27" s="241"/>
      <c r="I27" s="241"/>
      <c r="J27" s="113">
        <f>ROUND(J26*(1+IRP21_Infl_Rate),2)</f>
        <v>35.25</v>
      </c>
      <c r="K27" s="241"/>
      <c r="L27" s="241"/>
      <c r="M27" s="113"/>
      <c r="N27" s="45"/>
      <c r="O27"/>
      <c r="P27" s="314"/>
      <c r="Q27" s="314"/>
      <c r="V27" s="104"/>
      <c r="W27" s="134"/>
      <c r="X27" s="134"/>
      <c r="Y27" s="134"/>
      <c r="Z27" s="134"/>
      <c r="AA27" s="134"/>
      <c r="AB27" s="134"/>
      <c r="AC27" s="104"/>
      <c r="AD27" s="104"/>
    </row>
    <row r="28" spans="2:30" s="245" customFormat="1">
      <c r="B28" s="243">
        <f t="shared" si="0"/>
        <v>2034</v>
      </c>
      <c r="C28" s="244"/>
      <c r="D28" s="113"/>
      <c r="E28" s="113"/>
      <c r="F28" s="113"/>
      <c r="G28" s="113">
        <f t="shared" si="1"/>
        <v>28.7</v>
      </c>
      <c r="H28" s="241"/>
      <c r="I28" s="241"/>
      <c r="J28" s="113">
        <f t="shared" si="2"/>
        <v>36.01</v>
      </c>
      <c r="K28" s="241"/>
      <c r="L28" s="241"/>
      <c r="M28" s="113"/>
      <c r="N28" s="45"/>
      <c r="O28"/>
      <c r="P28"/>
      <c r="V28" s="104"/>
      <c r="W28" s="134"/>
      <c r="X28" s="134"/>
      <c r="Y28" s="134"/>
      <c r="Z28" s="134"/>
      <c r="AA28" s="134"/>
      <c r="AB28" s="134"/>
      <c r="AC28" s="104"/>
      <c r="AD28" s="104"/>
    </row>
    <row r="29" spans="2:30">
      <c r="B29" s="136">
        <f t="shared" si="0"/>
        <v>2035</v>
      </c>
      <c r="C29" s="242"/>
      <c r="D29" s="113"/>
      <c r="E29" s="113"/>
      <c r="F29" s="113"/>
      <c r="G29" s="113">
        <f t="shared" si="1"/>
        <v>29.32</v>
      </c>
      <c r="H29" s="241"/>
      <c r="I29" s="241"/>
      <c r="J29" s="113">
        <f t="shared" si="2"/>
        <v>36.79</v>
      </c>
      <c r="K29" s="241"/>
      <c r="L29" s="241"/>
      <c r="M29" s="113"/>
      <c r="N29" s="45"/>
      <c r="V29" s="104"/>
      <c r="W29" s="134"/>
      <c r="X29" s="134"/>
      <c r="Y29" s="134"/>
      <c r="Z29" s="134"/>
      <c r="AA29" s="134"/>
      <c r="AB29" s="134"/>
    </row>
    <row r="30" spans="2:30">
      <c r="B30" s="136">
        <f t="shared" si="0"/>
        <v>2036</v>
      </c>
      <c r="C30" s="242"/>
      <c r="D30" s="113"/>
      <c r="E30" s="113"/>
      <c r="F30" s="113"/>
      <c r="G30" s="113">
        <f t="shared" si="1"/>
        <v>29.95</v>
      </c>
      <c r="H30" s="241"/>
      <c r="I30" s="241"/>
      <c r="J30" s="113">
        <f t="shared" si="2"/>
        <v>37.58</v>
      </c>
      <c r="K30" s="241"/>
      <c r="L30" s="241"/>
      <c r="M30" s="113"/>
      <c r="N30" s="45"/>
    </row>
    <row r="31" spans="2:30">
      <c r="B31" s="136">
        <f t="shared" si="0"/>
        <v>2037</v>
      </c>
      <c r="C31" s="314">
        <f>$C$64</f>
        <v>1385.7797810443026</v>
      </c>
      <c r="D31" s="240">
        <f>ROUND(C31*$C$70,2)</f>
        <v>103.9</v>
      </c>
      <c r="E31" s="161">
        <f>$C$73</f>
        <v>0</v>
      </c>
      <c r="F31" s="113">
        <v>0</v>
      </c>
      <c r="G31" s="113">
        <f t="shared" si="1"/>
        <v>30.6</v>
      </c>
      <c r="H31" s="241">
        <f t="shared" ref="H31:H36" si="3">ROUND(G31*(8.76*$H$59)+F31,2)</f>
        <v>88.46</v>
      </c>
      <c r="I31" s="241">
        <f t="shared" ref="I31:I36" si="4">ROUND(D31+E31+H31,2)</f>
        <v>192.36</v>
      </c>
      <c r="J31" s="113">
        <f t="shared" si="2"/>
        <v>38.39</v>
      </c>
      <c r="K31" s="241">
        <f t="shared" ref="K31:K36" si="5">ROUND($L$59*J31/1000,2)</f>
        <v>381.44</v>
      </c>
      <c r="L31" s="241">
        <f t="shared" ref="L31:L36" si="6">ROUND(I31*1000/8760/$H$59+K31,2)</f>
        <v>447.98</v>
      </c>
      <c r="M31" s="113">
        <f t="shared" ref="M31:M36" si="7">(D31+E31+F31)</f>
        <v>103.9</v>
      </c>
      <c r="N31" s="45"/>
    </row>
    <row r="32" spans="2:30">
      <c r="B32" s="136">
        <f t="shared" si="0"/>
        <v>2038</v>
      </c>
      <c r="C32" s="242"/>
      <c r="D32" s="113">
        <f t="shared" ref="D32:D36" si="8">ROUND(D31*(1+IRP21_Infl_Rate),2)</f>
        <v>106.14</v>
      </c>
      <c r="E32" s="113">
        <f t="shared" ref="E32:E36" si="9">ROUND(E31*(1+IRP21_Infl_Rate),2)</f>
        <v>0</v>
      </c>
      <c r="F32" s="113">
        <f t="shared" ref="F32:F36" si="10">ROUND(F31*(1+IRP21_Infl_Rate),2)</f>
        <v>0</v>
      </c>
      <c r="G32" s="113">
        <f t="shared" si="1"/>
        <v>31.26</v>
      </c>
      <c r="H32" s="241">
        <f t="shared" si="3"/>
        <v>90.37</v>
      </c>
      <c r="I32" s="241">
        <f t="shared" si="4"/>
        <v>196.51</v>
      </c>
      <c r="J32" s="113">
        <f t="shared" si="2"/>
        <v>39.22</v>
      </c>
      <c r="K32" s="241">
        <f t="shared" si="5"/>
        <v>389.69</v>
      </c>
      <c r="L32" s="241">
        <f t="shared" si="6"/>
        <v>457.67</v>
      </c>
      <c r="M32" s="113">
        <f t="shared" si="7"/>
        <v>106.14</v>
      </c>
      <c r="N32" s="45"/>
    </row>
    <row r="33" spans="2:16">
      <c r="B33" s="136">
        <f t="shared" si="0"/>
        <v>2039</v>
      </c>
      <c r="C33" s="242"/>
      <c r="D33" s="113">
        <f t="shared" si="8"/>
        <v>108.43</v>
      </c>
      <c r="E33" s="113">
        <f t="shared" si="9"/>
        <v>0</v>
      </c>
      <c r="F33" s="113">
        <f t="shared" si="10"/>
        <v>0</v>
      </c>
      <c r="G33" s="113">
        <f t="shared" si="1"/>
        <v>31.93</v>
      </c>
      <c r="H33" s="241">
        <f t="shared" si="3"/>
        <v>92.3</v>
      </c>
      <c r="I33" s="241">
        <f t="shared" si="4"/>
        <v>200.73</v>
      </c>
      <c r="J33" s="113">
        <f t="shared" si="2"/>
        <v>40.07</v>
      </c>
      <c r="K33" s="241">
        <f t="shared" si="5"/>
        <v>398.14</v>
      </c>
      <c r="L33" s="241">
        <f t="shared" si="6"/>
        <v>467.58</v>
      </c>
      <c r="M33" s="113">
        <f t="shared" si="7"/>
        <v>108.43</v>
      </c>
    </row>
    <row r="34" spans="2:16">
      <c r="B34" s="136">
        <f t="shared" si="0"/>
        <v>2040</v>
      </c>
      <c r="C34" s="242"/>
      <c r="D34" s="113">
        <f t="shared" si="8"/>
        <v>110.77</v>
      </c>
      <c r="E34" s="113">
        <f t="shared" si="9"/>
        <v>0</v>
      </c>
      <c r="F34" s="113">
        <f t="shared" si="10"/>
        <v>0</v>
      </c>
      <c r="G34" s="113">
        <f t="shared" si="1"/>
        <v>32.619999999999997</v>
      </c>
      <c r="H34" s="241">
        <f t="shared" si="3"/>
        <v>94.3</v>
      </c>
      <c r="I34" s="241">
        <f t="shared" si="4"/>
        <v>205.07</v>
      </c>
      <c r="J34" s="113">
        <f t="shared" si="2"/>
        <v>40.93</v>
      </c>
      <c r="K34" s="241">
        <f t="shared" si="5"/>
        <v>406.68</v>
      </c>
      <c r="L34" s="241">
        <f t="shared" si="6"/>
        <v>477.62</v>
      </c>
      <c r="M34" s="113">
        <f t="shared" si="7"/>
        <v>110.77</v>
      </c>
    </row>
    <row r="35" spans="2:16">
      <c r="B35" s="136">
        <f t="shared" si="0"/>
        <v>2041</v>
      </c>
      <c r="C35" s="242"/>
      <c r="D35" s="113">
        <f t="shared" si="8"/>
        <v>113.16</v>
      </c>
      <c r="E35" s="113">
        <f t="shared" si="9"/>
        <v>0</v>
      </c>
      <c r="F35" s="113">
        <f t="shared" si="10"/>
        <v>0</v>
      </c>
      <c r="G35" s="113">
        <f t="shared" si="1"/>
        <v>33.32</v>
      </c>
      <c r="H35" s="241">
        <f t="shared" si="3"/>
        <v>96.32</v>
      </c>
      <c r="I35" s="241">
        <f t="shared" si="4"/>
        <v>209.48</v>
      </c>
      <c r="J35" s="113">
        <f t="shared" si="2"/>
        <v>41.81</v>
      </c>
      <c r="K35" s="241">
        <f t="shared" si="5"/>
        <v>415.42</v>
      </c>
      <c r="L35" s="241">
        <f t="shared" si="6"/>
        <v>487.88</v>
      </c>
      <c r="M35" s="113">
        <f t="shared" si="7"/>
        <v>113.16</v>
      </c>
    </row>
    <row r="36" spans="2:16">
      <c r="B36" s="136">
        <f t="shared" si="0"/>
        <v>2042</v>
      </c>
      <c r="C36" s="242"/>
      <c r="D36" s="113">
        <f t="shared" si="8"/>
        <v>115.6</v>
      </c>
      <c r="E36" s="113">
        <f t="shared" si="9"/>
        <v>0</v>
      </c>
      <c r="F36" s="113">
        <f t="shared" si="10"/>
        <v>0</v>
      </c>
      <c r="G36" s="113">
        <f t="shared" si="1"/>
        <v>34.04</v>
      </c>
      <c r="H36" s="241">
        <f t="shared" si="3"/>
        <v>98.4</v>
      </c>
      <c r="I36" s="241">
        <f t="shared" si="4"/>
        <v>214</v>
      </c>
      <c r="J36" s="113">
        <f t="shared" si="2"/>
        <v>42.71</v>
      </c>
      <c r="K36" s="241">
        <f t="shared" si="5"/>
        <v>424.37</v>
      </c>
      <c r="L36" s="241">
        <f t="shared" si="6"/>
        <v>498.4</v>
      </c>
      <c r="M36" s="113">
        <f t="shared" si="7"/>
        <v>115.6</v>
      </c>
    </row>
    <row r="37" spans="2:16">
      <c r="N37" s="136"/>
      <c r="P37" s="246"/>
    </row>
    <row r="38" spans="2:16" ht="14.25">
      <c r="B38" s="4" t="s">
        <v>25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N38" s="136"/>
      <c r="O38" s="246"/>
      <c r="P38" s="246"/>
    </row>
    <row r="40" spans="2:16">
      <c r="B40" t="s">
        <v>105</v>
      </c>
      <c r="D40" s="247" t="s">
        <v>207</v>
      </c>
    </row>
    <row r="41" spans="2:16">
      <c r="C41" s="248" t="str">
        <f>D10</f>
        <v>(b)</v>
      </c>
      <c r="D41" s="241" t="str">
        <f>"= "&amp;C10&amp;" x "&amp;C70</f>
        <v>= (a) x 0.0749741404851062</v>
      </c>
    </row>
    <row r="42" spans="2:16">
      <c r="C42" s="248" t="str">
        <f>H10</f>
        <v>(f)</v>
      </c>
      <c r="D42" s="241" t="str">
        <f>"= "&amp;$G$10&amp;" x  (8.76 x "&amp;TEXT(H59,"0.0%")&amp;") + "&amp;$F$10</f>
        <v>= (e) x  (8.76 x 33.0%) + (d)</v>
      </c>
    </row>
    <row r="43" spans="2:16">
      <c r="C43" s="248" t="str">
        <f>I10</f>
        <v>(g)</v>
      </c>
      <c r="D43" s="241" t="str">
        <f>"= "&amp;D10&amp;" + "&amp;H10</f>
        <v>= (b) + (f)</v>
      </c>
    </row>
    <row r="44" spans="2:16">
      <c r="C44" s="248" t="str">
        <f>J10</f>
        <v>(h)</v>
      </c>
      <c r="D44" s="249" t="str">
        <f>'Table 4'!B3&amp;" - "&amp;'Table 4'!B4</f>
        <v>Table 4 - Burnertip Natural Gas Price Forecast</v>
      </c>
    </row>
    <row r="45" spans="2:16">
      <c r="C45" s="248" t="str">
        <f>K10</f>
        <v>(i)</v>
      </c>
      <c r="D45" s="241" t="str">
        <f>"= "&amp;TEXT(L59,"?,0")&amp;" MMBtu/MWH x "&amp;J9</f>
        <v>= 9,936 MMBtu/MWH x $/MMBtu</v>
      </c>
    </row>
    <row r="46" spans="2:16">
      <c r="C46" s="248" t="str">
        <f>L10</f>
        <v>(i)</v>
      </c>
      <c r="D46" s="241" t="str">
        <f>"= "&amp;I10&amp;" / (8.76 x 'Capacity Factor' ) + "&amp;K10</f>
        <v>= (g) / (8.76 x 'Capacity Factor' ) + (i)</v>
      </c>
    </row>
    <row r="47" spans="2:16" ht="13.5" thickBot="1"/>
    <row r="48" spans="2:16" ht="13.5" thickBot="1">
      <c r="C48" s="39" t="s">
        <v>175</v>
      </c>
      <c r="D48" s="250"/>
      <c r="E48" s="250"/>
      <c r="F48" s="250"/>
      <c r="G48" s="250"/>
      <c r="H48" s="250"/>
      <c r="I48" s="250"/>
      <c r="J48" s="250"/>
      <c r="K48" s="251"/>
      <c r="L48" s="252"/>
    </row>
    <row r="49" spans="2:22" ht="5.25" customHeight="1"/>
    <row r="50" spans="2:22" ht="5.25" customHeight="1"/>
    <row r="51" spans="2:22">
      <c r="C51" s="253" t="s">
        <v>106</v>
      </c>
      <c r="D51" s="254"/>
      <c r="E51" s="253"/>
      <c r="F51" s="253"/>
      <c r="G51" s="255" t="s">
        <v>32</v>
      </c>
      <c r="H51" s="255" t="s">
        <v>107</v>
      </c>
      <c r="I51" s="255" t="s">
        <v>108</v>
      </c>
      <c r="J51" s="255" t="s">
        <v>33</v>
      </c>
    </row>
    <row r="52" spans="2:22">
      <c r="C52" s="245" t="s">
        <v>109</v>
      </c>
      <c r="G52" s="256">
        <f>C63</f>
        <v>206.10992340000001</v>
      </c>
      <c r="H52" s="38">
        <f>G52/G54</f>
        <v>1</v>
      </c>
      <c r="I52" s="257">
        <f>C64</f>
        <v>1385.7797810443026</v>
      </c>
      <c r="J52" s="258">
        <f>C67</f>
        <v>0</v>
      </c>
      <c r="Q52" s="104"/>
      <c r="R52" s="104"/>
      <c r="S52" s="104"/>
      <c r="T52" s="104"/>
      <c r="U52" s="104"/>
      <c r="V52" s="104"/>
    </row>
    <row r="53" spans="2:22">
      <c r="C53" s="245"/>
      <c r="G53" s="259">
        <f>D63</f>
        <v>0</v>
      </c>
      <c r="H53" s="260">
        <f>1-H52</f>
        <v>0</v>
      </c>
      <c r="I53" s="261">
        <f>D64</f>
        <v>0</v>
      </c>
      <c r="J53" s="262">
        <f>D67</f>
        <v>0</v>
      </c>
      <c r="Q53" s="323"/>
      <c r="R53" s="104"/>
      <c r="S53" s="104"/>
      <c r="T53" s="104"/>
      <c r="U53" s="104"/>
      <c r="V53" s="104"/>
    </row>
    <row r="54" spans="2:22">
      <c r="C54" s="245" t="s">
        <v>110</v>
      </c>
      <c r="G54" s="256">
        <f>G52+G53</f>
        <v>206.10992340000001</v>
      </c>
      <c r="H54" s="38">
        <f>H52+H53</f>
        <v>1</v>
      </c>
      <c r="I54" s="257">
        <f>ROUND(((G52*I52)+(G53*I53))/G54,0)</f>
        <v>1386</v>
      </c>
      <c r="J54" s="258">
        <f>ROUND(((G52*J52)+(G53*J53))/G54,2)</f>
        <v>0</v>
      </c>
      <c r="Q54" s="323"/>
      <c r="R54" s="104"/>
      <c r="S54" s="104"/>
      <c r="T54" s="104"/>
      <c r="U54" s="104"/>
      <c r="V54" s="104"/>
    </row>
    <row r="55" spans="2:22">
      <c r="C55" s="245"/>
      <c r="G55" s="256"/>
      <c r="H55" s="38"/>
      <c r="I55" s="263"/>
      <c r="J55" s="264"/>
      <c r="Q55" s="104"/>
      <c r="R55" s="104"/>
      <c r="S55" s="104"/>
      <c r="T55" s="104"/>
      <c r="U55" s="104"/>
      <c r="V55" s="104"/>
    </row>
    <row r="56" spans="2:22">
      <c r="C56" s="265" t="s">
        <v>106</v>
      </c>
      <c r="D56" s="254"/>
      <c r="E56" s="253"/>
      <c r="F56" s="253"/>
      <c r="G56" s="255" t="s">
        <v>32</v>
      </c>
      <c r="H56" s="255" t="s">
        <v>34</v>
      </c>
      <c r="I56" s="255" t="s">
        <v>111</v>
      </c>
      <c r="J56" s="255" t="s">
        <v>107</v>
      </c>
      <c r="K56" s="255" t="s">
        <v>112</v>
      </c>
      <c r="L56" s="255" t="s">
        <v>113</v>
      </c>
    </row>
    <row r="57" spans="2:22">
      <c r="C57" s="266" t="str">
        <f>C52</f>
        <v>SCCT Dry "F" - Turbine</v>
      </c>
      <c r="D57" s="267"/>
      <c r="E57" s="267"/>
      <c r="F57" s="267"/>
      <c r="G57">
        <f>C63</f>
        <v>206.10992340000001</v>
      </c>
      <c r="H57" s="38">
        <f>C71</f>
        <v>0.33</v>
      </c>
      <c r="I57" s="150">
        <f>H57*G57</f>
        <v>68.016274722000006</v>
      </c>
      <c r="J57" s="38">
        <f>I57/I59</f>
        <v>1</v>
      </c>
      <c r="K57" s="264">
        <f>C68</f>
        <v>21.294</v>
      </c>
      <c r="L57" s="268">
        <f>C69</f>
        <v>9936</v>
      </c>
    </row>
    <row r="58" spans="2:22">
      <c r="C58" s="266">
        <f>C53</f>
        <v>0</v>
      </c>
      <c r="D58" s="267"/>
      <c r="E58" s="267"/>
      <c r="F58" s="267"/>
      <c r="G58" s="269">
        <f>D63</f>
        <v>0</v>
      </c>
      <c r="H58" s="260">
        <f>D71</f>
        <v>0</v>
      </c>
      <c r="I58" s="270">
        <f>H58*G58</f>
        <v>0</v>
      </c>
      <c r="J58" s="260">
        <f>1-J57</f>
        <v>0</v>
      </c>
      <c r="K58" s="271">
        <f>D68</f>
        <v>0</v>
      </c>
      <c r="L58" s="272">
        <f>D69</f>
        <v>0</v>
      </c>
    </row>
    <row r="59" spans="2:22">
      <c r="C59" s="245" t="s">
        <v>114</v>
      </c>
      <c r="G59">
        <f>G57+G58</f>
        <v>206.10992340000001</v>
      </c>
      <c r="H59" s="273">
        <f>ROUND(I59/G59,3)</f>
        <v>0.33</v>
      </c>
      <c r="I59" s="150">
        <f>SUM(I57:I58)</f>
        <v>68.016274722000006</v>
      </c>
      <c r="J59" s="38">
        <f>J57+J58</f>
        <v>1</v>
      </c>
      <c r="K59" s="264">
        <f>ROUND(($J57*K57)+($J58*K58),2)</f>
        <v>21.29</v>
      </c>
      <c r="L59" s="274">
        <f>ROUND(($J57*L57)+($J58*L58),0)</f>
        <v>9936</v>
      </c>
    </row>
    <row r="60" spans="2:22">
      <c r="H60" s="273"/>
      <c r="J60" s="38"/>
      <c r="K60" s="264"/>
      <c r="L60" s="275" t="s">
        <v>115</v>
      </c>
    </row>
    <row r="62" spans="2:22">
      <c r="C62" s="255" t="s">
        <v>116</v>
      </c>
      <c r="D62" s="255" t="s">
        <v>117</v>
      </c>
      <c r="E62" s="318"/>
      <c r="F62" s="276" t="str">
        <f>D40</f>
        <v xml:space="preserve">Plant Costs  - 2021 IRP  - Table 7.1 &amp; 7.2 </v>
      </c>
      <c r="G62" s="277"/>
      <c r="H62" s="277"/>
      <c r="I62" s="277"/>
      <c r="J62" s="277"/>
      <c r="K62" s="277"/>
      <c r="L62" s="278"/>
    </row>
    <row r="63" spans="2:22">
      <c r="C63">
        <v>206.10992340000001</v>
      </c>
      <c r="F63" t="s">
        <v>118</v>
      </c>
      <c r="I63" s="279"/>
    </row>
    <row r="64" spans="2:22">
      <c r="B64" t="s">
        <v>205</v>
      </c>
      <c r="C64" s="263">
        <f>285622.96452031/C63</f>
        <v>1385.7797810443026</v>
      </c>
      <c r="D64" s="263"/>
      <c r="F64" t="s">
        <v>119</v>
      </c>
    </row>
    <row r="65" spans="2:7">
      <c r="C65" s="264">
        <v>0</v>
      </c>
      <c r="D65" s="264"/>
      <c r="F65" t="s">
        <v>120</v>
      </c>
    </row>
    <row r="66" spans="2:7">
      <c r="C66" s="280">
        <v>0</v>
      </c>
      <c r="D66" s="280"/>
      <c r="F66" t="s">
        <v>121</v>
      </c>
    </row>
    <row r="67" spans="2:7">
      <c r="B67" t="s">
        <v>156</v>
      </c>
      <c r="C67" s="264">
        <f>C65+C66</f>
        <v>0</v>
      </c>
      <c r="D67" s="264"/>
      <c r="F67" t="s">
        <v>122</v>
      </c>
    </row>
    <row r="68" spans="2:7">
      <c r="B68" t="s">
        <v>156</v>
      </c>
      <c r="C68" s="335">
        <v>21.294</v>
      </c>
      <c r="D68" s="264"/>
      <c r="F68" t="s">
        <v>123</v>
      </c>
    </row>
    <row r="69" spans="2:7">
      <c r="C69" s="274">
        <v>9936</v>
      </c>
      <c r="D69" s="274"/>
      <c r="F69" t="s">
        <v>124</v>
      </c>
    </row>
    <row r="70" spans="2:7">
      <c r="C70" s="281">
        <v>7.4974140485106158E-2</v>
      </c>
      <c r="D70" s="281"/>
      <c r="F70" t="s">
        <v>36</v>
      </c>
    </row>
    <row r="71" spans="2:7">
      <c r="C71" s="282">
        <v>0.33</v>
      </c>
      <c r="D71" s="282"/>
      <c r="F71" t="s">
        <v>37</v>
      </c>
    </row>
    <row r="72" spans="2:7">
      <c r="D72" s="38">
        <f>ROUND(I59/G59,3)</f>
        <v>0.33</v>
      </c>
      <c r="F72" t="s">
        <v>125</v>
      </c>
    </row>
    <row r="73" spans="2:7">
      <c r="B73" s="302"/>
      <c r="C73" s="134"/>
      <c r="D73" s="104"/>
      <c r="E73" s="104"/>
      <c r="F73" s="104"/>
    </row>
    <row r="74" spans="2:7" ht="13.5" thickBot="1">
      <c r="C74" s="80">
        <v>26.724569206547603</v>
      </c>
      <c r="F74" t="s">
        <v>176</v>
      </c>
      <c r="G74" s="316"/>
    </row>
    <row r="76" spans="2:7">
      <c r="D76" s="283"/>
    </row>
    <row r="77" spans="2:7">
      <c r="D77" s="283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1"/>
  <sheetViews>
    <sheetView view="pageBreakPreview" topLeftCell="A2" zoomScale="60" zoomScaleNormal="80" workbookViewId="0">
      <selection activeCell="B5" sqref="B5"/>
    </sheetView>
  </sheetViews>
  <sheetFormatPr defaultColWidth="9.33203125" defaultRowHeight="12.75"/>
  <cols>
    <col min="1" max="1" width="2.83203125" style="3" customWidth="1"/>
    <col min="2" max="2" width="7" style="3" customWidth="1"/>
    <col min="3" max="15" width="10.1640625" style="3" customWidth="1"/>
    <col min="16" max="16" width="1.6640625" style="3" customWidth="1"/>
    <col min="17" max="16384" width="9.33203125" style="3"/>
  </cols>
  <sheetData>
    <row r="1" spans="2:16" s="178" customFormat="1" ht="15.75" hidden="1">
      <c r="B1" s="1" t="s">
        <v>35</v>
      </c>
      <c r="C1" s="1"/>
      <c r="D1" s="1"/>
      <c r="E1" s="1"/>
      <c r="F1" s="1"/>
      <c r="G1" s="176"/>
      <c r="H1" s="1"/>
      <c r="I1" s="1"/>
      <c r="J1" s="1"/>
      <c r="K1" s="1"/>
      <c r="L1" s="177"/>
      <c r="M1" s="1"/>
      <c r="N1" s="1"/>
      <c r="O1" s="1"/>
      <c r="P1" s="1"/>
    </row>
    <row r="2" spans="2:16" s="178" customFormat="1" ht="5.25" customHeight="1">
      <c r="B2" s="1"/>
      <c r="C2" s="1"/>
      <c r="D2" s="1"/>
      <c r="E2" s="1"/>
      <c r="F2" s="1"/>
      <c r="G2" s="176"/>
      <c r="H2" s="1"/>
      <c r="I2" s="1"/>
      <c r="J2" s="1"/>
      <c r="K2" s="1"/>
      <c r="L2" s="177"/>
      <c r="M2" s="1"/>
      <c r="N2" s="1"/>
      <c r="O2" s="1"/>
      <c r="P2" s="1"/>
    </row>
    <row r="3" spans="2:16" s="178" customFormat="1" ht="15.75">
      <c r="B3" s="1" t="s">
        <v>93</v>
      </c>
      <c r="C3" s="1"/>
      <c r="D3" s="1"/>
      <c r="E3" s="1"/>
      <c r="F3" s="1"/>
      <c r="G3" s="176"/>
      <c r="H3" s="1"/>
      <c r="I3" s="1"/>
      <c r="J3" s="1"/>
      <c r="K3" s="1"/>
      <c r="L3" s="177"/>
      <c r="M3" s="1"/>
      <c r="N3" s="1"/>
      <c r="O3" s="1"/>
      <c r="P3" s="1"/>
    </row>
    <row r="4" spans="2:16" s="179" customFormat="1" ht="15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s="179" customFormat="1" ht="15">
      <c r="B5" s="4" t="str">
        <f ca="1">'Table 1'!B5</f>
        <v>Utah 2022.Q4_Wind - 80.0 MW and 29.5%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179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>
      <c r="D7" s="180"/>
      <c r="E7" s="180"/>
      <c r="F7" s="180"/>
      <c r="G7" s="181"/>
      <c r="H7" s="181"/>
      <c r="I7" s="181"/>
      <c r="J7" s="181"/>
      <c r="K7" s="181"/>
      <c r="L7" s="181"/>
      <c r="M7" s="182"/>
    </row>
    <row r="8" spans="2:16">
      <c r="B8" s="183"/>
      <c r="C8" s="183"/>
      <c r="D8" s="184" t="s">
        <v>95</v>
      </c>
      <c r="E8" s="185"/>
      <c r="F8" s="185"/>
      <c r="G8" s="184"/>
      <c r="H8" s="184"/>
      <c r="I8" s="186" t="s">
        <v>96</v>
      </c>
      <c r="J8" s="187"/>
      <c r="K8" s="187"/>
      <c r="L8" s="188"/>
      <c r="M8" s="189" t="s">
        <v>95</v>
      </c>
      <c r="N8" s="190"/>
      <c r="O8" s="191"/>
    </row>
    <row r="9" spans="2:16">
      <c r="B9" s="192" t="s">
        <v>0</v>
      </c>
      <c r="C9" s="192" t="s">
        <v>245</v>
      </c>
      <c r="D9" s="193" t="s">
        <v>246</v>
      </c>
      <c r="E9" s="194" t="s">
        <v>247</v>
      </c>
      <c r="F9" s="194" t="s">
        <v>248</v>
      </c>
      <c r="G9" s="194" t="s">
        <v>249</v>
      </c>
      <c r="H9" s="195" t="s">
        <v>250</v>
      </c>
      <c r="I9" s="148" t="s">
        <v>251</v>
      </c>
      <c r="J9" s="148" t="s">
        <v>252</v>
      </c>
      <c r="K9" s="148" t="s">
        <v>253</v>
      </c>
      <c r="L9" s="148" t="s">
        <v>254</v>
      </c>
      <c r="M9" s="193" t="s">
        <v>255</v>
      </c>
      <c r="N9" s="194" t="s">
        <v>256</v>
      </c>
      <c r="O9" s="195" t="s">
        <v>257</v>
      </c>
    </row>
    <row r="10" spans="2:16" ht="12.75" customHeight="1">
      <c r="B10" s="5"/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6" ht="12.75" customHeight="1">
      <c r="B11" s="145" t="s">
        <v>97</v>
      </c>
      <c r="C11" s="145"/>
      <c r="E11" s="180"/>
      <c r="F11" s="180"/>
      <c r="G11" s="180"/>
      <c r="H11" s="180"/>
      <c r="I11" s="180"/>
      <c r="J11" s="180"/>
      <c r="K11" s="180"/>
      <c r="L11" s="180"/>
      <c r="M11" s="180"/>
      <c r="N11" s="180"/>
    </row>
    <row r="12" spans="2:16" ht="12.75" hidden="1" customHeight="1">
      <c r="B12" s="196"/>
      <c r="C12" s="197"/>
      <c r="D12" s="7"/>
      <c r="E12" s="7"/>
      <c r="F12" s="7"/>
      <c r="G12" s="7"/>
      <c r="H12" s="11"/>
      <c r="I12" s="198"/>
      <c r="J12" s="199"/>
      <c r="K12" s="199"/>
      <c r="L12" s="200"/>
      <c r="M12" s="198"/>
      <c r="N12" s="199"/>
      <c r="O12" s="200"/>
    </row>
    <row r="13" spans="2:16" ht="12.75" customHeight="1">
      <c r="B13" s="201">
        <v>2023</v>
      </c>
      <c r="C13" s="202">
        <v>59.092620400761341</v>
      </c>
      <c r="D13" s="203">
        <v>136.82153733800911</v>
      </c>
      <c r="E13" s="203">
        <v>67.423945902310734</v>
      </c>
      <c r="F13" s="203">
        <v>35.405729132947194</v>
      </c>
      <c r="G13" s="203">
        <v>23.141552811137398</v>
      </c>
      <c r="H13" s="204">
        <v>20.19290095662851</v>
      </c>
      <c r="I13" s="205">
        <v>29.721754904705826</v>
      </c>
      <c r="J13" s="203">
        <v>142.21795391120224</v>
      </c>
      <c r="K13" s="203">
        <v>83.295673167881276</v>
      </c>
      <c r="L13" s="204">
        <v>54.28259241621317</v>
      </c>
      <c r="M13" s="205">
        <v>51.55670025167116</v>
      </c>
      <c r="N13" s="203">
        <v>44.417606917917453</v>
      </c>
      <c r="O13" s="204">
        <v>58.562007899717464</v>
      </c>
    </row>
    <row r="14" spans="2:16" ht="12.75" customHeight="1">
      <c r="B14" s="218">
        <v>2024</v>
      </c>
      <c r="C14" s="206">
        <v>64.278680564305063</v>
      </c>
      <c r="D14" s="207">
        <v>101.50901264330142</v>
      </c>
      <c r="E14" s="207">
        <v>64.160593032711247</v>
      </c>
      <c r="F14" s="207">
        <v>46.730562638364383</v>
      </c>
      <c r="G14" s="207">
        <v>30.148455616679843</v>
      </c>
      <c r="H14" s="208">
        <v>29.651509899326218</v>
      </c>
      <c r="I14" s="209">
        <v>37.250461897037283</v>
      </c>
      <c r="J14" s="207">
        <v>150.18282367540886</v>
      </c>
      <c r="K14" s="207">
        <v>100.29334270235508</v>
      </c>
      <c r="L14" s="208">
        <v>75.497139964322486</v>
      </c>
      <c r="M14" s="209">
        <v>57.206639983274506</v>
      </c>
      <c r="N14" s="207">
        <v>55.410887049912596</v>
      </c>
      <c r="O14" s="208">
        <v>79.834916730613742</v>
      </c>
    </row>
    <row r="15" spans="2:16" ht="12.75" customHeight="1">
      <c r="B15" s="218">
        <v>2025</v>
      </c>
      <c r="C15" s="206">
        <v>46.864729741675539</v>
      </c>
      <c r="D15" s="207">
        <v>34.513170027186305</v>
      </c>
      <c r="E15" s="207">
        <v>42.853073159240779</v>
      </c>
      <c r="F15" s="207">
        <v>37.992018618194848</v>
      </c>
      <c r="G15" s="207">
        <v>18.349856865722106</v>
      </c>
      <c r="H15" s="208">
        <v>24.961885408100073</v>
      </c>
      <c r="I15" s="209">
        <v>29.883259860234652</v>
      </c>
      <c r="J15" s="207">
        <v>146.47008676667423</v>
      </c>
      <c r="K15" s="207">
        <v>82.59701343197311</v>
      </c>
      <c r="L15" s="208">
        <v>71.69901743618334</v>
      </c>
      <c r="M15" s="209">
        <v>43.983802047997081</v>
      </c>
      <c r="N15" s="207">
        <v>37.354912282019924</v>
      </c>
      <c r="O15" s="208">
        <v>59.175942655783899</v>
      </c>
    </row>
    <row r="16" spans="2:16" ht="12.75" customHeight="1">
      <c r="B16" s="218">
        <v>2026</v>
      </c>
      <c r="C16" s="206">
        <v>2.6048483368862319</v>
      </c>
      <c r="D16" s="207">
        <v>30.557637502109209</v>
      </c>
      <c r="E16" s="207">
        <v>25.500805340365648</v>
      </c>
      <c r="F16" s="207">
        <v>11.451108051616144</v>
      </c>
      <c r="G16" s="207">
        <v>-1.3011995119720488</v>
      </c>
      <c r="H16" s="208">
        <v>-5.1268380009404222</v>
      </c>
      <c r="I16" s="209">
        <v>-16.696029303555463</v>
      </c>
      <c r="J16" s="207">
        <v>-38.1708497771833</v>
      </c>
      <c r="K16" s="207">
        <v>-56.252499375484597</v>
      </c>
      <c r="L16" s="208">
        <v>-8.6080435473584451</v>
      </c>
      <c r="M16" s="209">
        <v>11.489303502504404</v>
      </c>
      <c r="N16" s="207">
        <v>10.640089385308123</v>
      </c>
      <c r="O16" s="208">
        <v>18.175746791599607</v>
      </c>
    </row>
    <row r="17" spans="2:15" ht="12.75" customHeight="1">
      <c r="B17" s="218">
        <v>2027</v>
      </c>
      <c r="C17" s="206">
        <v>0.31544868602004494</v>
      </c>
      <c r="D17" s="207">
        <v>25.864398283144617</v>
      </c>
      <c r="E17" s="207">
        <v>20.953402960791902</v>
      </c>
      <c r="F17" s="207">
        <v>6.7677878289155773</v>
      </c>
      <c r="G17" s="207">
        <v>-0.91584884819192336</v>
      </c>
      <c r="H17" s="208">
        <v>-6.8682538279524836</v>
      </c>
      <c r="I17" s="209">
        <v>-16.057135456907108</v>
      </c>
      <c r="J17" s="207">
        <v>-37.409730415359419</v>
      </c>
      <c r="K17" s="207">
        <v>-51.334455279327081</v>
      </c>
      <c r="L17" s="208">
        <v>-12.644024575837069</v>
      </c>
      <c r="M17" s="209">
        <v>8.1841179257473478</v>
      </c>
      <c r="N17" s="207">
        <v>7.9380154289889813</v>
      </c>
      <c r="O17" s="208">
        <v>14.517566787557737</v>
      </c>
    </row>
    <row r="18" spans="2:15" ht="12.75" customHeight="1">
      <c r="B18" s="218">
        <v>2028</v>
      </c>
      <c r="C18" s="206">
        <v>2.517423619902728E-2</v>
      </c>
      <c r="D18" s="207">
        <v>28.755357946804008</v>
      </c>
      <c r="E18" s="207">
        <v>17.725847720019459</v>
      </c>
      <c r="F18" s="207">
        <v>5.9910007287754112</v>
      </c>
      <c r="G18" s="207">
        <v>-1.4799190692260522</v>
      </c>
      <c r="H18" s="208">
        <v>-6.5497465482677182</v>
      </c>
      <c r="I18" s="209">
        <v>-16.010683053588117</v>
      </c>
      <c r="J18" s="207">
        <v>-36.423435489582296</v>
      </c>
      <c r="K18" s="207">
        <v>-48.922098654021575</v>
      </c>
      <c r="L18" s="208">
        <v>-12.998958766565705</v>
      </c>
      <c r="M18" s="209">
        <v>7.643731183971374</v>
      </c>
      <c r="N18" s="207">
        <v>5.8098277890964312</v>
      </c>
      <c r="O18" s="208">
        <v>12.368730423447229</v>
      </c>
    </row>
    <row r="19" spans="2:15" ht="12.75" customHeight="1">
      <c r="B19" s="218">
        <v>2029</v>
      </c>
      <c r="C19" s="206">
        <v>0.18153605562757669</v>
      </c>
      <c r="D19" s="207">
        <v>29.125616590909711</v>
      </c>
      <c r="E19" s="207">
        <v>18.804875753610794</v>
      </c>
      <c r="F19" s="207">
        <v>7.1063531712863739</v>
      </c>
      <c r="G19" s="207">
        <v>-1.7081797446138309</v>
      </c>
      <c r="H19" s="208">
        <v>-7.2853220688646863</v>
      </c>
      <c r="I19" s="209">
        <v>-15.585601991278034</v>
      </c>
      <c r="J19" s="207">
        <v>-37.442129215195834</v>
      </c>
      <c r="K19" s="207">
        <v>-46.73706480696432</v>
      </c>
      <c r="L19" s="208">
        <v>-15.754057904238287</v>
      </c>
      <c r="M19" s="209">
        <v>7.2216831051892241</v>
      </c>
      <c r="N19" s="207">
        <v>6.7894537615015249</v>
      </c>
      <c r="O19" s="208">
        <v>13.48359709178523</v>
      </c>
    </row>
    <row r="20" spans="2:15" ht="12.75" customHeight="1">
      <c r="B20" s="218">
        <v>2030</v>
      </c>
      <c r="C20" s="206">
        <v>1.1104696904916309</v>
      </c>
      <c r="D20" s="207">
        <v>29.309220384276617</v>
      </c>
      <c r="E20" s="207">
        <v>22.628417996449006</v>
      </c>
      <c r="F20" s="207">
        <v>5.2777734968463266</v>
      </c>
      <c r="G20" s="207">
        <v>-1.9003735976877949</v>
      </c>
      <c r="H20" s="208">
        <v>-6.4325852884353161</v>
      </c>
      <c r="I20" s="209">
        <v>-15.382575113615722</v>
      </c>
      <c r="J20" s="207">
        <v>-35.976854071059009</v>
      </c>
      <c r="K20" s="207">
        <v>-45.986572445712007</v>
      </c>
      <c r="L20" s="208">
        <v>-13.970659516618554</v>
      </c>
      <c r="M20" s="209">
        <v>7.620344845308523</v>
      </c>
      <c r="N20" s="207">
        <v>10.107089857831662</v>
      </c>
      <c r="O20" s="208">
        <v>15.822278342117585</v>
      </c>
    </row>
    <row r="21" spans="2:15" ht="12.75" customHeight="1">
      <c r="B21" s="218">
        <v>2031</v>
      </c>
      <c r="C21" s="206">
        <v>0.50951611339438274</v>
      </c>
      <c r="D21" s="207">
        <v>27.011560854203356</v>
      </c>
      <c r="E21" s="207">
        <v>20.118070018541552</v>
      </c>
      <c r="F21" s="207">
        <v>5.920345358724072</v>
      </c>
      <c r="G21" s="207">
        <v>-1.7056528633978032</v>
      </c>
      <c r="H21" s="208">
        <v>-7.2249566725846721</v>
      </c>
      <c r="I21" s="209">
        <v>-15.776296709929124</v>
      </c>
      <c r="J21" s="207">
        <v>-36.028217947498995</v>
      </c>
      <c r="K21" s="207">
        <v>-47.550025657766525</v>
      </c>
      <c r="L21" s="208">
        <v>-13.117751786663568</v>
      </c>
      <c r="M21" s="209">
        <v>6.5137699457434133</v>
      </c>
      <c r="N21" s="207">
        <v>10.975943000164921</v>
      </c>
      <c r="O21" s="208">
        <v>15.02425796639762</v>
      </c>
    </row>
    <row r="22" spans="2:15" ht="12.75" customHeight="1">
      <c r="B22" s="218">
        <v>2032</v>
      </c>
      <c r="C22" s="206">
        <v>-1.9370606200034661</v>
      </c>
      <c r="D22" s="207">
        <v>24.173250531821733</v>
      </c>
      <c r="E22" s="207">
        <v>18.083496398002797</v>
      </c>
      <c r="F22" s="207">
        <v>2.1972593059806251</v>
      </c>
      <c r="G22" s="207">
        <v>-4.0105833822442838</v>
      </c>
      <c r="H22" s="208">
        <v>-9.5784530768820826</v>
      </c>
      <c r="I22" s="209">
        <v>-17.395422808255756</v>
      </c>
      <c r="J22" s="207">
        <v>-35.248184479506776</v>
      </c>
      <c r="K22" s="207">
        <v>-52.816902538839351</v>
      </c>
      <c r="L22" s="208">
        <v>-16.246015425184616</v>
      </c>
      <c r="M22" s="209">
        <v>2.0077289881965763</v>
      </c>
      <c r="N22" s="207">
        <v>9.046272860029319</v>
      </c>
      <c r="O22" s="208">
        <v>14.289161625702029</v>
      </c>
    </row>
    <row r="23" spans="2:15" ht="12.75" customHeight="1">
      <c r="B23" s="218">
        <v>2033</v>
      </c>
      <c r="C23" s="206">
        <v>-1.4747562479832068</v>
      </c>
      <c r="D23" s="207">
        <v>22.581966741604312</v>
      </c>
      <c r="E23" s="207">
        <v>20.24338952093952</v>
      </c>
      <c r="F23" s="207">
        <v>2.0730326750535966</v>
      </c>
      <c r="G23" s="207">
        <v>-3.6152987320262993</v>
      </c>
      <c r="H23" s="208">
        <v>-9.1203555048399387</v>
      </c>
      <c r="I23" s="209">
        <v>-17.490257458326209</v>
      </c>
      <c r="J23" s="207">
        <v>-35.291566913780301</v>
      </c>
      <c r="K23" s="207">
        <v>-51.579978183807086</v>
      </c>
      <c r="L23" s="208">
        <v>-14.717179979930084</v>
      </c>
      <c r="M23" s="209">
        <v>4.4734670694176142</v>
      </c>
      <c r="N23" s="207">
        <v>9.415548054731099</v>
      </c>
      <c r="O23" s="208">
        <v>14.666956503039001</v>
      </c>
    </row>
    <row r="24" spans="2:15" ht="12.75" customHeight="1">
      <c r="B24" s="218">
        <v>2034</v>
      </c>
      <c r="C24" s="206">
        <v>-1.9302315869129307</v>
      </c>
      <c r="D24" s="207">
        <v>20.150920941227604</v>
      </c>
      <c r="E24" s="207">
        <v>18.800947522660113</v>
      </c>
      <c r="F24" s="207">
        <v>1.454750825423416</v>
      </c>
      <c r="G24" s="207">
        <v>-4.0675358090173628</v>
      </c>
      <c r="H24" s="208">
        <v>-8.0341940367047915</v>
      </c>
      <c r="I24" s="209">
        <v>-15.822460686411123</v>
      </c>
      <c r="J24" s="207">
        <v>-35.53902302794954</v>
      </c>
      <c r="K24" s="207">
        <v>-47.972049298157891</v>
      </c>
      <c r="L24" s="208">
        <v>-14.047040887663407</v>
      </c>
      <c r="M24" s="209">
        <v>2.4792918831829698</v>
      </c>
      <c r="N24" s="207">
        <v>7.974010269189181</v>
      </c>
      <c r="O24" s="208">
        <v>13.112512285550226</v>
      </c>
    </row>
    <row r="25" spans="2:15" ht="12.75" customHeight="1">
      <c r="B25" s="218">
        <v>2035</v>
      </c>
      <c r="C25" s="206">
        <v>-1.8080655689106668</v>
      </c>
      <c r="D25" s="207">
        <v>23.525770983016624</v>
      </c>
      <c r="E25" s="207">
        <v>18.047021387426621</v>
      </c>
      <c r="F25" s="207">
        <v>2.6064382560723214</v>
      </c>
      <c r="G25" s="207">
        <v>-3.8076317261189758</v>
      </c>
      <c r="H25" s="208">
        <v>-8.3308747415566859</v>
      </c>
      <c r="I25" s="209">
        <v>-16.241892589032791</v>
      </c>
      <c r="J25" s="207">
        <v>-37.442153400750129</v>
      </c>
      <c r="K25" s="207">
        <v>-48.74497432911101</v>
      </c>
      <c r="L25" s="208">
        <v>-15.58791343994184</v>
      </c>
      <c r="M25" s="209">
        <v>2.3297744974739456</v>
      </c>
      <c r="N25" s="207">
        <v>8.2884047196389545</v>
      </c>
      <c r="O25" s="208">
        <v>12.88527202772314</v>
      </c>
    </row>
    <row r="26" spans="2:15" ht="12.75" customHeight="1">
      <c r="B26" s="218">
        <v>2036</v>
      </c>
      <c r="C26" s="206">
        <v>14.286607356099079</v>
      </c>
      <c r="D26" s="207">
        <v>31.379280382577875</v>
      </c>
      <c r="E26" s="207">
        <v>27.364437642882905</v>
      </c>
      <c r="F26" s="207">
        <v>14.184952243618548</v>
      </c>
      <c r="G26" s="207">
        <v>10.57785825153249</v>
      </c>
      <c r="H26" s="208">
        <v>8.9890684903981448</v>
      </c>
      <c r="I26" s="209">
        <v>5.977623545241471</v>
      </c>
      <c r="J26" s="207">
        <v>-7.9872522243060882</v>
      </c>
      <c r="K26" s="207">
        <v>-21.154059501787717</v>
      </c>
      <c r="L26" s="208">
        <v>9.4110127462011057</v>
      </c>
      <c r="M26" s="209">
        <v>18.854587742841392</v>
      </c>
      <c r="N26" s="207">
        <v>22.299987738266292</v>
      </c>
      <c r="O26" s="208">
        <v>26.079987832484775</v>
      </c>
    </row>
    <row r="27" spans="2:15" ht="12.75" customHeight="1">
      <c r="B27" s="218">
        <v>2037</v>
      </c>
      <c r="C27" s="206">
        <v>14.145389913618882</v>
      </c>
      <c r="D27" s="207">
        <v>31.165416832181052</v>
      </c>
      <c r="E27" s="207">
        <v>27.670951557985614</v>
      </c>
      <c r="F27" s="207">
        <v>14.918504695109597</v>
      </c>
      <c r="G27" s="207">
        <v>11.194016672947951</v>
      </c>
      <c r="H27" s="208">
        <v>8.4856835704227791</v>
      </c>
      <c r="I27" s="209">
        <v>5.405302398528872</v>
      </c>
      <c r="J27" s="207">
        <v>-8.324718803232976</v>
      </c>
      <c r="K27" s="207">
        <v>-22.086593029377166</v>
      </c>
      <c r="L27" s="208">
        <v>9.4867841531475143</v>
      </c>
      <c r="M27" s="209">
        <v>18.450890662907398</v>
      </c>
      <c r="N27" s="207">
        <v>22.837251180509252</v>
      </c>
      <c r="O27" s="208">
        <v>24.600868120259705</v>
      </c>
    </row>
    <row r="28" spans="2:15" ht="12.75" customHeight="1">
      <c r="B28" s="218">
        <v>2038</v>
      </c>
      <c r="C28" s="206">
        <v>13.870725932122784</v>
      </c>
      <c r="D28" s="207">
        <v>31.014859301713926</v>
      </c>
      <c r="E28" s="207">
        <v>29.549359398842888</v>
      </c>
      <c r="F28" s="207">
        <v>12.789985554291581</v>
      </c>
      <c r="G28" s="207">
        <v>11.223155774527799</v>
      </c>
      <c r="H28" s="208">
        <v>9.2422178850047967</v>
      </c>
      <c r="I28" s="209">
        <v>5.2740873864468671</v>
      </c>
      <c r="J28" s="207">
        <v>-7.0214842272103093</v>
      </c>
      <c r="K28" s="207">
        <v>-25.822139294318294</v>
      </c>
      <c r="L28" s="208">
        <v>8.8456349879277116</v>
      </c>
      <c r="M28" s="209">
        <v>17.765521609090595</v>
      </c>
      <c r="N28" s="207">
        <v>22.694290116474182</v>
      </c>
      <c r="O28" s="208">
        <v>24.077421942939402</v>
      </c>
    </row>
    <row r="29" spans="2:15" ht="12.75" customHeight="1">
      <c r="B29" s="218">
        <v>2039</v>
      </c>
      <c r="C29" s="206">
        <v>14.656546583309163</v>
      </c>
      <c r="D29" s="207">
        <v>31.552143066378363</v>
      </c>
      <c r="E29" s="207">
        <v>28.760002495022199</v>
      </c>
      <c r="F29" s="207">
        <v>13.40214276543534</v>
      </c>
      <c r="G29" s="207">
        <v>10.91555149493367</v>
      </c>
      <c r="H29" s="208">
        <v>11.007016586256492</v>
      </c>
      <c r="I29" s="209">
        <v>6.0073551762496891</v>
      </c>
      <c r="J29" s="207">
        <v>-7.6255152297346003</v>
      </c>
      <c r="K29" s="207">
        <v>-21.367327008088004</v>
      </c>
      <c r="L29" s="208">
        <v>7.1095997979714936</v>
      </c>
      <c r="M29" s="209">
        <v>19.68804906081504</v>
      </c>
      <c r="N29" s="207">
        <v>24.251261571993336</v>
      </c>
      <c r="O29" s="208">
        <v>26.512960533509734</v>
      </c>
    </row>
    <row r="30" spans="2:15" ht="12.75" customHeight="1">
      <c r="B30" s="219">
        <v>2040</v>
      </c>
      <c r="C30" s="211">
        <v>15.341647868329044</v>
      </c>
      <c r="D30" s="212">
        <v>34.601223134054159</v>
      </c>
      <c r="E30" s="212">
        <v>27.15769503382651</v>
      </c>
      <c r="F30" s="212">
        <v>16.199102007555123</v>
      </c>
      <c r="G30" s="212">
        <v>11.454891247946421</v>
      </c>
      <c r="H30" s="213">
        <v>10.557149767954408</v>
      </c>
      <c r="I30" s="214">
        <v>4.6092754721043745</v>
      </c>
      <c r="J30" s="212">
        <v>-7.3514927231811678</v>
      </c>
      <c r="K30" s="212">
        <v>-20.871771986584562</v>
      </c>
      <c r="L30" s="213">
        <v>8.5583355759613493</v>
      </c>
      <c r="M30" s="214">
        <v>20.275295189611388</v>
      </c>
      <c r="N30" s="212">
        <v>23.524512118538144</v>
      </c>
      <c r="O30" s="213">
        <v>28.290107304616342</v>
      </c>
    </row>
    <row r="31" spans="2:15" ht="12.75" hidden="1" customHeight="1">
      <c r="B31" s="13"/>
      <c r="C31" s="206"/>
      <c r="D31" s="207"/>
      <c r="E31" s="207"/>
      <c r="F31" s="207"/>
      <c r="G31" s="207"/>
      <c r="H31" s="208"/>
      <c r="I31" s="209"/>
      <c r="J31" s="207"/>
      <c r="K31" s="207"/>
      <c r="L31" s="208"/>
      <c r="M31" s="209"/>
      <c r="N31" s="207"/>
      <c r="O31" s="208"/>
    </row>
    <row r="32" spans="2:15" ht="12.75" hidden="1" customHeight="1">
      <c r="B32" s="210"/>
      <c r="C32" s="211"/>
      <c r="D32" s="212"/>
      <c r="E32" s="212"/>
      <c r="F32" s="212"/>
      <c r="G32" s="212"/>
      <c r="H32" s="213"/>
      <c r="I32" s="214"/>
      <c r="J32" s="212"/>
      <c r="K32" s="212"/>
      <c r="L32" s="213"/>
      <c r="M32" s="214"/>
      <c r="N32" s="212"/>
      <c r="O32" s="213"/>
    </row>
    <row r="33" spans="2:16" ht="12.75" customHeight="1">
      <c r="D33" s="9"/>
      <c r="E33" s="9"/>
      <c r="F33" s="9"/>
      <c r="M33" s="215"/>
    </row>
    <row r="34" spans="2:16">
      <c r="B34" s="216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</row>
    <row r="38" spans="2:16" hidden="1">
      <c r="C38" s="217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17"/>
    </row>
    <row r="40" spans="2:16">
      <c r="C40" s="217"/>
    </row>
    <row r="41" spans="2:16">
      <c r="C41" s="217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B1:R345"/>
  <sheetViews>
    <sheetView view="pageBreakPreview" topLeftCell="A2" zoomScale="80" zoomScaleNormal="100" zoomScaleSheetLayoutView="80" workbookViewId="0">
      <selection activeCell="F27" sqref="F27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3" customWidth="1"/>
    <col min="9" max="10" width="16.6640625" style="30" customWidth="1"/>
    <col min="11" max="11" width="11.1640625" style="3" customWidth="1"/>
    <col min="12" max="12" width="9.33203125" style="3" customWidth="1"/>
    <col min="13" max="13" width="9.33203125" style="85" customWidth="1"/>
    <col min="14" max="14" width="10.33203125" style="85" customWidth="1"/>
    <col min="15" max="15" width="13.83203125" style="85" customWidth="1"/>
    <col min="16" max="16" width="12.83203125" style="3" customWidth="1"/>
    <col min="17" max="17" width="13.33203125" style="3" customWidth="1"/>
    <col min="18" max="19" width="9.33203125" style="3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7"/>
    </row>
    <row r="2" spans="2:18" ht="5.25" customHeight="1">
      <c r="B2" s="1"/>
      <c r="C2" s="1"/>
      <c r="D2" s="1"/>
      <c r="H2" s="27"/>
    </row>
    <row r="3" spans="2:18" ht="15.75">
      <c r="B3" s="1" t="s">
        <v>55</v>
      </c>
      <c r="C3" s="1"/>
      <c r="D3" s="1"/>
      <c r="H3" s="27"/>
    </row>
    <row r="4" spans="2:18" ht="15.75">
      <c r="B4" s="1" t="s">
        <v>30</v>
      </c>
      <c r="C4" s="1"/>
      <c r="D4" s="1"/>
      <c r="H4" s="86" t="s">
        <v>29</v>
      </c>
    </row>
    <row r="5" spans="2:18" ht="15.75">
      <c r="B5" s="1" t="str">
        <f ca="1">'Table 1'!$B$5</f>
        <v>Utah 2022.Q4_Wind - 80.0 MW and 29.5% CF</v>
      </c>
      <c r="C5" s="1"/>
      <c r="D5" s="1"/>
      <c r="H5" s="87">
        <v>44925</v>
      </c>
    </row>
    <row r="6" spans="2:18">
      <c r="B6" s="10"/>
      <c r="C6" s="10"/>
      <c r="D6" s="10"/>
      <c r="H6" s="27"/>
    </row>
    <row r="7" spans="2:18" ht="14.25">
      <c r="B7" s="19"/>
      <c r="C7" s="26" t="s">
        <v>26</v>
      </c>
      <c r="D7" s="4"/>
      <c r="H7" s="27"/>
    </row>
    <row r="8" spans="2:18">
      <c r="B8" s="20"/>
      <c r="C8" s="14" t="s">
        <v>27</v>
      </c>
      <c r="D8" s="14" t="s">
        <v>27</v>
      </c>
      <c r="E8" s="14" t="s">
        <v>27</v>
      </c>
      <c r="F8" s="14" t="s">
        <v>27</v>
      </c>
      <c r="H8" s="27"/>
    </row>
    <row r="9" spans="2:18">
      <c r="B9" s="20" t="s">
        <v>0</v>
      </c>
      <c r="C9" s="20" t="str">
        <f>O16</f>
        <v>IRP - Utah Greenfield</v>
      </c>
      <c r="D9" s="20" t="str">
        <f>R16</f>
        <v>Naughton</v>
      </c>
      <c r="E9" s="20" t="str">
        <f>P15</f>
        <v>IRP West Side</v>
      </c>
      <c r="F9" s="20" t="str">
        <f>Q16</f>
        <v>IRP - Wyo NE</v>
      </c>
      <c r="H9" s="27"/>
    </row>
    <row r="10" spans="2:18">
      <c r="B10" s="21"/>
      <c r="C10" s="22" t="s">
        <v>21</v>
      </c>
      <c r="D10" s="22" t="s">
        <v>21</v>
      </c>
      <c r="E10" s="22" t="s">
        <v>21</v>
      </c>
      <c r="F10" s="22" t="s">
        <v>21</v>
      </c>
      <c r="H10" s="28"/>
      <c r="I10" s="85"/>
      <c r="J10" s="85"/>
    </row>
    <row r="11" spans="2:18" hidden="1">
      <c r="C11" s="5"/>
      <c r="D11" s="5"/>
      <c r="H11" s="28"/>
      <c r="I11" s="85"/>
      <c r="J11" s="85"/>
    </row>
    <row r="12" spans="2:18" hidden="1">
      <c r="C12" s="23"/>
      <c r="D12" s="23"/>
      <c r="H12" s="28"/>
      <c r="I12" s="85"/>
      <c r="J12" s="85"/>
    </row>
    <row r="13" spans="2:18" ht="6" customHeight="1">
      <c r="H13" s="88"/>
      <c r="I13" s="89"/>
      <c r="J13" s="89"/>
    </row>
    <row r="14" spans="2:18">
      <c r="B14" s="24"/>
      <c r="C14" s="25"/>
      <c r="D14" s="25"/>
      <c r="E14" s="25"/>
      <c r="F14" s="25"/>
      <c r="H14" s="90"/>
      <c r="I14" s="31"/>
      <c r="J14" s="31"/>
    </row>
    <row r="15" spans="2:18" ht="13.5" thickBot="1">
      <c r="B15" s="24"/>
      <c r="C15" s="25"/>
      <c r="D15" s="25"/>
      <c r="E15" s="25"/>
      <c r="F15" s="25"/>
      <c r="H15" s="28"/>
      <c r="I15" s="32" t="s">
        <v>59</v>
      </c>
      <c r="J15" s="32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5" thickBot="1">
      <c r="B16" s="24"/>
      <c r="C16" s="25"/>
      <c r="D16" s="25"/>
      <c r="E16" s="25"/>
      <c r="F16" s="25"/>
      <c r="H16" s="28" t="s">
        <v>28</v>
      </c>
      <c r="I16" s="32" t="s">
        <v>27</v>
      </c>
      <c r="J16" s="3" t="s">
        <v>126</v>
      </c>
      <c r="K16" s="32" t="s">
        <v>27</v>
      </c>
      <c r="L16" s="32" t="s">
        <v>27</v>
      </c>
      <c r="M16" s="89" t="s">
        <v>0</v>
      </c>
      <c r="O16" s="91" t="str">
        <f>IF(_xlfn.SINGLE(_30_Geo_West)&gt;0,"IRP - Wyo NE",IF(_xlfn.SINGLE(_436_CCCT_WestMain)&gt;0,"West Side","IRP - Utah Greenfield"))</f>
        <v>IRP - Utah Greenfield</v>
      </c>
      <c r="P16" s="91" t="s">
        <v>89</v>
      </c>
      <c r="Q16" s="91" t="s">
        <v>61</v>
      </c>
      <c r="R16" s="3" t="s">
        <v>126</v>
      </c>
    </row>
    <row r="17" spans="2:18" ht="13.5" thickBot="1">
      <c r="B17" s="24">
        <v>2019</v>
      </c>
      <c r="C17" s="25">
        <f t="shared" ref="C17:C38" si="0">ROUND(SUMIF($M$17:$M$340,$B17,$I$17:$I$340)/COUNTIF($M$17:$M$340,$B17),2)</f>
        <v>2.42</v>
      </c>
      <c r="D17" s="25">
        <f t="shared" ref="D17:D38" si="1">ROUND(SUMIF($M$17:$M$340,$B17,$J$17:$J$340)/COUNTIF($M$17:$M$340,$B17),2)</f>
        <v>2.4300000000000002</v>
      </c>
      <c r="E17" s="25">
        <f t="shared" ref="E17:E38" si="2">ROUND(SUMIF($M$17:$M$340,$B17,$K$17:$K$340)/COUNTIF($M$17:$M$340,$B17),2)</f>
        <v>4.3099999999999996</v>
      </c>
      <c r="F17" s="25">
        <f t="shared" ref="F17:F38" si="3">ROUND(SUMIF($M$17:$M$340,$B17,$L$17:$L$340)/COUNTIF($M$17:$M$340,$B17),2)</f>
        <v>2.09</v>
      </c>
      <c r="H17" s="29">
        <v>42370</v>
      </c>
      <c r="I17" s="33">
        <v>2.2763825364431489</v>
      </c>
      <c r="J17" s="33">
        <v>2.2724718011978848</v>
      </c>
      <c r="K17" s="33">
        <v>2.3748742653912789</v>
      </c>
      <c r="L17" s="33">
        <v>2.2757987901986261</v>
      </c>
      <c r="M17" s="92">
        <f t="shared" ref="M17:M64" si="4">YEAR(H17)</f>
        <v>2016</v>
      </c>
      <c r="O17" s="93">
        <v>47</v>
      </c>
      <c r="P17" s="93">
        <v>43</v>
      </c>
      <c r="Q17" s="93">
        <v>46</v>
      </c>
      <c r="R17" s="93">
        <v>42</v>
      </c>
    </row>
    <row r="18" spans="2:18">
      <c r="B18" s="24">
        <f t="shared" ref="B18:B38" si="5">B17+1</f>
        <v>2020</v>
      </c>
      <c r="C18" s="25">
        <f t="shared" si="0"/>
        <v>1.98</v>
      </c>
      <c r="D18" s="25">
        <f t="shared" si="1"/>
        <v>1.99</v>
      </c>
      <c r="E18" s="25">
        <f t="shared" si="2"/>
        <v>2.17</v>
      </c>
      <c r="F18" s="25">
        <f t="shared" si="3"/>
        <v>1.79</v>
      </c>
      <c r="H18" s="29">
        <v>42401</v>
      </c>
      <c r="I18" s="33">
        <v>1.8452064945978397</v>
      </c>
      <c r="J18" s="33">
        <v>1.8414277116248936</v>
      </c>
      <c r="K18" s="33">
        <v>1.7746276302006363</v>
      </c>
      <c r="L18" s="33">
        <v>1.8289735727586562</v>
      </c>
      <c r="M18" s="92">
        <f t="shared" si="4"/>
        <v>2016</v>
      </c>
    </row>
    <row r="19" spans="2:18">
      <c r="B19" s="24">
        <f t="shared" si="5"/>
        <v>2021</v>
      </c>
      <c r="C19" s="25">
        <f t="shared" si="0"/>
        <v>4.18</v>
      </c>
      <c r="D19" s="25">
        <f t="shared" si="1"/>
        <v>4.1500000000000004</v>
      </c>
      <c r="E19" s="25">
        <f t="shared" si="2"/>
        <v>4.03</v>
      </c>
      <c r="F19" s="25">
        <f t="shared" si="3"/>
        <v>6.38</v>
      </c>
      <c r="H19" s="29">
        <v>42430</v>
      </c>
      <c r="I19" s="33">
        <v>1.5253593249607535</v>
      </c>
      <c r="J19" s="33">
        <v>1.5216784244226651</v>
      </c>
      <c r="K19" s="33">
        <v>1.4851256469456469</v>
      </c>
      <c r="L19" s="33">
        <v>1.5765269848510393</v>
      </c>
      <c r="M19" s="92">
        <f t="shared" si="4"/>
        <v>2016</v>
      </c>
    </row>
    <row r="20" spans="2:18">
      <c r="B20" s="24">
        <f t="shared" si="5"/>
        <v>2022</v>
      </c>
      <c r="C20" s="25">
        <f t="shared" si="0"/>
        <v>8.2100000000000009</v>
      </c>
      <c r="D20" s="25">
        <f t="shared" si="1"/>
        <v>8.15</v>
      </c>
      <c r="E20" s="25">
        <f t="shared" si="2"/>
        <v>8.48</v>
      </c>
      <c r="F20" s="25">
        <f t="shared" si="3"/>
        <v>6.13</v>
      </c>
      <c r="H20" s="29">
        <v>42461</v>
      </c>
      <c r="I20" s="33">
        <v>1.6910448299319725</v>
      </c>
      <c r="J20" s="33">
        <v>1.6873132248631368</v>
      </c>
      <c r="K20" s="33">
        <v>1.4973848492599942</v>
      </c>
      <c r="L20" s="33">
        <v>1.7513146360624383</v>
      </c>
      <c r="M20" s="92">
        <f t="shared" si="4"/>
        <v>2016</v>
      </c>
    </row>
    <row r="21" spans="2:18">
      <c r="B21" s="24">
        <f t="shared" si="5"/>
        <v>2023</v>
      </c>
      <c r="C21" s="25">
        <f t="shared" si="0"/>
        <v>6.8</v>
      </c>
      <c r="D21" s="25">
        <f t="shared" si="1"/>
        <v>6.63</v>
      </c>
      <c r="E21" s="25">
        <f t="shared" si="2"/>
        <v>5.91</v>
      </c>
      <c r="F21" s="25">
        <f t="shared" si="3"/>
        <v>4.09</v>
      </c>
      <c r="H21" s="29">
        <v>42491</v>
      </c>
      <c r="I21" s="33">
        <v>1.7310108163265305</v>
      </c>
      <c r="J21" s="33">
        <v>1.7272669805161687</v>
      </c>
      <c r="K21" s="33">
        <v>1.5718715629148743</v>
      </c>
      <c r="L21" s="33">
        <v>1.8004724578470166</v>
      </c>
      <c r="M21" s="92">
        <f t="shared" si="4"/>
        <v>2016</v>
      </c>
    </row>
    <row r="22" spans="2:18">
      <c r="B22" s="24">
        <f t="shared" si="5"/>
        <v>2024</v>
      </c>
      <c r="C22" s="25">
        <f t="shared" si="0"/>
        <v>4.66</v>
      </c>
      <c r="D22" s="25">
        <f t="shared" si="1"/>
        <v>4.63</v>
      </c>
      <c r="E22" s="25">
        <f t="shared" si="2"/>
        <v>4.09</v>
      </c>
      <c r="F22" s="25">
        <f t="shared" si="3"/>
        <v>4.0599999999999996</v>
      </c>
      <c r="H22" s="29">
        <v>42522</v>
      </c>
      <c r="I22" s="33">
        <v>2.3388150491307629</v>
      </c>
      <c r="J22" s="33">
        <v>2.3348852077406383</v>
      </c>
      <c r="K22" s="33">
        <v>2.1751230113991165</v>
      </c>
      <c r="L22" s="33">
        <v>2.3647654677733372</v>
      </c>
      <c r="M22" s="92">
        <f t="shared" si="4"/>
        <v>2016</v>
      </c>
    </row>
    <row r="23" spans="2:18">
      <c r="B23" s="24">
        <f t="shared" si="5"/>
        <v>2025</v>
      </c>
      <c r="C23" s="25">
        <f t="shared" si="0"/>
        <v>4.63</v>
      </c>
      <c r="D23" s="25">
        <f t="shared" si="1"/>
        <v>4.5999999999999996</v>
      </c>
      <c r="E23" s="25">
        <f t="shared" si="2"/>
        <v>4.21</v>
      </c>
      <c r="F23" s="25">
        <f t="shared" si="3"/>
        <v>4.1900000000000004</v>
      </c>
      <c r="H23" s="29">
        <v>42552</v>
      </c>
      <c r="I23" s="33">
        <v>2.58101081632653</v>
      </c>
      <c r="J23" s="33">
        <v>2.5770068560644699</v>
      </c>
      <c r="K23" s="33">
        <v>2.5037871798230165</v>
      </c>
      <c r="L23" s="33">
        <v>2.6063456138089238</v>
      </c>
      <c r="M23" s="92">
        <f t="shared" si="4"/>
        <v>2016</v>
      </c>
    </row>
    <row r="24" spans="2:18">
      <c r="B24" s="24">
        <f t="shared" si="5"/>
        <v>2026</v>
      </c>
      <c r="C24" s="25">
        <f t="shared" si="0"/>
        <v>4.74</v>
      </c>
      <c r="D24" s="25">
        <f t="shared" si="1"/>
        <v>4.71</v>
      </c>
      <c r="E24" s="25">
        <f t="shared" si="2"/>
        <v>4.63</v>
      </c>
      <c r="F24" s="25">
        <f t="shared" si="3"/>
        <v>4.34</v>
      </c>
      <c r="H24" s="29">
        <v>42583</v>
      </c>
      <c r="I24" s="33">
        <v>2.6353985714285706</v>
      </c>
      <c r="J24" s="33">
        <v>2.631377966948893</v>
      </c>
      <c r="K24" s="33">
        <v>2.6477537958754924</v>
      </c>
      <c r="L24" s="33">
        <v>2.6355990076984344</v>
      </c>
      <c r="M24" s="92">
        <f t="shared" si="4"/>
        <v>2016</v>
      </c>
    </row>
    <row r="25" spans="2:18">
      <c r="B25" s="24">
        <f t="shared" si="5"/>
        <v>2027</v>
      </c>
      <c r="C25" s="25">
        <f t="shared" si="0"/>
        <v>4.8499999999999996</v>
      </c>
      <c r="D25" s="25">
        <f t="shared" si="1"/>
        <v>4.82</v>
      </c>
      <c r="E25" s="25">
        <f t="shared" si="2"/>
        <v>5.05</v>
      </c>
      <c r="F25" s="25">
        <f t="shared" si="3"/>
        <v>4.45</v>
      </c>
      <c r="H25" s="29">
        <v>42614</v>
      </c>
      <c r="I25" s="33">
        <v>2.7123373469387757</v>
      </c>
      <c r="J25" s="33">
        <v>2.7082931969805171</v>
      </c>
      <c r="K25" s="33">
        <v>2.7714741535603351</v>
      </c>
      <c r="L25" s="33">
        <v>2.7681537930798932</v>
      </c>
      <c r="M25" s="92">
        <f t="shared" si="4"/>
        <v>2016</v>
      </c>
    </row>
    <row r="26" spans="2:18">
      <c r="B26" s="24">
        <f t="shared" si="5"/>
        <v>2028</v>
      </c>
      <c r="C26" s="25">
        <f t="shared" si="0"/>
        <v>4.83</v>
      </c>
      <c r="D26" s="25">
        <f t="shared" si="1"/>
        <v>4.8</v>
      </c>
      <c r="E26" s="25">
        <f t="shared" si="2"/>
        <v>5.09</v>
      </c>
      <c r="F26" s="25">
        <f t="shared" si="3"/>
        <v>4.43</v>
      </c>
      <c r="H26" s="29">
        <v>42644</v>
      </c>
      <c r="I26" s="33">
        <v>2.6862698430141281</v>
      </c>
      <c r="J26" s="33">
        <v>2.6822336704619465</v>
      </c>
      <c r="K26" s="33">
        <v>2.6942040298820258</v>
      </c>
      <c r="L26" s="33">
        <v>2.7499682086675996</v>
      </c>
      <c r="M26" s="92">
        <f t="shared" si="4"/>
        <v>2016</v>
      </c>
    </row>
    <row r="27" spans="2:18">
      <c r="B27" s="24">
        <f t="shared" si="5"/>
        <v>2029</v>
      </c>
      <c r="C27" s="25">
        <f t="shared" si="0"/>
        <v>4.9000000000000004</v>
      </c>
      <c r="D27" s="25">
        <f t="shared" si="1"/>
        <v>4.87</v>
      </c>
      <c r="E27" s="25">
        <f t="shared" si="2"/>
        <v>5.18</v>
      </c>
      <c r="F27" s="25">
        <f t="shared" si="3"/>
        <v>4.5</v>
      </c>
      <c r="H27" s="29">
        <v>42675</v>
      </c>
      <c r="I27" s="33">
        <v>2.269616258503401</v>
      </c>
      <c r="J27" s="33">
        <v>2.26570759393383</v>
      </c>
      <c r="K27" s="33">
        <v>2.2676824839611038</v>
      </c>
      <c r="L27" s="33">
        <v>2.3066994090924613</v>
      </c>
      <c r="M27" s="92">
        <f t="shared" si="4"/>
        <v>2016</v>
      </c>
    </row>
    <row r="28" spans="2:18">
      <c r="B28" s="24">
        <f t="shared" si="5"/>
        <v>2030</v>
      </c>
      <c r="C28" s="25">
        <f t="shared" si="0"/>
        <v>5.05</v>
      </c>
      <c r="D28" s="25">
        <f t="shared" si="1"/>
        <v>5.01</v>
      </c>
      <c r="E28" s="25">
        <f t="shared" si="2"/>
        <v>5.34</v>
      </c>
      <c r="F28" s="25">
        <f t="shared" si="3"/>
        <v>4.6399999999999997</v>
      </c>
      <c r="H28" s="29">
        <v>42705</v>
      </c>
      <c r="I28" s="33">
        <v>3.5123636800526663</v>
      </c>
      <c r="J28" s="33">
        <v>3.5080746990223539</v>
      </c>
      <c r="K28" s="33">
        <v>3.8167860057158185</v>
      </c>
      <c r="L28" s="33">
        <v>3.5518748027461844</v>
      </c>
      <c r="M28" s="92">
        <f t="shared" si="4"/>
        <v>2016</v>
      </c>
    </row>
    <row r="29" spans="2:18">
      <c r="B29" s="24">
        <f t="shared" si="5"/>
        <v>2031</v>
      </c>
      <c r="C29" s="25">
        <f t="shared" si="0"/>
        <v>5.17</v>
      </c>
      <c r="D29" s="25">
        <f t="shared" si="1"/>
        <v>5.13</v>
      </c>
      <c r="E29" s="25">
        <f t="shared" si="2"/>
        <v>5.47</v>
      </c>
      <c r="F29" s="25">
        <f t="shared" si="3"/>
        <v>4.76</v>
      </c>
      <c r="H29" s="29">
        <v>42736</v>
      </c>
      <c r="I29" s="33">
        <v>3.2524393877551017</v>
      </c>
      <c r="J29" s="33">
        <v>3.2626434693877546</v>
      </c>
      <c r="K29" s="33">
        <v>3.5318468800105713</v>
      </c>
      <c r="L29" s="33">
        <v>3.2192827656100813</v>
      </c>
      <c r="M29" s="92">
        <f t="shared" si="4"/>
        <v>2017</v>
      </c>
    </row>
    <row r="30" spans="2:18">
      <c r="B30" s="24">
        <f t="shared" si="5"/>
        <v>2032</v>
      </c>
      <c r="C30" s="25">
        <f t="shared" si="0"/>
        <v>5.55</v>
      </c>
      <c r="D30" s="25">
        <f t="shared" si="1"/>
        <v>5.5</v>
      </c>
      <c r="E30" s="25">
        <f t="shared" si="2"/>
        <v>5.83</v>
      </c>
      <c r="F30" s="25">
        <f t="shared" si="3"/>
        <v>5.14</v>
      </c>
      <c r="H30" s="29">
        <v>42767</v>
      </c>
      <c r="I30" s="33">
        <v>2.6306099416909614</v>
      </c>
      <c r="J30" s="33">
        <v>2.6408140233236148</v>
      </c>
      <c r="K30" s="33">
        <v>2.6903633755419278</v>
      </c>
      <c r="L30" s="33">
        <v>2.6163905589309167</v>
      </c>
      <c r="M30" s="92">
        <f t="shared" si="4"/>
        <v>2017</v>
      </c>
    </row>
    <row r="31" spans="2:18">
      <c r="B31" s="24">
        <f t="shared" si="5"/>
        <v>2033</v>
      </c>
      <c r="C31" s="25">
        <f t="shared" si="0"/>
        <v>5.83</v>
      </c>
      <c r="D31" s="25">
        <f t="shared" si="1"/>
        <v>5.77</v>
      </c>
      <c r="E31" s="25">
        <f t="shared" si="2"/>
        <v>6.11</v>
      </c>
      <c r="F31" s="25">
        <f t="shared" si="3"/>
        <v>5.41</v>
      </c>
      <c r="H31" s="29">
        <v>42795</v>
      </c>
      <c r="I31" s="33">
        <v>2.5701319486504275</v>
      </c>
      <c r="J31" s="33">
        <v>2.5803360302830809</v>
      </c>
      <c r="K31" s="33">
        <v>2.5432095807524639</v>
      </c>
      <c r="L31" s="33">
        <v>2.568842349667122</v>
      </c>
      <c r="M31" s="92">
        <f t="shared" si="4"/>
        <v>2017</v>
      </c>
    </row>
    <row r="32" spans="2:18">
      <c r="B32" s="24">
        <f t="shared" si="5"/>
        <v>2034</v>
      </c>
      <c r="C32" s="25">
        <f t="shared" si="0"/>
        <v>5.91</v>
      </c>
      <c r="D32" s="25">
        <f t="shared" si="1"/>
        <v>5.85</v>
      </c>
      <c r="E32" s="25">
        <f t="shared" si="2"/>
        <v>6.2</v>
      </c>
      <c r="F32" s="25">
        <f t="shared" si="3"/>
        <v>5.49</v>
      </c>
      <c r="H32" s="29">
        <v>42826</v>
      </c>
      <c r="I32" s="33">
        <v>2.7337319047619042</v>
      </c>
      <c r="J32" s="33">
        <v>2.7439359863945576</v>
      </c>
      <c r="K32" s="33">
        <v>2.7294485434555877</v>
      </c>
      <c r="L32" s="33">
        <v>2.7630022897935822</v>
      </c>
      <c r="M32" s="92">
        <f t="shared" si="4"/>
        <v>2017</v>
      </c>
    </row>
    <row r="33" spans="2:13">
      <c r="B33" s="24">
        <f t="shared" si="5"/>
        <v>2035</v>
      </c>
      <c r="C33" s="25">
        <f t="shared" si="0"/>
        <v>6</v>
      </c>
      <c r="D33" s="25">
        <f t="shared" si="1"/>
        <v>5.94</v>
      </c>
      <c r="E33" s="25">
        <f t="shared" si="2"/>
        <v>6.29</v>
      </c>
      <c r="F33" s="25">
        <f t="shared" si="3"/>
        <v>5.58</v>
      </c>
      <c r="H33" s="29">
        <v>42856</v>
      </c>
      <c r="I33" s="33">
        <v>2.793469670836076</v>
      </c>
      <c r="J33" s="33">
        <v>2.8036737524687294</v>
      </c>
      <c r="K33" s="33">
        <v>2.7211925722904748</v>
      </c>
      <c r="L33" s="33">
        <v>2.7948345482925934</v>
      </c>
      <c r="M33" s="92">
        <f t="shared" si="4"/>
        <v>2017</v>
      </c>
    </row>
    <row r="34" spans="2:13">
      <c r="B34" s="24">
        <f t="shared" si="5"/>
        <v>2036</v>
      </c>
      <c r="C34" s="25">
        <f t="shared" si="0"/>
        <v>5.93</v>
      </c>
      <c r="D34" s="25">
        <f t="shared" si="1"/>
        <v>5.87</v>
      </c>
      <c r="E34" s="25">
        <f t="shared" si="2"/>
        <v>6.24</v>
      </c>
      <c r="F34" s="25">
        <f t="shared" si="3"/>
        <v>5.51</v>
      </c>
      <c r="H34" s="29">
        <v>42887</v>
      </c>
      <c r="I34" s="33">
        <v>2.8754985714285715</v>
      </c>
      <c r="J34" s="33">
        <v>2.8713045200448848</v>
      </c>
      <c r="K34" s="33">
        <v>2.8528564316455696</v>
      </c>
      <c r="L34" s="33">
        <v>2.9027304231990985</v>
      </c>
      <c r="M34" s="92">
        <f t="shared" si="4"/>
        <v>2017</v>
      </c>
    </row>
    <row r="35" spans="2:13">
      <c r="B35" s="24">
        <f t="shared" si="5"/>
        <v>2037</v>
      </c>
      <c r="C35" s="25">
        <f t="shared" si="0"/>
        <v>6.17</v>
      </c>
      <c r="D35" s="25">
        <f t="shared" si="1"/>
        <v>6.11</v>
      </c>
      <c r="E35" s="25">
        <f t="shared" si="2"/>
        <v>6.48</v>
      </c>
      <c r="F35" s="25">
        <f t="shared" si="3"/>
        <v>5.75</v>
      </c>
      <c r="H35" s="29">
        <v>42917</v>
      </c>
      <c r="I35" s="33">
        <v>2.6189359863945567</v>
      </c>
      <c r="J35" s="33">
        <v>2.6291400680272097</v>
      </c>
      <c r="K35" s="33">
        <v>2.4945553517572598</v>
      </c>
      <c r="L35" s="33">
        <v>2.6362978437052949</v>
      </c>
      <c r="M35" s="92">
        <f t="shared" si="4"/>
        <v>2017</v>
      </c>
    </row>
    <row r="36" spans="2:13">
      <c r="B36" s="24">
        <f t="shared" si="5"/>
        <v>2038</v>
      </c>
      <c r="C36" s="25">
        <f t="shared" si="0"/>
        <v>6.44</v>
      </c>
      <c r="D36" s="25">
        <f t="shared" si="1"/>
        <v>6.37</v>
      </c>
      <c r="E36" s="25">
        <f t="shared" si="2"/>
        <v>6.76</v>
      </c>
      <c r="F36" s="25">
        <f t="shared" si="3"/>
        <v>6.01</v>
      </c>
      <c r="H36" s="29">
        <v>42948</v>
      </c>
      <c r="I36" s="33">
        <v>2.6204058600583098</v>
      </c>
      <c r="J36" s="33">
        <v>2.6306099416909632</v>
      </c>
      <c r="K36" s="33">
        <v>2.6662174520070065</v>
      </c>
      <c r="L36" s="33">
        <v>2.5882317308036979</v>
      </c>
      <c r="M36" s="92">
        <f t="shared" si="4"/>
        <v>2017</v>
      </c>
    </row>
    <row r="37" spans="2:13">
      <c r="B37" s="24">
        <f t="shared" si="5"/>
        <v>2039</v>
      </c>
      <c r="C37" s="25">
        <f t="shared" si="0"/>
        <v>6.73</v>
      </c>
      <c r="D37" s="25">
        <f t="shared" si="1"/>
        <v>6.66</v>
      </c>
      <c r="E37" s="25">
        <f t="shared" si="2"/>
        <v>7.06</v>
      </c>
      <c r="F37" s="25">
        <f t="shared" si="3"/>
        <v>6.3</v>
      </c>
      <c r="H37" s="29">
        <v>42979</v>
      </c>
      <c r="I37" s="33">
        <v>2.6225484658691061</v>
      </c>
      <c r="J37" s="33">
        <v>2.6327525475017595</v>
      </c>
      <c r="K37" s="33">
        <v>2.6887120624951599</v>
      </c>
      <c r="L37" s="33">
        <v>2.6331911977640843</v>
      </c>
      <c r="M37" s="92">
        <f t="shared" si="4"/>
        <v>2017</v>
      </c>
    </row>
    <row r="38" spans="2:13">
      <c r="B38" s="24">
        <f t="shared" si="5"/>
        <v>2040</v>
      </c>
      <c r="C38" s="25">
        <f t="shared" si="0"/>
        <v>6.85</v>
      </c>
      <c r="D38" s="25">
        <f t="shared" si="1"/>
        <v>6.78</v>
      </c>
      <c r="E38" s="25">
        <f t="shared" si="2"/>
        <v>7.21</v>
      </c>
      <c r="F38" s="25">
        <f t="shared" si="3"/>
        <v>6.43</v>
      </c>
      <c r="H38" s="29">
        <v>43009</v>
      </c>
      <c r="I38" s="33">
        <v>2.5740380272108854</v>
      </c>
      <c r="J38" s="33">
        <v>2.5842421088435388</v>
      </c>
      <c r="K38" s="33">
        <v>2.6534093301860455</v>
      </c>
      <c r="L38" s="33">
        <v>2.5597179350146151</v>
      </c>
      <c r="M38" s="92">
        <f t="shared" si="4"/>
        <v>2017</v>
      </c>
    </row>
    <row r="39" spans="2:13">
      <c r="B39" s="24"/>
      <c r="C39" s="25"/>
      <c r="D39" s="25"/>
      <c r="E39" s="25"/>
      <c r="F39" s="25"/>
      <c r="H39" s="29">
        <v>43040</v>
      </c>
      <c r="I39" s="33">
        <v>2.7398543537414972</v>
      </c>
      <c r="J39" s="33">
        <v>2.7500584353741506</v>
      </c>
      <c r="K39" s="33">
        <v>2.7910689165539582</v>
      </c>
      <c r="L39" s="33">
        <v>2.7286553860659333</v>
      </c>
      <c r="M39" s="92">
        <f t="shared" si="4"/>
        <v>2017</v>
      </c>
    </row>
    <row r="40" spans="2:13">
      <c r="B40" s="24"/>
      <c r="C40" s="25"/>
      <c r="D40" s="25"/>
      <c r="E40" s="25"/>
      <c r="F40" s="25"/>
      <c r="H40" s="29">
        <v>43070</v>
      </c>
      <c r="I40" s="33">
        <v>2.5383676300197497</v>
      </c>
      <c r="J40" s="33">
        <v>2.5485717116524031</v>
      </c>
      <c r="K40" s="33">
        <v>2.822493172147158</v>
      </c>
      <c r="L40" s="33">
        <v>2.5087189745461411</v>
      </c>
      <c r="M40" s="92">
        <f t="shared" si="4"/>
        <v>2017</v>
      </c>
    </row>
    <row r="41" spans="2:13">
      <c r="B41" s="24"/>
      <c r="C41" s="25"/>
      <c r="D41" s="25"/>
      <c r="E41" s="25"/>
      <c r="F41" s="25"/>
      <c r="H41" s="29">
        <v>43101</v>
      </c>
      <c r="I41" s="33">
        <v>2.9365659189280224</v>
      </c>
      <c r="J41" s="33">
        <v>2.9467048218987211</v>
      </c>
      <c r="K41" s="33">
        <v>2.8135887402859616</v>
      </c>
      <c r="L41" s="33">
        <v>3.0826510126176525</v>
      </c>
      <c r="M41" s="92">
        <f t="shared" si="4"/>
        <v>2018</v>
      </c>
    </row>
    <row r="42" spans="2:13">
      <c r="B42" s="24"/>
      <c r="C42" s="25"/>
      <c r="D42" s="25"/>
      <c r="E42" s="25"/>
      <c r="F42" s="25"/>
      <c r="H42" s="29">
        <v>43132</v>
      </c>
      <c r="I42" s="33">
        <v>2.2424949344592338</v>
      </c>
      <c r="J42" s="33">
        <v>2.2526338374299324</v>
      </c>
      <c r="K42" s="33">
        <v>2.2559061081726517</v>
      </c>
      <c r="L42" s="33">
        <v>2.2490598127356938</v>
      </c>
      <c r="M42" s="92">
        <f t="shared" si="4"/>
        <v>2018</v>
      </c>
    </row>
    <row r="43" spans="2:13">
      <c r="H43" s="29">
        <v>43160</v>
      </c>
      <c r="I43" s="33">
        <v>2.1136794713706815</v>
      </c>
      <c r="J43" s="33">
        <v>2.1238183743413801</v>
      </c>
      <c r="K43" s="33">
        <v>2.1843639754367272</v>
      </c>
      <c r="L43" s="33">
        <v>2.1613389321133352</v>
      </c>
      <c r="M43" s="92">
        <f t="shared" si="4"/>
        <v>2018</v>
      </c>
    </row>
    <row r="44" spans="2:13">
      <c r="B44" s="94" t="str">
        <f>"Official Forward Price Curve Forecast dated   "&amp;TEXT(H5,"MMM dd, YYYY")</f>
        <v>Official Forward Price Curve Forecast dated   Dec 30, 2022</v>
      </c>
      <c r="H44" s="29">
        <v>43191</v>
      </c>
      <c r="I44" s="33">
        <v>1.9776764449626556</v>
      </c>
      <c r="J44" s="33">
        <v>1.987815347933354</v>
      </c>
      <c r="K44" s="33">
        <v>2.02262576128114</v>
      </c>
      <c r="L44" s="33">
        <v>2.0694667469637662</v>
      </c>
      <c r="M44" s="92">
        <f t="shared" si="4"/>
        <v>2018</v>
      </c>
    </row>
    <row r="45" spans="2:13">
      <c r="H45" s="29">
        <v>43221</v>
      </c>
      <c r="I45" s="33">
        <v>1.7831839406645238</v>
      </c>
      <c r="J45" s="33">
        <v>1.7933228436352224</v>
      </c>
      <c r="K45" s="33">
        <v>1.5708405984016238</v>
      </c>
      <c r="L45" s="33">
        <v>1.8794896381126289</v>
      </c>
      <c r="M45" s="92">
        <f t="shared" si="4"/>
        <v>2018</v>
      </c>
    </row>
    <row r="46" spans="2:13">
      <c r="H46" s="29">
        <v>43252</v>
      </c>
      <c r="I46" s="33">
        <v>2.1436406304949229</v>
      </c>
      <c r="J46" s="33">
        <v>2.153779533465622</v>
      </c>
      <c r="K46" s="33">
        <v>1.8484832971560308</v>
      </c>
      <c r="L46" s="33">
        <v>2.2503948014550383</v>
      </c>
      <c r="M46" s="92">
        <f t="shared" si="4"/>
        <v>2018</v>
      </c>
    </row>
    <row r="47" spans="2:13">
      <c r="H47" s="29">
        <v>43282</v>
      </c>
      <c r="I47" s="33">
        <v>2.421637499285668</v>
      </c>
      <c r="J47" s="33">
        <v>2.4317764022563666</v>
      </c>
      <c r="K47" s="33">
        <v>2.353571484540065</v>
      </c>
      <c r="L47" s="33">
        <v>2.4674716230698741</v>
      </c>
      <c r="M47" s="92">
        <f t="shared" si="4"/>
        <v>2018</v>
      </c>
    </row>
    <row r="48" spans="2:13">
      <c r="H48" s="29">
        <v>43313</v>
      </c>
      <c r="I48" s="33">
        <v>2.4788435090089065</v>
      </c>
      <c r="J48" s="33">
        <v>2.4889824119796051</v>
      </c>
      <c r="K48" s="33">
        <v>2.5401507418632927</v>
      </c>
      <c r="L48" s="33">
        <v>2.4624530543656684</v>
      </c>
      <c r="M48" s="92">
        <f t="shared" si="4"/>
        <v>2018</v>
      </c>
    </row>
    <row r="49" spans="8:15">
      <c r="H49" s="29">
        <v>43344</v>
      </c>
      <c r="I49" s="33">
        <v>2.2194892808138165</v>
      </c>
      <c r="J49" s="33">
        <v>2.2296281837845155</v>
      </c>
      <c r="K49" s="33">
        <v>2.3919118237202426</v>
      </c>
      <c r="L49" s="33">
        <v>2.224504673004402</v>
      </c>
      <c r="M49" s="92">
        <f t="shared" si="4"/>
        <v>2018</v>
      </c>
      <c r="N49" s="3"/>
      <c r="O49" s="3"/>
    </row>
    <row r="50" spans="8:15">
      <c r="H50" s="29">
        <v>43374</v>
      </c>
      <c r="I50" s="33">
        <v>2.9128539684320356</v>
      </c>
      <c r="J50" s="33">
        <v>2.9229928714027342</v>
      </c>
      <c r="K50" s="33">
        <v>4.6218921162427922</v>
      </c>
      <c r="L50" s="33">
        <v>2.9275610507263972</v>
      </c>
      <c r="M50" s="92">
        <f t="shared" si="4"/>
        <v>2018</v>
      </c>
      <c r="N50" s="3"/>
      <c r="O50" s="3"/>
    </row>
    <row r="51" spans="8:15">
      <c r="H51" s="29">
        <v>43405</v>
      </c>
      <c r="I51" s="33">
        <v>3.9745333850417399</v>
      </c>
      <c r="J51" s="33">
        <v>3.984672288012439</v>
      </c>
      <c r="K51" s="33">
        <v>8.6680488460990404</v>
      </c>
      <c r="L51" s="33">
        <v>3.8702964836561957</v>
      </c>
      <c r="M51" s="92">
        <f t="shared" si="4"/>
        <v>2018</v>
      </c>
      <c r="N51" s="3"/>
      <c r="O51" s="3"/>
    </row>
    <row r="52" spans="8:15">
      <c r="H52" s="29">
        <v>43435</v>
      </c>
      <c r="I52" s="33">
        <v>3.9079382357981771</v>
      </c>
      <c r="J52" s="33">
        <v>3.9180771387688758</v>
      </c>
      <c r="K52" s="33">
        <v>5.443905271233902</v>
      </c>
      <c r="L52" s="33">
        <v>3.5768990853253793</v>
      </c>
      <c r="M52" s="92">
        <f t="shared" si="4"/>
        <v>2018</v>
      </c>
      <c r="N52" s="3"/>
      <c r="O52" s="3"/>
    </row>
    <row r="53" spans="8:15">
      <c r="H53" s="29">
        <v>43466</v>
      </c>
      <c r="I53" s="33">
        <v>3.1877490634924275</v>
      </c>
      <c r="J53" s="33">
        <v>3.1978879664631261</v>
      </c>
      <c r="K53" s="33">
        <v>3.6245487172817223</v>
      </c>
      <c r="L53" s="33">
        <v>2.9303131690480573</v>
      </c>
      <c r="M53" s="92">
        <f t="shared" si="4"/>
        <v>2019</v>
      </c>
      <c r="N53" s="3"/>
      <c r="O53" s="3"/>
    </row>
    <row r="54" spans="8:15">
      <c r="H54" s="29">
        <v>43497</v>
      </c>
      <c r="I54" s="33">
        <v>4.6376436365125295</v>
      </c>
      <c r="J54" s="33">
        <v>4.6477825394832282</v>
      </c>
      <c r="K54" s="33">
        <v>13.248679181072774</v>
      </c>
      <c r="L54" s="33">
        <v>2.6293956266758434</v>
      </c>
      <c r="M54" s="92">
        <f t="shared" si="4"/>
        <v>2019</v>
      </c>
      <c r="N54" s="3"/>
      <c r="O54" s="3"/>
    </row>
    <row r="55" spans="8:15">
      <c r="H55" s="29">
        <v>43525</v>
      </c>
      <c r="I55" s="33">
        <v>2.8840796764808312</v>
      </c>
      <c r="J55" s="33">
        <v>2.8942185794515303</v>
      </c>
      <c r="K55" s="33">
        <v>13.147581543206581</v>
      </c>
      <c r="L55" s="33">
        <v>3.1561599255175179</v>
      </c>
      <c r="M55" s="92">
        <f t="shared" si="4"/>
        <v>2019</v>
      </c>
      <c r="N55" s="3"/>
      <c r="O55" s="3"/>
    </row>
    <row r="56" spans="8:15">
      <c r="H56" s="29">
        <v>43556</v>
      </c>
      <c r="I56" s="33">
        <v>1.8441808891817904</v>
      </c>
      <c r="J56" s="33">
        <v>1.854319792152489</v>
      </c>
      <c r="K56" s="33">
        <v>2.0841590546952737</v>
      </c>
      <c r="L56" s="33">
        <v>1.8712332831476464</v>
      </c>
      <c r="M56" s="92">
        <f t="shared" si="4"/>
        <v>2019</v>
      </c>
      <c r="N56" s="3"/>
      <c r="O56" s="3"/>
    </row>
    <row r="57" spans="8:15">
      <c r="H57" s="29">
        <v>43586</v>
      </c>
      <c r="I57" s="33">
        <v>1.8428726436371847</v>
      </c>
      <c r="J57" s="33">
        <v>1.8530115466078831</v>
      </c>
      <c r="K57" s="33">
        <v>1.8681647506266397</v>
      </c>
      <c r="L57" s="33">
        <v>1.9058775961379686</v>
      </c>
      <c r="M57" s="92">
        <f t="shared" si="4"/>
        <v>2019</v>
      </c>
      <c r="N57" s="3"/>
      <c r="O57" s="3"/>
    </row>
    <row r="58" spans="8:15">
      <c r="H58" s="29">
        <v>43617</v>
      </c>
      <c r="I58" s="33">
        <v>1.5244433419272609</v>
      </c>
      <c r="J58" s="33">
        <v>1.5345822448979596</v>
      </c>
      <c r="K58" s="33">
        <v>1.6387854906922903</v>
      </c>
      <c r="L58" s="33">
        <v>1.5109717440243182</v>
      </c>
      <c r="M58" s="92">
        <f t="shared" si="4"/>
        <v>2019</v>
      </c>
      <c r="N58" s="3"/>
      <c r="O58" s="3"/>
    </row>
    <row r="59" spans="8:15">
      <c r="H59" s="29">
        <v>43647</v>
      </c>
      <c r="I59" s="33">
        <v>1.9034544757797212</v>
      </c>
      <c r="J59" s="33">
        <v>1.9135933787504196</v>
      </c>
      <c r="K59" s="33">
        <v>2.0858127114969753</v>
      </c>
      <c r="L59" s="33">
        <v>1.8424169854267236</v>
      </c>
      <c r="M59" s="92">
        <f t="shared" si="4"/>
        <v>2019</v>
      </c>
      <c r="N59" s="3"/>
      <c r="O59" s="3"/>
    </row>
    <row r="60" spans="8:15">
      <c r="H60" s="29">
        <v>43678</v>
      </c>
      <c r="I60" s="33">
        <v>1.7590141042279228</v>
      </c>
      <c r="J60" s="33">
        <v>1.7691530071986215</v>
      </c>
      <c r="K60" s="33">
        <v>1.9418276445205909</v>
      </c>
      <c r="L60" s="33">
        <v>1.6795563365096018</v>
      </c>
      <c r="M60" s="92">
        <f t="shared" si="4"/>
        <v>2019</v>
      </c>
      <c r="N60" s="3"/>
      <c r="O60" s="3"/>
    </row>
    <row r="61" spans="8:15">
      <c r="H61" s="29">
        <v>43709</v>
      </c>
      <c r="I61" s="33">
        <v>1.9970154635919499</v>
      </c>
      <c r="J61" s="33">
        <v>2.0071543665626486</v>
      </c>
      <c r="K61" s="33">
        <v>2.3396128394159437</v>
      </c>
      <c r="L61" s="33">
        <v>1.7999696075479277</v>
      </c>
      <c r="M61" s="92">
        <f t="shared" si="4"/>
        <v>2019</v>
      </c>
      <c r="N61" s="3"/>
      <c r="O61" s="3"/>
    </row>
    <row r="62" spans="8:15">
      <c r="H62" s="29">
        <v>43739</v>
      </c>
      <c r="I62" s="33">
        <v>2.0297228135455749</v>
      </c>
      <c r="J62" s="33">
        <v>2.0398617165162736</v>
      </c>
      <c r="K62" s="33">
        <v>2.9082981752924701</v>
      </c>
      <c r="L62" s="33">
        <v>1.6259709738937289</v>
      </c>
      <c r="M62" s="92">
        <f t="shared" si="4"/>
        <v>2019</v>
      </c>
      <c r="N62" s="3"/>
      <c r="O62" s="3"/>
    </row>
    <row r="63" spans="8:15">
      <c r="H63" s="29">
        <v>43770</v>
      </c>
      <c r="I63" s="33">
        <v>2.6988904096116801</v>
      </c>
      <c r="J63" s="33">
        <v>2.7090293125823788</v>
      </c>
      <c r="K63" s="33">
        <v>3.6123940613958183</v>
      </c>
      <c r="L63" s="33">
        <v>2.2203583793368793</v>
      </c>
      <c r="M63" s="92">
        <f t="shared" si="4"/>
        <v>2019</v>
      </c>
      <c r="N63" s="3"/>
      <c r="O63" s="3"/>
    </row>
    <row r="64" spans="8:15">
      <c r="H64" s="29">
        <v>43800</v>
      </c>
      <c r="I64" s="33">
        <v>2.6968626290175401</v>
      </c>
      <c r="J64" s="33">
        <v>2.7070015319882388</v>
      </c>
      <c r="K64" s="33">
        <v>3.1833230161006094</v>
      </c>
      <c r="L64" s="33">
        <v>1.9343701152328134</v>
      </c>
      <c r="M64" s="92">
        <f t="shared" si="4"/>
        <v>2019</v>
      </c>
      <c r="N64" s="3"/>
      <c r="O64" s="3"/>
    </row>
    <row r="65" spans="8:15">
      <c r="H65" s="29">
        <v>43831</v>
      </c>
      <c r="I65" s="33">
        <v>2.0780297802801604</v>
      </c>
      <c r="J65" s="33">
        <v>2.0881686832508595</v>
      </c>
      <c r="K65" s="33">
        <v>2.3089728617063132</v>
      </c>
      <c r="L65" s="33">
        <v>1.7744234739503901</v>
      </c>
      <c r="M65" s="92">
        <f t="shared" ref="M65:M112" si="6">YEAR(H65)</f>
        <v>2020</v>
      </c>
      <c r="N65" s="3"/>
      <c r="O65" s="3"/>
    </row>
    <row r="66" spans="8:15">
      <c r="H66" s="29">
        <v>43862</v>
      </c>
      <c r="I66" s="33">
        <v>1.687752100491013</v>
      </c>
      <c r="J66" s="33">
        <v>1.6978910034617116</v>
      </c>
      <c r="K66" s="33">
        <v>1.7678653681243093</v>
      </c>
      <c r="L66" s="33">
        <v>1.6511084765355959</v>
      </c>
      <c r="M66" s="92">
        <f t="shared" si="6"/>
        <v>2020</v>
      </c>
      <c r="N66" s="3"/>
      <c r="O66" s="3"/>
    </row>
    <row r="67" spans="8:15">
      <c r="H67" s="29">
        <v>43891</v>
      </c>
      <c r="I67" s="33">
        <v>1.4749285842166715</v>
      </c>
      <c r="J67" s="33">
        <v>1.4850674871873699</v>
      </c>
      <c r="K67" s="33">
        <v>1.6827547455874448</v>
      </c>
      <c r="L67" s="33">
        <v>1.3926884738046899</v>
      </c>
      <c r="M67" s="92">
        <f t="shared" si="6"/>
        <v>2020</v>
      </c>
      <c r="N67" s="3"/>
      <c r="O67" s="3"/>
    </row>
    <row r="68" spans="8:15">
      <c r="H68" s="29">
        <v>43922</v>
      </c>
      <c r="I68" s="33">
        <v>1.4060112991314342</v>
      </c>
      <c r="J68" s="33">
        <v>1.4161502021021328</v>
      </c>
      <c r="K68" s="33">
        <v>1.586541986215753</v>
      </c>
      <c r="L68" s="33">
        <v>1.4157145304292549</v>
      </c>
      <c r="M68" s="92">
        <f t="shared" si="6"/>
        <v>2020</v>
      </c>
      <c r="N68" s="3"/>
      <c r="O68" s="3"/>
    </row>
    <row r="69" spans="8:15">
      <c r="H69" s="29">
        <v>43952</v>
      </c>
      <c r="I69" s="33">
        <v>1.5687952020421714</v>
      </c>
      <c r="J69" s="33">
        <v>1.5789341050128698</v>
      </c>
      <c r="K69" s="33">
        <v>1.6252108296090633</v>
      </c>
      <c r="L69" s="33">
        <v>1.582422748686269</v>
      </c>
      <c r="M69" s="92">
        <f t="shared" si="6"/>
        <v>2020</v>
      </c>
      <c r="N69" s="3"/>
      <c r="O69" s="3"/>
    </row>
    <row r="70" spans="8:15">
      <c r="H70" s="29">
        <v>43983</v>
      </c>
      <c r="I70" s="33">
        <v>1.4676896255365173</v>
      </c>
      <c r="J70" s="33">
        <v>1.4778285285072159</v>
      </c>
      <c r="K70" s="33">
        <v>1.5098195488452553</v>
      </c>
      <c r="L70" s="33">
        <v>1.4821269229482414</v>
      </c>
      <c r="M70" s="92">
        <f t="shared" si="6"/>
        <v>2020</v>
      </c>
      <c r="N70" s="3"/>
      <c r="O70" s="3"/>
    </row>
    <row r="71" spans="8:15">
      <c r="H71" s="29">
        <v>44013</v>
      </c>
      <c r="I71" s="33">
        <v>1.5545680317445785</v>
      </c>
      <c r="J71" s="33">
        <v>1.5647069347152771</v>
      </c>
      <c r="K71" s="33">
        <v>1.5980674730154878</v>
      </c>
      <c r="L71" s="33">
        <v>1.5579774624173968</v>
      </c>
      <c r="M71" s="92">
        <f t="shared" si="6"/>
        <v>2020</v>
      </c>
      <c r="N71" s="3"/>
      <c r="O71" s="3"/>
    </row>
    <row r="72" spans="8:15">
      <c r="H72" s="29">
        <v>44044</v>
      </c>
      <c r="I72" s="33">
        <v>2.0888228060231624</v>
      </c>
      <c r="J72" s="33">
        <v>2.098961708993861</v>
      </c>
      <c r="K72" s="33">
        <v>2.1538798980316347</v>
      </c>
      <c r="L72" s="33">
        <v>2.0000971763266029</v>
      </c>
      <c r="M72" s="92">
        <f t="shared" si="6"/>
        <v>2020</v>
      </c>
      <c r="N72" s="3"/>
      <c r="O72" s="3"/>
    </row>
    <row r="73" spans="8:15">
      <c r="H73" s="29">
        <v>44075</v>
      </c>
      <c r="I73" s="33">
        <v>2.0796287470569017</v>
      </c>
      <c r="J73" s="33">
        <v>2.0897676500276003</v>
      </c>
      <c r="K73" s="33">
        <v>2.2982742033074297</v>
      </c>
      <c r="L73" s="33">
        <v>1.7221817926327416</v>
      </c>
      <c r="M73" s="92">
        <f t="shared" si="6"/>
        <v>2020</v>
      </c>
      <c r="N73" s="3"/>
      <c r="O73" s="3"/>
    </row>
    <row r="74" spans="8:15">
      <c r="H74" s="29">
        <v>44105</v>
      </c>
      <c r="I74" s="33">
        <v>2.3028723698746911</v>
      </c>
      <c r="J74" s="33">
        <v>2.3130112728453898</v>
      </c>
      <c r="K74" s="33">
        <v>2.9093517872407175</v>
      </c>
      <c r="L74" s="33">
        <v>2.1238345745926597</v>
      </c>
      <c r="M74" s="92">
        <f t="shared" si="6"/>
        <v>2020</v>
      </c>
      <c r="N74" s="3"/>
      <c r="O74" s="3"/>
    </row>
    <row r="75" spans="8:15">
      <c r="H75" s="29">
        <v>44136</v>
      </c>
      <c r="I75" s="33">
        <v>2.9797380219000309</v>
      </c>
      <c r="J75" s="33">
        <v>2.9898769248707295</v>
      </c>
      <c r="K75" s="33">
        <v>3.2988025187732051</v>
      </c>
      <c r="L75" s="33">
        <v>2.3295958914650874</v>
      </c>
      <c r="M75" s="92">
        <f t="shared" si="6"/>
        <v>2020</v>
      </c>
      <c r="N75" s="3"/>
      <c r="O75" s="3"/>
    </row>
    <row r="76" spans="8:15">
      <c r="H76" s="29">
        <v>44166</v>
      </c>
      <c r="I76" s="33">
        <v>3.1277332991336135</v>
      </c>
      <c r="J76" s="33">
        <v>3.1378722021043126</v>
      </c>
      <c r="K76" s="33">
        <v>3.3100198528773932</v>
      </c>
      <c r="L76" s="33">
        <v>2.4221426154189856</v>
      </c>
      <c r="M76" s="92">
        <f t="shared" si="6"/>
        <v>2020</v>
      </c>
      <c r="N76" s="3"/>
      <c r="O76" s="3"/>
    </row>
    <row r="77" spans="8:15">
      <c r="H77" s="29">
        <v>44197</v>
      </c>
      <c r="I77" s="33">
        <v>2.6886208634222917</v>
      </c>
      <c r="J77" s="33">
        <v>2.6690662011355299</v>
      </c>
      <c r="K77" s="33">
        <v>2.760978811967667</v>
      </c>
      <c r="L77" s="33">
        <v>2.4890915372188398</v>
      </c>
      <c r="M77" s="92">
        <f t="shared" si="6"/>
        <v>2021</v>
      </c>
      <c r="N77" s="3"/>
      <c r="O77" s="3"/>
    </row>
    <row r="78" spans="8:15">
      <c r="H78" s="29">
        <v>44228</v>
      </c>
      <c r="I78" s="33">
        <v>7.6820984742468417</v>
      </c>
      <c r="J78" s="33">
        <v>7.6333779819887271</v>
      </c>
      <c r="K78" s="33">
        <v>4.5404225128537163</v>
      </c>
      <c r="L78" s="33">
        <v>37.984990630048472</v>
      </c>
      <c r="M78" s="92">
        <f t="shared" si="6"/>
        <v>2021</v>
      </c>
      <c r="N78" s="3"/>
      <c r="O78" s="3"/>
    </row>
    <row r="79" spans="8:15">
      <c r="H79" s="29">
        <v>44256</v>
      </c>
      <c r="I79" s="33">
        <v>2.4045441027445462</v>
      </c>
      <c r="J79" s="33">
        <v>2.3871046659912234</v>
      </c>
      <c r="K79" s="33">
        <v>2.5608632108946967</v>
      </c>
      <c r="L79" s="33">
        <v>2.374204502579603</v>
      </c>
      <c r="M79" s="92">
        <f t="shared" si="6"/>
        <v>2021</v>
      </c>
      <c r="N79" s="3"/>
      <c r="O79" s="3"/>
    </row>
    <row r="80" spans="8:15">
      <c r="H80" s="29">
        <v>44287</v>
      </c>
      <c r="I80" s="33">
        <v>2.5896543537414964</v>
      </c>
      <c r="J80" s="33">
        <v>2.5712597125579859</v>
      </c>
      <c r="K80" s="33">
        <v>2.6926741344471128</v>
      </c>
      <c r="L80" s="33">
        <v>2.4502571890145401</v>
      </c>
      <c r="M80" s="92">
        <f t="shared" si="6"/>
        <v>2021</v>
      </c>
      <c r="N80" s="3"/>
      <c r="O80" s="3"/>
    </row>
    <row r="81" spans="8:15">
      <c r="H81" s="29">
        <v>44317</v>
      </c>
      <c r="I81" s="33">
        <v>2.7467972108843535</v>
      </c>
      <c r="J81" s="33">
        <v>2.7275414331567145</v>
      </c>
      <c r="K81" s="33">
        <v>2.8248636730248315</v>
      </c>
      <c r="L81" s="33">
        <v>2.6868836416697084</v>
      </c>
      <c r="M81" s="92">
        <f t="shared" si="6"/>
        <v>2021</v>
      </c>
      <c r="N81" s="3"/>
      <c r="O81" s="3"/>
    </row>
    <row r="82" spans="8:15">
      <c r="H82" s="29">
        <v>44348</v>
      </c>
      <c r="I82" s="33">
        <v>3.218225782312925</v>
      </c>
      <c r="J82" s="33">
        <v>3.1964446670300717</v>
      </c>
      <c r="K82" s="33">
        <v>3.2222229260167161</v>
      </c>
      <c r="L82" s="33">
        <v>3.024940818524501</v>
      </c>
      <c r="M82" s="92">
        <f t="shared" si="6"/>
        <v>2021</v>
      </c>
      <c r="N82" s="3"/>
      <c r="O82" s="3"/>
    </row>
    <row r="83" spans="8:15">
      <c r="H83" s="29">
        <v>44378</v>
      </c>
      <c r="I83" s="33">
        <v>3.683493502304148</v>
      </c>
      <c r="J83" s="33">
        <v>3.6590471730744554</v>
      </c>
      <c r="K83" s="33">
        <v>3.7243527515257937</v>
      </c>
      <c r="L83" s="33">
        <v>3.5482169576319782</v>
      </c>
      <c r="M83" s="92">
        <f t="shared" si="6"/>
        <v>2021</v>
      </c>
      <c r="N83" s="3"/>
      <c r="O83" s="3"/>
    </row>
    <row r="84" spans="8:15">
      <c r="H84" s="29">
        <v>44409</v>
      </c>
      <c r="I84" s="33">
        <v>3.8962870068027202</v>
      </c>
      <c r="J84" s="33">
        <v>3.8706130354197481</v>
      </c>
      <c r="K84" s="33">
        <v>3.9382424014831718</v>
      </c>
      <c r="L84" s="33">
        <v>3.803245880452343</v>
      </c>
      <c r="M84" s="92">
        <f t="shared" si="6"/>
        <v>2021</v>
      </c>
      <c r="N84" s="3"/>
      <c r="O84" s="3"/>
    </row>
    <row r="85" spans="8:15">
      <c r="H85" s="29">
        <v>44440</v>
      </c>
      <c r="I85" s="33">
        <v>5.2314910884353738</v>
      </c>
      <c r="J85" s="33">
        <v>5.1985278003944337</v>
      </c>
      <c r="K85" s="33">
        <v>5.3908184336048866</v>
      </c>
      <c r="L85" s="33">
        <v>4.7355291330102327</v>
      </c>
      <c r="M85" s="92">
        <f t="shared" si="6"/>
        <v>2021</v>
      </c>
      <c r="N85" s="3"/>
      <c r="O85" s="3"/>
    </row>
    <row r="86" spans="8:15">
      <c r="H86" s="29">
        <v>44470</v>
      </c>
      <c r="I86" s="33">
        <v>5.5514987689269262</v>
      </c>
      <c r="J86" s="33">
        <v>5.5164724078736835</v>
      </c>
      <c r="K86" s="33">
        <v>5.7676211178699015</v>
      </c>
      <c r="L86" s="33">
        <v>5.1897824378550199</v>
      </c>
      <c r="M86" s="92">
        <f t="shared" si="6"/>
        <v>2021</v>
      </c>
      <c r="N86" s="3"/>
      <c r="O86" s="3"/>
    </row>
    <row r="87" spans="8:15">
      <c r="H87" s="29">
        <v>44501</v>
      </c>
      <c r="I87" s="33">
        <v>5.0569015974665721</v>
      </c>
      <c r="J87" s="33">
        <v>5.02436529365841</v>
      </c>
      <c r="K87" s="33">
        <v>5.2208035836387641</v>
      </c>
      <c r="L87" s="33">
        <v>4.7757485729671521</v>
      </c>
      <c r="M87" s="92">
        <f t="shared" si="6"/>
        <v>2021</v>
      </c>
      <c r="N87" s="3"/>
      <c r="O87" s="3"/>
    </row>
    <row r="88" spans="8:15">
      <c r="H88" s="29">
        <v>44531</v>
      </c>
      <c r="I88" s="33">
        <v>5.3747377419354869</v>
      </c>
      <c r="J88" s="33">
        <v>5.3396435843049614</v>
      </c>
      <c r="K88" s="33">
        <v>5.7566802572121851</v>
      </c>
      <c r="L88" s="33">
        <v>3.5319315858043665</v>
      </c>
      <c r="M88" s="92">
        <f t="shared" si="6"/>
        <v>2021</v>
      </c>
      <c r="N88" s="3"/>
      <c r="O88" s="3"/>
    </row>
    <row r="89" spans="8:15">
      <c r="H89" s="29">
        <v>44562</v>
      </c>
      <c r="I89" s="33">
        <v>4.967561968400263</v>
      </c>
      <c r="J89" s="33">
        <v>4.9348646841422985</v>
      </c>
      <c r="K89" s="33">
        <v>5.0826063154683325</v>
      </c>
      <c r="L89" s="33">
        <v>4.2136372505081026</v>
      </c>
      <c r="M89" s="92">
        <f t="shared" si="6"/>
        <v>2022</v>
      </c>
      <c r="N89" s="3"/>
      <c r="O89" s="3"/>
    </row>
    <row r="90" spans="8:15">
      <c r="H90" s="29">
        <v>44593</v>
      </c>
      <c r="I90" s="33">
        <v>4.631321020408163</v>
      </c>
      <c r="J90" s="33">
        <v>4.6006923862052718</v>
      </c>
      <c r="K90" s="33">
        <v>4.5178186860576712</v>
      </c>
      <c r="L90" s="33">
        <v>4.5469929956150485</v>
      </c>
      <c r="M90" s="92">
        <f t="shared" si="6"/>
        <v>2022</v>
      </c>
      <c r="N90" s="3"/>
      <c r="O90" s="3"/>
    </row>
    <row r="91" spans="8:15">
      <c r="H91" s="29">
        <v>44621</v>
      </c>
      <c r="I91" s="33">
        <v>4.4655046938775511</v>
      </c>
      <c r="J91" s="33">
        <v>4.3035961460975081</v>
      </c>
      <c r="K91" s="33">
        <v>4.3608435841400777</v>
      </c>
      <c r="L91" s="33">
        <v>4.4303955495335874</v>
      </c>
      <c r="M91" s="92">
        <f t="shared" si="6"/>
        <v>2022</v>
      </c>
      <c r="N91" s="3"/>
      <c r="O91" s="3"/>
    </row>
    <row r="92" spans="8:15">
      <c r="H92" s="29">
        <v>44652</v>
      </c>
      <c r="I92" s="33">
        <v>6.3354026530612231</v>
      </c>
      <c r="J92" s="33">
        <v>6.2960354258255791</v>
      </c>
      <c r="K92" s="33">
        <v>6.437747441188141</v>
      </c>
      <c r="L92" s="33">
        <v>6.2197779213785696</v>
      </c>
      <c r="M92" s="92">
        <f t="shared" si="6"/>
        <v>2022</v>
      </c>
      <c r="N92" s="3"/>
      <c r="O92" s="3"/>
    </row>
    <row r="93" spans="8:15">
      <c r="H93" s="29">
        <v>44682</v>
      </c>
      <c r="I93" s="33">
        <v>7.7153546338535408</v>
      </c>
      <c r="J93" s="33">
        <v>7.6683211653455707</v>
      </c>
      <c r="K93" s="33">
        <v>7.8100543040111301</v>
      </c>
      <c r="L93" s="33">
        <v>7.6260740632654107</v>
      </c>
      <c r="M93" s="92">
        <f t="shared" si="6"/>
        <v>2022</v>
      </c>
      <c r="N93" s="3"/>
      <c r="O93" s="3"/>
    </row>
    <row r="94" spans="8:15">
      <c r="H94" s="29">
        <v>44713</v>
      </c>
      <c r="I94" s="33">
        <v>6.9200965306122466</v>
      </c>
      <c r="J94" s="33">
        <v>6.8779637226648598</v>
      </c>
      <c r="K94" s="33">
        <v>7.2110992536482481</v>
      </c>
      <c r="L94" s="33">
        <v>7.2444480883144866</v>
      </c>
      <c r="M94" s="92">
        <f t="shared" si="6"/>
        <v>2022</v>
      </c>
      <c r="N94" s="3"/>
      <c r="O94" s="3"/>
    </row>
    <row r="95" spans="8:15">
      <c r="H95" s="29">
        <v>44743</v>
      </c>
      <c r="I95" s="33">
        <v>6.6692218950437319</v>
      </c>
      <c r="J95" s="33">
        <v>6.6271246343714321</v>
      </c>
      <c r="K95" s="33">
        <v>6.0015550926963819</v>
      </c>
      <c r="L95" s="33">
        <v>6.7193045599041117</v>
      </c>
      <c r="M95" s="92">
        <f t="shared" si="6"/>
        <v>2022</v>
      </c>
      <c r="N95" s="3"/>
      <c r="O95" s="3"/>
    </row>
    <row r="96" spans="8:15">
      <c r="H96" s="29">
        <v>44774</v>
      </c>
      <c r="I96" s="33">
        <v>8.3024519727891146</v>
      </c>
      <c r="J96" s="33">
        <v>8.2508389874000159</v>
      </c>
      <c r="K96" s="33">
        <v>8.4395296229212295</v>
      </c>
      <c r="L96" s="33">
        <v>8.1874308301631196</v>
      </c>
      <c r="M96" s="92">
        <f t="shared" si="6"/>
        <v>2022</v>
      </c>
      <c r="N96" s="3"/>
      <c r="O96" s="3"/>
    </row>
    <row r="97" spans="8:15">
      <c r="H97" s="29">
        <v>44805</v>
      </c>
      <c r="I97" s="33">
        <v>7.2231577551020409</v>
      </c>
      <c r="J97" s="33">
        <v>7.1780453492221117</v>
      </c>
      <c r="K97" s="33">
        <v>7.3577262739997416</v>
      </c>
      <c r="L97" s="33">
        <v>6.9349771674744209</v>
      </c>
      <c r="M97" s="92">
        <f t="shared" si="6"/>
        <v>2022</v>
      </c>
      <c r="N97" s="3"/>
      <c r="O97" s="3"/>
    </row>
    <row r="98" spans="8:15">
      <c r="H98" s="29">
        <v>44835</v>
      </c>
      <c r="I98" s="33">
        <v>5.1451265426170476</v>
      </c>
      <c r="J98" s="33">
        <v>5.1113919199440421</v>
      </c>
      <c r="K98" s="33">
        <v>5.3263118986685019</v>
      </c>
      <c r="L98" s="33">
        <v>4.948921788524677</v>
      </c>
      <c r="M98" s="92">
        <f t="shared" si="6"/>
        <v>2022</v>
      </c>
      <c r="N98" s="3"/>
      <c r="O98" s="3"/>
    </row>
    <row r="99" spans="8:15">
      <c r="H99" s="29">
        <v>44866</v>
      </c>
      <c r="I99" s="33">
        <v>8.3246707741027421</v>
      </c>
      <c r="J99" s="33">
        <v>8.2725560018982538</v>
      </c>
      <c r="K99" s="33">
        <v>9.4779063852269978</v>
      </c>
      <c r="L99" s="33">
        <v>4.9654025848142176</v>
      </c>
      <c r="M99" s="92">
        <f t="shared" si="6"/>
        <v>2022</v>
      </c>
      <c r="N99" s="3"/>
      <c r="O99" s="3"/>
    </row>
    <row r="100" spans="8:15">
      <c r="H100" s="29">
        <v>44896</v>
      </c>
      <c r="I100" s="33">
        <v>27.79220537414966</v>
      </c>
      <c r="J100" s="33">
        <v>27.622894480850444</v>
      </c>
      <c r="K100" s="33">
        <v>29.778634360547162</v>
      </c>
      <c r="L100" s="33">
        <v>7.5203820001042283</v>
      </c>
      <c r="M100" s="92">
        <f t="shared" si="6"/>
        <v>2022</v>
      </c>
      <c r="N100" s="3"/>
      <c r="O100" s="3"/>
    </row>
    <row r="101" spans="8:15">
      <c r="H101" s="29">
        <v>44927</v>
      </c>
      <c r="I101" s="33">
        <v>22.962953673469389</v>
      </c>
      <c r="J101" s="33">
        <v>21.3215</v>
      </c>
      <c r="K101" s="33">
        <v>20.722274312605634</v>
      </c>
      <c r="L101" s="33">
        <v>5.6610810985460427</v>
      </c>
      <c r="M101" s="92">
        <f t="shared" si="6"/>
        <v>2023</v>
      </c>
      <c r="N101" s="3"/>
      <c r="O101" s="3"/>
    </row>
    <row r="102" spans="8:15">
      <c r="H102" s="29">
        <v>44958</v>
      </c>
      <c r="I102" s="33">
        <v>15.294586326530611</v>
      </c>
      <c r="J102" s="33">
        <v>15.196199999999999</v>
      </c>
      <c r="K102" s="33">
        <v>11.298981183249904</v>
      </c>
      <c r="L102" s="33">
        <v>5.8251562197092097</v>
      </c>
      <c r="M102" s="92">
        <f t="shared" si="6"/>
        <v>2023</v>
      </c>
      <c r="N102" s="3"/>
      <c r="O102" s="3"/>
    </row>
    <row r="103" spans="8:15">
      <c r="H103" s="29">
        <v>44986</v>
      </c>
      <c r="I103" s="33">
        <v>5.2170353061224493</v>
      </c>
      <c r="J103" s="33">
        <v>5.1829999999999998</v>
      </c>
      <c r="K103" s="33">
        <v>4.987322276482244</v>
      </c>
      <c r="L103" s="33">
        <v>3.8400996768982236</v>
      </c>
      <c r="M103" s="92">
        <f t="shared" si="6"/>
        <v>2023</v>
      </c>
      <c r="N103" s="3"/>
      <c r="O103" s="3"/>
    </row>
    <row r="104" spans="8:15">
      <c r="H104" s="29">
        <v>45017</v>
      </c>
      <c r="I104" s="33">
        <v>3.5415251020408163</v>
      </c>
      <c r="J104" s="33">
        <v>3.5182000000000002</v>
      </c>
      <c r="K104" s="33">
        <v>3.3467911668497612</v>
      </c>
      <c r="L104" s="33">
        <v>3.419057673667206</v>
      </c>
      <c r="M104" s="92">
        <f t="shared" si="6"/>
        <v>2023</v>
      </c>
      <c r="N104" s="3"/>
      <c r="O104" s="3"/>
    </row>
    <row r="105" spans="8:15">
      <c r="H105" s="29">
        <v>45047</v>
      </c>
      <c r="I105" s="33">
        <v>3.3466271428571424</v>
      </c>
      <c r="J105" s="33">
        <v>3.3245</v>
      </c>
      <c r="K105" s="33">
        <v>3.0156505682101638</v>
      </c>
      <c r="L105" s="33">
        <v>3.2665940226171251</v>
      </c>
      <c r="M105" s="92">
        <f t="shared" si="6"/>
        <v>2023</v>
      </c>
      <c r="N105" s="3"/>
      <c r="O105" s="3"/>
    </row>
    <row r="106" spans="8:15">
      <c r="H106" s="29">
        <v>45078</v>
      </c>
      <c r="I106" s="33">
        <v>3.6435659183673472</v>
      </c>
      <c r="J106" s="33">
        <v>3.6196000000000002</v>
      </c>
      <c r="K106" s="33">
        <v>3.2064124079894096</v>
      </c>
      <c r="L106" s="33">
        <v>3.4644938610662366</v>
      </c>
      <c r="M106" s="92">
        <f t="shared" si="6"/>
        <v>2023</v>
      </c>
      <c r="N106" s="3"/>
      <c r="O106" s="3"/>
    </row>
    <row r="107" spans="8:15">
      <c r="H107" s="29">
        <v>45108</v>
      </c>
      <c r="I107" s="33">
        <v>3.9012189795918366</v>
      </c>
      <c r="J107" s="33">
        <v>3.8755999999999999</v>
      </c>
      <c r="K107" s="33">
        <v>3.3380401486839926</v>
      </c>
      <c r="L107" s="33">
        <v>3.6639082390953157</v>
      </c>
      <c r="M107" s="92">
        <f t="shared" si="6"/>
        <v>2023</v>
      </c>
      <c r="N107" s="3"/>
      <c r="O107" s="3"/>
    </row>
    <row r="108" spans="8:15">
      <c r="H108" s="29">
        <v>45139</v>
      </c>
      <c r="I108" s="33">
        <v>4.0399944897959186</v>
      </c>
      <c r="J108" s="33">
        <v>4.0134999999999996</v>
      </c>
      <c r="K108" s="33">
        <v>3.4899661090293526</v>
      </c>
      <c r="L108" s="33">
        <v>3.6699663974151866</v>
      </c>
      <c r="M108" s="92">
        <f t="shared" si="6"/>
        <v>2023</v>
      </c>
      <c r="N108" s="3"/>
      <c r="O108" s="3"/>
    </row>
    <row r="109" spans="8:15">
      <c r="H109" s="29">
        <v>45170</v>
      </c>
      <c r="I109" s="33">
        <v>3.7537699999999998</v>
      </c>
      <c r="J109" s="33">
        <v>3.7290999999999999</v>
      </c>
      <c r="K109" s="33">
        <v>3.2707246243319239</v>
      </c>
      <c r="L109" s="33">
        <v>3.4877168012924078</v>
      </c>
      <c r="M109" s="92">
        <f t="shared" si="6"/>
        <v>2023</v>
      </c>
      <c r="N109" s="3"/>
      <c r="O109" s="3"/>
    </row>
    <row r="110" spans="8:15">
      <c r="H110" s="29">
        <v>45200</v>
      </c>
      <c r="I110" s="33">
        <v>3.6609128571428573</v>
      </c>
      <c r="J110" s="33">
        <v>3.6368</v>
      </c>
      <c r="K110" s="33">
        <v>3.4075822634569368</v>
      </c>
      <c r="L110" s="33">
        <v>3.4210770597738294</v>
      </c>
      <c r="M110" s="92">
        <f t="shared" si="6"/>
        <v>2023</v>
      </c>
      <c r="N110" s="3"/>
      <c r="O110" s="3"/>
    </row>
    <row r="111" spans="8:15">
      <c r="H111" s="29">
        <v>45231</v>
      </c>
      <c r="I111" s="33">
        <v>5.2680557142857145</v>
      </c>
      <c r="J111" s="33">
        <v>5.2336999999999998</v>
      </c>
      <c r="K111" s="33">
        <v>4.8128715060652301</v>
      </c>
      <c r="L111" s="33">
        <v>4.1960164781906313</v>
      </c>
      <c r="M111" s="92">
        <f t="shared" si="6"/>
        <v>2023</v>
      </c>
      <c r="N111" s="3"/>
      <c r="O111" s="3"/>
    </row>
    <row r="112" spans="8:15">
      <c r="H112" s="29">
        <v>45261</v>
      </c>
      <c r="I112" s="33">
        <v>7.0109128571428574</v>
      </c>
      <c r="J112" s="33">
        <v>6.9653999999999998</v>
      </c>
      <c r="K112" s="33">
        <v>6.0197870765252368</v>
      </c>
      <c r="L112" s="33">
        <v>5.11281777059774</v>
      </c>
      <c r="M112" s="92">
        <f t="shared" si="6"/>
        <v>2023</v>
      </c>
      <c r="N112" s="3"/>
      <c r="O112" s="3"/>
    </row>
    <row r="113" spans="8:15">
      <c r="H113" s="29">
        <v>45292</v>
      </c>
      <c r="I113" s="33">
        <v>7.4787699999999999</v>
      </c>
      <c r="J113" s="33">
        <v>7.4302999999999999</v>
      </c>
      <c r="K113" s="33">
        <v>6.0804746107872543</v>
      </c>
      <c r="L113" s="33">
        <v>5.7726521809369959</v>
      </c>
      <c r="M113" s="92">
        <f t="shared" ref="M113:M159" si="7">YEAR(H113)</f>
        <v>2024</v>
      </c>
      <c r="N113" s="3"/>
      <c r="O113" s="3"/>
    </row>
    <row r="114" spans="8:15">
      <c r="H114" s="29">
        <v>45323</v>
      </c>
      <c r="I114" s="33">
        <v>7.0670353061224489</v>
      </c>
      <c r="J114" s="33">
        <v>7.0212000000000003</v>
      </c>
      <c r="K114" s="33">
        <v>5.7945907569812789</v>
      </c>
      <c r="L114" s="33">
        <v>5.7388274636510506</v>
      </c>
      <c r="M114" s="92">
        <f t="shared" si="7"/>
        <v>2024</v>
      </c>
      <c r="N114" s="3"/>
      <c r="O114" s="3"/>
    </row>
    <row r="115" spans="8:15">
      <c r="H115" s="29">
        <v>45352</v>
      </c>
      <c r="I115" s="33">
        <v>4.9762189795918372</v>
      </c>
      <c r="J115" s="33">
        <v>4.9436999999999998</v>
      </c>
      <c r="K115" s="33">
        <v>4.4797114416950707</v>
      </c>
      <c r="L115" s="33">
        <v>4.321218416801293</v>
      </c>
      <c r="M115" s="92">
        <f t="shared" si="7"/>
        <v>2024</v>
      </c>
      <c r="N115" s="3"/>
      <c r="O115" s="3"/>
    </row>
    <row r="116" spans="8:15">
      <c r="H116" s="29">
        <v>45383</v>
      </c>
      <c r="I116" s="33">
        <v>3.3864230612244897</v>
      </c>
      <c r="J116" s="33">
        <v>3.3641000000000001</v>
      </c>
      <c r="K116" s="33">
        <v>3.171615460016648</v>
      </c>
      <c r="L116" s="33">
        <v>3.3387870759289182</v>
      </c>
      <c r="M116" s="92">
        <f t="shared" si="7"/>
        <v>2024</v>
      </c>
      <c r="N116" s="3"/>
      <c r="O116" s="3"/>
    </row>
    <row r="117" spans="8:15">
      <c r="H117" s="29">
        <v>45413</v>
      </c>
      <c r="I117" s="33">
        <v>3.3012189795918365</v>
      </c>
      <c r="J117" s="33">
        <v>3.2793999999999999</v>
      </c>
      <c r="K117" s="33">
        <v>3.0450622742347599</v>
      </c>
      <c r="L117" s="33">
        <v>3.1610810985460427</v>
      </c>
      <c r="M117" s="92">
        <f t="shared" si="7"/>
        <v>2024</v>
      </c>
      <c r="N117" s="3"/>
      <c r="O117" s="3"/>
    </row>
    <row r="118" spans="8:15">
      <c r="H118" s="29">
        <v>45444</v>
      </c>
      <c r="I118" s="33">
        <v>3.3899944897959182</v>
      </c>
      <c r="J118" s="33">
        <v>3.3675999999999999</v>
      </c>
      <c r="K118" s="33">
        <v>3.0725580768739507</v>
      </c>
      <c r="L118" s="33">
        <v>3.3170786752827151</v>
      </c>
      <c r="M118" s="92">
        <f t="shared" si="7"/>
        <v>2024</v>
      </c>
      <c r="N118" s="3"/>
      <c r="O118" s="3"/>
    </row>
    <row r="119" spans="8:15">
      <c r="H119" s="29">
        <v>45474</v>
      </c>
      <c r="I119" s="33">
        <v>3.778259795918367</v>
      </c>
      <c r="J119" s="33">
        <v>3.7534000000000001</v>
      </c>
      <c r="K119" s="33">
        <v>3.3016379843612969</v>
      </c>
      <c r="L119" s="33">
        <v>3.4488436187399034</v>
      </c>
      <c r="M119" s="92">
        <f t="shared" si="7"/>
        <v>2024</v>
      </c>
      <c r="N119" s="3"/>
      <c r="O119" s="3"/>
    </row>
    <row r="120" spans="8:15">
      <c r="H120" s="29">
        <v>45505</v>
      </c>
      <c r="I120" s="33">
        <v>3.8124434693877549</v>
      </c>
      <c r="J120" s="33">
        <v>3.7873999999999999</v>
      </c>
      <c r="K120" s="33">
        <v>3.3270625400973475</v>
      </c>
      <c r="L120" s="33">
        <v>3.4927652665589668</v>
      </c>
      <c r="M120" s="92">
        <f t="shared" si="7"/>
        <v>2024</v>
      </c>
      <c r="N120" s="3"/>
      <c r="O120" s="3"/>
    </row>
    <row r="121" spans="8:15">
      <c r="H121" s="29">
        <v>45536</v>
      </c>
      <c r="I121" s="33">
        <v>3.7068312244897959</v>
      </c>
      <c r="J121" s="33">
        <v>3.6823999999999999</v>
      </c>
      <c r="K121" s="33">
        <v>3.328823099965017</v>
      </c>
      <c r="L121" s="33">
        <v>3.3907862681744758</v>
      </c>
      <c r="M121" s="92">
        <f t="shared" si="7"/>
        <v>2024</v>
      </c>
      <c r="N121" s="3"/>
      <c r="O121" s="3"/>
    </row>
    <row r="122" spans="8:15">
      <c r="H122" s="29">
        <v>45566</v>
      </c>
      <c r="I122" s="33">
        <v>3.6542802040816329</v>
      </c>
      <c r="J122" s="33">
        <v>3.6301999999999999</v>
      </c>
      <c r="K122" s="33">
        <v>3.3428040165612152</v>
      </c>
      <c r="L122" s="33">
        <v>3.3993686591276258</v>
      </c>
      <c r="M122" s="92">
        <f t="shared" si="7"/>
        <v>2024</v>
      </c>
      <c r="N122" s="3"/>
      <c r="O122" s="3"/>
    </row>
    <row r="123" spans="8:15">
      <c r="H123" s="29">
        <v>45597</v>
      </c>
      <c r="I123" s="33">
        <v>5.0981577551020409</v>
      </c>
      <c r="J123" s="33">
        <v>5.0648999999999997</v>
      </c>
      <c r="K123" s="33">
        <v>4.6388867662014235</v>
      </c>
      <c r="L123" s="33">
        <v>4.1288718901453958</v>
      </c>
      <c r="M123" s="92">
        <f t="shared" si="7"/>
        <v>2024</v>
      </c>
      <c r="N123" s="3"/>
      <c r="O123" s="3"/>
    </row>
    <row r="124" spans="8:15">
      <c r="H124" s="29">
        <v>45627</v>
      </c>
      <c r="I124" s="33">
        <v>6.2292802040816326</v>
      </c>
      <c r="J124" s="33">
        <v>6.1887999999999996</v>
      </c>
      <c r="K124" s="33">
        <v>5.5018717883949391</v>
      </c>
      <c r="L124" s="33">
        <v>5.1875350565428118</v>
      </c>
      <c r="M124" s="92">
        <f t="shared" si="7"/>
        <v>2024</v>
      </c>
      <c r="N124" s="3"/>
      <c r="O124" s="3"/>
    </row>
    <row r="125" spans="8:15">
      <c r="H125" s="29">
        <v>45658</v>
      </c>
      <c r="I125" s="33">
        <v>6.4864230612244898</v>
      </c>
      <c r="J125" s="33">
        <v>6.4443000000000001</v>
      </c>
      <c r="K125" s="33">
        <v>5.655351183917654</v>
      </c>
      <c r="L125" s="33">
        <v>5.6237224555735068</v>
      </c>
      <c r="M125" s="92">
        <f t="shared" si="7"/>
        <v>2025</v>
      </c>
      <c r="N125" s="3"/>
      <c r="O125" s="3"/>
    </row>
    <row r="126" spans="8:15">
      <c r="H126" s="29">
        <v>45689</v>
      </c>
      <c r="I126" s="33">
        <v>6.2236679591836745</v>
      </c>
      <c r="J126" s="33">
        <v>6.1832000000000003</v>
      </c>
      <c r="K126" s="33">
        <v>5.483075222748937</v>
      </c>
      <c r="L126" s="33">
        <v>5.4495504038772227</v>
      </c>
      <c r="M126" s="92">
        <f t="shared" si="7"/>
        <v>2025</v>
      </c>
      <c r="N126" s="3"/>
      <c r="O126" s="3"/>
    </row>
    <row r="127" spans="8:15">
      <c r="H127" s="29">
        <v>45717</v>
      </c>
      <c r="I127" s="33">
        <v>5.2410148979591842</v>
      </c>
      <c r="J127" s="33">
        <v>5.2068000000000003</v>
      </c>
      <c r="K127" s="33">
        <v>4.724066795093079</v>
      </c>
      <c r="L127" s="33">
        <v>4.4494494345718918</v>
      </c>
      <c r="M127" s="92">
        <f t="shared" si="7"/>
        <v>2025</v>
      </c>
      <c r="N127" s="3"/>
      <c r="O127" s="3"/>
    </row>
    <row r="128" spans="8:15">
      <c r="H128" s="29">
        <v>45748</v>
      </c>
      <c r="I128" s="33">
        <v>3.5241781632653062</v>
      </c>
      <c r="J128" s="33">
        <v>3.5009000000000001</v>
      </c>
      <c r="K128" s="33">
        <v>3.4653182708819794</v>
      </c>
      <c r="L128" s="33">
        <v>3.4094655896607438</v>
      </c>
      <c r="M128" s="92">
        <f t="shared" si="7"/>
        <v>2025</v>
      </c>
      <c r="N128" s="3"/>
      <c r="O128" s="3"/>
    </row>
    <row r="129" spans="8:15">
      <c r="H129" s="29">
        <v>45778</v>
      </c>
      <c r="I129" s="33">
        <v>3.4925455102040814</v>
      </c>
      <c r="J129" s="33">
        <v>3.4695</v>
      </c>
      <c r="K129" s="33">
        <v>3.3115799694963717</v>
      </c>
      <c r="L129" s="33">
        <v>3.3503985460420038</v>
      </c>
      <c r="M129" s="92">
        <f t="shared" si="7"/>
        <v>2025</v>
      </c>
      <c r="N129" s="3"/>
      <c r="O129" s="3"/>
    </row>
    <row r="130" spans="8:15">
      <c r="H130" s="29">
        <v>45809</v>
      </c>
      <c r="I130" s="33">
        <v>3.5777495918367346</v>
      </c>
      <c r="J130" s="33">
        <v>3.5541999999999998</v>
      </c>
      <c r="K130" s="33">
        <v>3.3656912948409188</v>
      </c>
      <c r="L130" s="33">
        <v>3.4372321486268183</v>
      </c>
      <c r="M130" s="92">
        <f t="shared" si="7"/>
        <v>2025</v>
      </c>
      <c r="N130" s="3"/>
      <c r="O130" s="3"/>
    </row>
    <row r="131" spans="8:15">
      <c r="H131" s="29">
        <v>45839</v>
      </c>
      <c r="I131" s="33">
        <v>3.8823414285714288</v>
      </c>
      <c r="J131" s="33">
        <v>3.8567999999999998</v>
      </c>
      <c r="K131" s="33">
        <v>3.5031703080368737</v>
      </c>
      <c r="L131" s="33">
        <v>3.6351319870759298</v>
      </c>
      <c r="M131" s="92">
        <f t="shared" si="7"/>
        <v>2025</v>
      </c>
      <c r="N131" s="3"/>
      <c r="O131" s="3"/>
    </row>
    <row r="132" spans="8:15">
      <c r="H132" s="29">
        <v>45870</v>
      </c>
      <c r="I132" s="33">
        <v>3.9267291836734692</v>
      </c>
      <c r="J132" s="33">
        <v>3.9009</v>
      </c>
      <c r="K132" s="33">
        <v>3.5488413022511236</v>
      </c>
      <c r="L132" s="33">
        <v>3.6790536348949927</v>
      </c>
      <c r="M132" s="92">
        <f t="shared" si="7"/>
        <v>2025</v>
      </c>
      <c r="N132" s="3"/>
      <c r="O132" s="3"/>
    </row>
    <row r="133" spans="8:15">
      <c r="H133" s="29">
        <v>45901</v>
      </c>
      <c r="I133" s="33">
        <v>3.8961169387755099</v>
      </c>
      <c r="J133" s="33">
        <v>3.8704999999999998</v>
      </c>
      <c r="K133" s="33">
        <v>3.5975673856475052</v>
      </c>
      <c r="L133" s="33">
        <v>3.6613840064620362</v>
      </c>
      <c r="M133" s="92">
        <f t="shared" si="7"/>
        <v>2025</v>
      </c>
      <c r="N133" s="3"/>
      <c r="O133" s="3"/>
    </row>
    <row r="134" spans="8:15">
      <c r="H134" s="29">
        <v>45931</v>
      </c>
      <c r="I134" s="33">
        <v>3.8680557142857142</v>
      </c>
      <c r="J134" s="33">
        <v>3.8426</v>
      </c>
      <c r="K134" s="33">
        <v>3.7051168810930788</v>
      </c>
      <c r="L134" s="33">
        <v>3.7042959612277873</v>
      </c>
      <c r="M134" s="92">
        <f t="shared" si="7"/>
        <v>2025</v>
      </c>
      <c r="N134" s="3"/>
      <c r="O134" s="3"/>
    </row>
    <row r="135" spans="8:15">
      <c r="H135" s="29">
        <v>45962</v>
      </c>
      <c r="I135" s="33">
        <v>5.1859128571428572</v>
      </c>
      <c r="J135" s="33">
        <v>5.1520999999999999</v>
      </c>
      <c r="K135" s="33">
        <v>4.7772460593312127</v>
      </c>
      <c r="L135" s="33">
        <v>4.2485205169628442</v>
      </c>
      <c r="M135" s="92">
        <f t="shared" si="7"/>
        <v>2025</v>
      </c>
      <c r="N135" s="3"/>
      <c r="O135" s="3"/>
    </row>
    <row r="136" spans="8:15">
      <c r="H136" s="29">
        <v>45992</v>
      </c>
      <c r="I136" s="33">
        <v>6.2354026530612252</v>
      </c>
      <c r="J136" s="33">
        <v>6.1947999999999999</v>
      </c>
      <c r="K136" s="33">
        <v>5.4308798007897954</v>
      </c>
      <c r="L136" s="33">
        <v>5.5949462035541213</v>
      </c>
      <c r="M136" s="92">
        <f t="shared" si="7"/>
        <v>2025</v>
      </c>
      <c r="N136" s="3"/>
      <c r="O136" s="3"/>
    </row>
    <row r="137" spans="8:15">
      <c r="H137" s="29">
        <v>46023</v>
      </c>
      <c r="I137" s="33">
        <v>6.1412189795918373</v>
      </c>
      <c r="J137" s="33">
        <v>6.1013000000000002</v>
      </c>
      <c r="K137" s="33">
        <v>5.7128800666523833</v>
      </c>
      <c r="L137" s="33">
        <v>5.7388274636510506</v>
      </c>
      <c r="M137" s="92">
        <f t="shared" ref="M137:M148" si="8">YEAR(H137)</f>
        <v>2026</v>
      </c>
      <c r="N137" s="3"/>
      <c r="O137" s="3"/>
    </row>
    <row r="138" spans="8:15">
      <c r="H138" s="29">
        <v>46054</v>
      </c>
      <c r="I138" s="33">
        <v>6.0742802040816324</v>
      </c>
      <c r="J138" s="33">
        <v>6.0368000000000004</v>
      </c>
      <c r="K138" s="33">
        <v>5.8039631492179904</v>
      </c>
      <c r="L138" s="33">
        <v>5.3017313408723759</v>
      </c>
      <c r="M138" s="92">
        <f t="shared" si="8"/>
        <v>2026</v>
      </c>
      <c r="N138" s="3"/>
      <c r="O138" s="3"/>
    </row>
    <row r="139" spans="8:15">
      <c r="H139" s="29">
        <v>46082</v>
      </c>
      <c r="I139" s="33">
        <v>4.909178163265306</v>
      </c>
      <c r="J139" s="33">
        <v>4.8815999999999997</v>
      </c>
      <c r="K139" s="33">
        <v>4.7372192129280215</v>
      </c>
      <c r="L139" s="33">
        <v>4.1210972536348951</v>
      </c>
      <c r="M139" s="92">
        <f t="shared" si="8"/>
        <v>2026</v>
      </c>
      <c r="N139" s="3"/>
      <c r="O139" s="3"/>
    </row>
    <row r="140" spans="8:15">
      <c r="H140" s="29">
        <v>46113</v>
      </c>
      <c r="I140" s="33">
        <v>3.8382597959183671</v>
      </c>
      <c r="J140" s="33">
        <v>3.8088000000000002</v>
      </c>
      <c r="K140" s="33">
        <v>3.8872830462242911</v>
      </c>
      <c r="L140" s="33">
        <v>3.7202491114701139</v>
      </c>
      <c r="M140" s="92">
        <f t="shared" si="8"/>
        <v>2026</v>
      </c>
      <c r="N140" s="3"/>
      <c r="O140" s="3"/>
    </row>
    <row r="141" spans="8:15">
      <c r="H141" s="29">
        <v>46143</v>
      </c>
      <c r="I141" s="33">
        <v>3.7991781632653061</v>
      </c>
      <c r="J141" s="33">
        <v>3.77</v>
      </c>
      <c r="K141" s="33">
        <v>3.774658995866023</v>
      </c>
      <c r="L141" s="33">
        <v>3.6538113085621977</v>
      </c>
      <c r="M141" s="92">
        <f t="shared" si="8"/>
        <v>2026</v>
      </c>
      <c r="N141" s="3"/>
      <c r="O141" s="3"/>
    </row>
    <row r="142" spans="8:15">
      <c r="H142" s="29">
        <v>46174</v>
      </c>
      <c r="I142" s="33">
        <v>3.8532597959183672</v>
      </c>
      <c r="J142" s="33">
        <v>3.8241000000000001</v>
      </c>
      <c r="K142" s="33">
        <v>3.8112165037064543</v>
      </c>
      <c r="L142" s="33">
        <v>3.7098492730210024</v>
      </c>
      <c r="M142" s="92">
        <f t="shared" si="8"/>
        <v>2026</v>
      </c>
      <c r="N142" s="3"/>
      <c r="O142" s="3"/>
    </row>
    <row r="143" spans="8:15">
      <c r="H143" s="29">
        <v>46204</v>
      </c>
      <c r="I143" s="33">
        <v>4.0261169387755107</v>
      </c>
      <c r="J143" s="33">
        <v>3.9977</v>
      </c>
      <c r="K143" s="33">
        <v>3.9224942435776806</v>
      </c>
      <c r="L143" s="33">
        <v>3.7773977382875614</v>
      </c>
      <c r="M143" s="92">
        <f t="shared" si="8"/>
        <v>2026</v>
      </c>
      <c r="N143" s="3"/>
      <c r="O143" s="3"/>
    </row>
    <row r="144" spans="8:15">
      <c r="H144" s="29">
        <v>46235</v>
      </c>
      <c r="I144" s="33">
        <v>4.3131577551020417</v>
      </c>
      <c r="J144" s="33">
        <v>4.2796000000000003</v>
      </c>
      <c r="K144" s="33">
        <v>4.2340615589826003</v>
      </c>
      <c r="L144" s="33">
        <v>4.0614243941841686</v>
      </c>
      <c r="M144" s="92">
        <f t="shared" si="8"/>
        <v>2026</v>
      </c>
      <c r="N144" s="3"/>
      <c r="O144" s="3"/>
    </row>
    <row r="145" spans="8:15">
      <c r="H145" s="29">
        <v>46266</v>
      </c>
      <c r="I145" s="33">
        <v>4.3509128571428581</v>
      </c>
      <c r="J145" s="33">
        <v>4.3162000000000003</v>
      </c>
      <c r="K145" s="33">
        <v>4.3123546919213123</v>
      </c>
      <c r="L145" s="33">
        <v>4.1114042003231024</v>
      </c>
      <c r="M145" s="92">
        <f t="shared" si="8"/>
        <v>2026</v>
      </c>
      <c r="N145" s="3"/>
      <c r="O145" s="3"/>
    </row>
    <row r="146" spans="8:15">
      <c r="H146" s="29">
        <v>46296</v>
      </c>
      <c r="I146" s="33">
        <v>4.4062189795918369</v>
      </c>
      <c r="J146" s="33">
        <v>4.37</v>
      </c>
      <c r="K146" s="33">
        <v>4.4230628388941762</v>
      </c>
      <c r="L146" s="33">
        <v>4.2368080775444277</v>
      </c>
      <c r="M146" s="92">
        <f t="shared" si="8"/>
        <v>2026</v>
      </c>
      <c r="N146" s="3"/>
      <c r="O146" s="3"/>
    </row>
    <row r="147" spans="8:15">
      <c r="H147" s="29">
        <v>46327</v>
      </c>
      <c r="I147" s="33">
        <v>5.3186679591836734</v>
      </c>
      <c r="J147" s="33">
        <v>5.2820999999999998</v>
      </c>
      <c r="K147" s="33">
        <v>5.2488689791763194</v>
      </c>
      <c r="L147" s="33">
        <v>4.379881583198709</v>
      </c>
      <c r="M147" s="92">
        <f t="shared" si="8"/>
        <v>2026</v>
      </c>
      <c r="N147" s="3"/>
      <c r="O147" s="3"/>
    </row>
    <row r="148" spans="8:15">
      <c r="H148" s="29">
        <v>46357</v>
      </c>
      <c r="I148" s="33">
        <v>5.8741781632653067</v>
      </c>
      <c r="J148" s="33">
        <v>5.8409000000000004</v>
      </c>
      <c r="K148" s="33">
        <v>5.6619273928351266</v>
      </c>
      <c r="L148" s="33">
        <v>5.2375148626817465</v>
      </c>
      <c r="M148" s="92">
        <f t="shared" si="8"/>
        <v>2026</v>
      </c>
      <c r="N148" s="3"/>
      <c r="O148" s="3"/>
    </row>
    <row r="149" spans="8:15">
      <c r="H149" s="29">
        <v>46388</v>
      </c>
      <c r="I149" s="33">
        <v>5.7732597959183671</v>
      </c>
      <c r="J149" s="33">
        <v>5.7407000000000004</v>
      </c>
      <c r="K149" s="33">
        <v>5.9294289303757299</v>
      </c>
      <c r="L149" s="33">
        <v>5.3747321486268183</v>
      </c>
      <c r="M149" s="92">
        <f t="shared" si="7"/>
        <v>2027</v>
      </c>
      <c r="N149" s="3"/>
      <c r="O149" s="3"/>
    </row>
    <row r="150" spans="8:15">
      <c r="H150" s="29">
        <v>46419</v>
      </c>
      <c r="I150" s="33">
        <v>5.924892448979592</v>
      </c>
      <c r="J150" s="33">
        <v>5.8902999999999999</v>
      </c>
      <c r="K150" s="33">
        <v>6.1249028568596202</v>
      </c>
      <c r="L150" s="33">
        <v>5.153912277867529</v>
      </c>
      <c r="M150" s="92">
        <f t="shared" si="7"/>
        <v>2027</v>
      </c>
      <c r="N150" s="3"/>
      <c r="O150" s="3"/>
    </row>
    <row r="151" spans="8:15">
      <c r="H151" s="29">
        <v>46447</v>
      </c>
      <c r="I151" s="33">
        <v>4.5772393877551023</v>
      </c>
      <c r="J151" s="33">
        <v>4.5563000000000002</v>
      </c>
      <c r="K151" s="33">
        <v>4.7503716307629631</v>
      </c>
      <c r="L151" s="33">
        <v>3.7926441033925693</v>
      </c>
      <c r="M151" s="92">
        <f t="shared" si="7"/>
        <v>2027</v>
      </c>
      <c r="N151" s="3"/>
      <c r="O151" s="3"/>
    </row>
    <row r="152" spans="8:15">
      <c r="H152" s="29">
        <v>46478</v>
      </c>
      <c r="I152" s="33">
        <v>4.1523414285714288</v>
      </c>
      <c r="J152" s="33">
        <v>4.1166</v>
      </c>
      <c r="K152" s="33">
        <v>4.3092996027391806</v>
      </c>
      <c r="L152" s="33">
        <v>4.0310326332794837</v>
      </c>
      <c r="M152" s="92">
        <f t="shared" si="7"/>
        <v>2027</v>
      </c>
      <c r="N152" s="3"/>
      <c r="O152" s="3"/>
    </row>
    <row r="153" spans="8:15">
      <c r="H153" s="29">
        <v>46508</v>
      </c>
      <c r="I153" s="33">
        <v>4.1058108163265308</v>
      </c>
      <c r="J153" s="33">
        <v>4.0705</v>
      </c>
      <c r="K153" s="33">
        <v>4.237738022235674</v>
      </c>
      <c r="L153" s="33">
        <v>3.9572240710823916</v>
      </c>
      <c r="M153" s="92">
        <f t="shared" si="7"/>
        <v>2027</v>
      </c>
      <c r="N153" s="3"/>
      <c r="O153" s="3"/>
    </row>
    <row r="154" spans="8:15">
      <c r="H154" s="29">
        <v>46539</v>
      </c>
      <c r="I154" s="33">
        <v>4.1287700000000012</v>
      </c>
      <c r="J154" s="33">
        <v>4.0941000000000001</v>
      </c>
      <c r="K154" s="33">
        <v>4.2568452749171453</v>
      </c>
      <c r="L154" s="33">
        <v>3.9824663974151866</v>
      </c>
      <c r="M154" s="92">
        <f t="shared" si="7"/>
        <v>2027</v>
      </c>
      <c r="N154" s="3"/>
      <c r="O154" s="3"/>
    </row>
    <row r="155" spans="8:15">
      <c r="H155" s="29">
        <v>46569</v>
      </c>
      <c r="I155" s="33">
        <v>4.1697904081632657</v>
      </c>
      <c r="J155" s="33">
        <v>4.1386000000000003</v>
      </c>
      <c r="K155" s="33">
        <v>4.3418181791184889</v>
      </c>
      <c r="L155" s="33">
        <v>3.9195625201938618</v>
      </c>
      <c r="M155" s="92">
        <f t="shared" si="7"/>
        <v>2027</v>
      </c>
      <c r="N155" s="3"/>
      <c r="O155" s="3"/>
    </row>
    <row r="156" spans="8:15">
      <c r="H156" s="29">
        <v>46600</v>
      </c>
      <c r="I156" s="33">
        <v>4.6995863265306124</v>
      </c>
      <c r="J156" s="33">
        <v>4.6584000000000003</v>
      </c>
      <c r="K156" s="33">
        <v>4.9193335968866547</v>
      </c>
      <c r="L156" s="33">
        <v>4.4437951534733449</v>
      </c>
      <c r="M156" s="92">
        <f t="shared" si="7"/>
        <v>2027</v>
      </c>
      <c r="N156" s="3"/>
      <c r="O156" s="3"/>
    </row>
    <row r="157" spans="8:15">
      <c r="H157" s="29">
        <v>46631</v>
      </c>
      <c r="I157" s="33">
        <v>4.8058108163265318</v>
      </c>
      <c r="J157" s="33">
        <v>4.7619999999999996</v>
      </c>
      <c r="K157" s="33">
        <v>5.0270902170225424</v>
      </c>
      <c r="L157" s="33">
        <v>4.5615253634895003</v>
      </c>
      <c r="M157" s="92">
        <f t="shared" si="7"/>
        <v>2027</v>
      </c>
      <c r="N157" s="3"/>
      <c r="O157" s="3"/>
    </row>
    <row r="158" spans="8:15">
      <c r="H158" s="29">
        <v>46661</v>
      </c>
      <c r="I158" s="33">
        <v>4.9444842857142861</v>
      </c>
      <c r="J158" s="33">
        <v>4.8975</v>
      </c>
      <c r="K158" s="33">
        <v>5.1409570155226962</v>
      </c>
      <c r="L158" s="33">
        <v>4.7694211631663981</v>
      </c>
      <c r="M158" s="92">
        <f t="shared" si="7"/>
        <v>2027</v>
      </c>
      <c r="N158" s="3"/>
      <c r="O158" s="3"/>
    </row>
    <row r="159" spans="8:15">
      <c r="H159" s="29">
        <v>46692</v>
      </c>
      <c r="I159" s="33">
        <v>5.4513210204081632</v>
      </c>
      <c r="J159" s="33">
        <v>5.4122000000000003</v>
      </c>
      <c r="K159" s="33">
        <v>5.7204401178488471</v>
      </c>
      <c r="L159" s="33">
        <v>4.5111416801292412</v>
      </c>
      <c r="M159" s="92">
        <f t="shared" si="7"/>
        <v>2027</v>
      </c>
      <c r="N159" s="3"/>
      <c r="O159" s="3"/>
    </row>
    <row r="160" spans="8:15">
      <c r="H160" s="29">
        <v>46722</v>
      </c>
      <c r="I160" s="33">
        <v>5.5130557142857146</v>
      </c>
      <c r="J160" s="33">
        <v>5.4869000000000003</v>
      </c>
      <c r="K160" s="33">
        <v>5.8929749848804551</v>
      </c>
      <c r="L160" s="33">
        <v>4.8801844911147017</v>
      </c>
      <c r="M160" s="92">
        <f t="shared" ref="M160:M223" si="9">YEAR(H160)</f>
        <v>2027</v>
      </c>
      <c r="N160" s="3"/>
      <c r="O160" s="3"/>
    </row>
    <row r="161" spans="8:15">
      <c r="H161" s="29">
        <v>46753</v>
      </c>
      <c r="I161" s="33">
        <v>5.4053006122448979</v>
      </c>
      <c r="J161" s="33">
        <v>5.3800999999999997</v>
      </c>
      <c r="K161" s="33">
        <v>6.1459260129264974</v>
      </c>
      <c r="L161" s="33">
        <v>5.0106368336025859</v>
      </c>
      <c r="M161" s="92">
        <f t="shared" si="9"/>
        <v>2028</v>
      </c>
      <c r="N161" s="3"/>
      <c r="O161" s="3"/>
    </row>
    <row r="162" spans="8:15">
      <c r="H162" s="29">
        <v>46784</v>
      </c>
      <c r="I162" s="33">
        <v>5.4077495918367351</v>
      </c>
      <c r="J162" s="33">
        <v>5.3836000000000004</v>
      </c>
      <c r="K162" s="33">
        <v>5.6267161954817357</v>
      </c>
      <c r="L162" s="33">
        <v>4.6421998384491125</v>
      </c>
      <c r="M162" s="92">
        <f t="shared" si="9"/>
        <v>2028</v>
      </c>
      <c r="N162" s="3"/>
      <c r="O162" s="3"/>
    </row>
    <row r="163" spans="8:15">
      <c r="H163" s="29">
        <v>46813</v>
      </c>
      <c r="I163" s="33">
        <v>4.5421373469387767</v>
      </c>
      <c r="J163" s="33">
        <v>4.5218999999999996</v>
      </c>
      <c r="K163" s="33">
        <v>4.6904090329170449</v>
      </c>
      <c r="L163" s="33">
        <v>3.7579106623586438</v>
      </c>
      <c r="M163" s="92">
        <f t="shared" si="9"/>
        <v>2028</v>
      </c>
      <c r="N163" s="3"/>
      <c r="O163" s="3"/>
    </row>
    <row r="164" spans="8:15">
      <c r="H164" s="29">
        <v>46844</v>
      </c>
      <c r="I164" s="33">
        <v>4.1774434693877556</v>
      </c>
      <c r="J164" s="33">
        <v>4.1410999999999998</v>
      </c>
      <c r="K164" s="33">
        <v>4.3230216134724868</v>
      </c>
      <c r="L164" s="33">
        <v>4.0558710823909543</v>
      </c>
      <c r="M164" s="92">
        <f t="shared" si="9"/>
        <v>2028</v>
      </c>
      <c r="N164" s="3"/>
      <c r="O164" s="3"/>
    </row>
    <row r="165" spans="8:15">
      <c r="H165" s="29">
        <v>46874</v>
      </c>
      <c r="I165" s="33">
        <v>4.1338720408163274</v>
      </c>
      <c r="J165" s="33">
        <v>4.0979999999999999</v>
      </c>
      <c r="K165" s="33">
        <v>4.2677711023312126</v>
      </c>
      <c r="L165" s="33">
        <v>3.9849906300484661</v>
      </c>
      <c r="M165" s="92">
        <f t="shared" si="9"/>
        <v>2028</v>
      </c>
      <c r="N165" s="3"/>
      <c r="O165" s="3"/>
    </row>
    <row r="166" spans="8:15">
      <c r="H166" s="29">
        <v>46905</v>
      </c>
      <c r="I166" s="33">
        <v>4.0973414285714291</v>
      </c>
      <c r="J166" s="33">
        <v>4.0633999999999997</v>
      </c>
      <c r="K166" s="33">
        <v>4.2879657596368332</v>
      </c>
      <c r="L166" s="33">
        <v>3.9513678513731834</v>
      </c>
      <c r="M166" s="92">
        <f t="shared" si="9"/>
        <v>2028</v>
      </c>
      <c r="N166" s="3"/>
      <c r="O166" s="3"/>
    </row>
    <row r="167" spans="8:15">
      <c r="H167" s="29">
        <v>46935</v>
      </c>
      <c r="I167" s="33">
        <v>4.2665251020408173</v>
      </c>
      <c r="J167" s="33">
        <v>4.2332999999999998</v>
      </c>
      <c r="K167" s="33">
        <v>4.4591025350088227</v>
      </c>
      <c r="L167" s="33">
        <v>4.0152814216478196</v>
      </c>
      <c r="M167" s="92">
        <f t="shared" si="9"/>
        <v>2028</v>
      </c>
      <c r="N167" s="3"/>
      <c r="O167" s="3"/>
    </row>
    <row r="168" spans="8:15">
      <c r="H168" s="29">
        <v>46966</v>
      </c>
      <c r="I168" s="33">
        <v>4.8121373469387763</v>
      </c>
      <c r="J168" s="33">
        <v>4.7686000000000002</v>
      </c>
      <c r="K168" s="33">
        <v>4.996850012236691</v>
      </c>
      <c r="L168" s="33">
        <v>4.5551642972536355</v>
      </c>
      <c r="M168" s="92">
        <f t="shared" si="9"/>
        <v>2028</v>
      </c>
      <c r="N168" s="3"/>
      <c r="O168" s="3"/>
    </row>
    <row r="169" spans="8:15">
      <c r="H169" s="29">
        <v>46997</v>
      </c>
      <c r="I169" s="33">
        <v>4.8996883673469389</v>
      </c>
      <c r="J169" s="33">
        <v>4.8540000000000001</v>
      </c>
      <c r="K169" s="33">
        <v>5.1100436554933228</v>
      </c>
      <c r="L169" s="33">
        <v>4.6544171243941852</v>
      </c>
      <c r="M169" s="92">
        <f t="shared" si="9"/>
        <v>2028</v>
      </c>
      <c r="N169" s="3"/>
      <c r="O169" s="3"/>
    </row>
    <row r="170" spans="8:15">
      <c r="H170" s="29">
        <v>47027</v>
      </c>
      <c r="I170" s="33">
        <v>5.0521373469387756</v>
      </c>
      <c r="J170" s="33">
        <v>5.0030999999999999</v>
      </c>
      <c r="K170" s="33">
        <v>5.2504224143536744</v>
      </c>
      <c r="L170" s="33">
        <v>4.8759437802907923</v>
      </c>
      <c r="M170" s="92">
        <f t="shared" si="9"/>
        <v>2028</v>
      </c>
      <c r="N170" s="3"/>
      <c r="O170" s="3"/>
    </row>
    <row r="171" spans="8:15">
      <c r="H171" s="29">
        <v>47058</v>
      </c>
      <c r="I171" s="33">
        <v>5.5863210204081639</v>
      </c>
      <c r="J171" s="33">
        <v>5.5445000000000002</v>
      </c>
      <c r="K171" s="33">
        <v>5.873608826336091</v>
      </c>
      <c r="L171" s="33">
        <v>4.6447240710823916</v>
      </c>
      <c r="M171" s="92">
        <f t="shared" si="9"/>
        <v>2028</v>
      </c>
      <c r="N171" s="3"/>
      <c r="O171" s="3"/>
    </row>
    <row r="172" spans="8:15">
      <c r="H172" s="29">
        <v>47088</v>
      </c>
      <c r="I172" s="33">
        <v>5.6316271428571429</v>
      </c>
      <c r="J172" s="33">
        <v>5.6032000000000002</v>
      </c>
      <c r="K172" s="33">
        <v>6.0475935661998985</v>
      </c>
      <c r="L172" s="33">
        <v>4.9975108239095327</v>
      </c>
      <c r="M172" s="92">
        <f t="shared" si="9"/>
        <v>2028</v>
      </c>
      <c r="N172" s="3"/>
      <c r="O172" s="3"/>
    </row>
    <row r="173" spans="8:15">
      <c r="H173" s="29">
        <v>47119</v>
      </c>
      <c r="I173" s="33">
        <v>5.5923414285714292</v>
      </c>
      <c r="J173" s="33">
        <v>5.5632999999999999</v>
      </c>
      <c r="K173" s="33">
        <v>6.3566753853210489</v>
      </c>
      <c r="L173" s="33">
        <v>5.1957135702746378</v>
      </c>
      <c r="M173" s="92">
        <f t="shared" si="9"/>
        <v>2029</v>
      </c>
      <c r="N173" s="3"/>
      <c r="O173" s="3"/>
    </row>
    <row r="174" spans="8:15">
      <c r="H174" s="29">
        <v>47150</v>
      </c>
      <c r="I174" s="33">
        <v>5.9649944897959184</v>
      </c>
      <c r="J174" s="33">
        <v>5.9297000000000004</v>
      </c>
      <c r="K174" s="33">
        <v>6.2480384852513264</v>
      </c>
      <c r="L174" s="33">
        <v>5.1935932148626822</v>
      </c>
      <c r="M174" s="92">
        <f t="shared" si="9"/>
        <v>2029</v>
      </c>
      <c r="N174" s="3"/>
      <c r="O174" s="3"/>
    </row>
    <row r="175" spans="8:15">
      <c r="H175" s="29">
        <v>47178</v>
      </c>
      <c r="I175" s="33">
        <v>4.6347904081632656</v>
      </c>
      <c r="J175" s="33">
        <v>4.6127000000000002</v>
      </c>
      <c r="K175" s="33">
        <v>4.780508273203659</v>
      </c>
      <c r="L175" s="33">
        <v>3.8495907915993546</v>
      </c>
      <c r="M175" s="92">
        <f t="shared" si="9"/>
        <v>2029</v>
      </c>
      <c r="N175" s="3"/>
      <c r="O175" s="3"/>
    </row>
    <row r="176" spans="8:15">
      <c r="H176" s="29">
        <v>47209</v>
      </c>
      <c r="I176" s="33">
        <v>4.2159128571428575</v>
      </c>
      <c r="J176" s="33">
        <v>4.1788999999999996</v>
      </c>
      <c r="K176" s="33">
        <v>4.3496889173504227</v>
      </c>
      <c r="L176" s="33">
        <v>4.093936510500809</v>
      </c>
      <c r="M176" s="92">
        <f t="shared" si="9"/>
        <v>2029</v>
      </c>
      <c r="N176" s="3"/>
      <c r="O176" s="3"/>
    </row>
    <row r="177" spans="8:15">
      <c r="H177" s="29">
        <v>47239</v>
      </c>
      <c r="I177" s="33">
        <v>4.1463210204081635</v>
      </c>
      <c r="J177" s="33">
        <v>4.1101999999999999</v>
      </c>
      <c r="K177" s="33">
        <v>4.2915904417173287</v>
      </c>
      <c r="L177" s="33">
        <v>3.9973088852988701</v>
      </c>
      <c r="M177" s="92">
        <f t="shared" si="9"/>
        <v>2029</v>
      </c>
      <c r="N177" s="3"/>
      <c r="O177" s="3"/>
    </row>
    <row r="178" spans="8:15">
      <c r="H178" s="29">
        <v>47270</v>
      </c>
      <c r="I178" s="33">
        <v>4.1563210204081633</v>
      </c>
      <c r="J178" s="33">
        <v>4.1212</v>
      </c>
      <c r="K178" s="33">
        <v>4.3319279751559918</v>
      </c>
      <c r="L178" s="33">
        <v>4.0097281098546054</v>
      </c>
      <c r="M178" s="92">
        <f t="shared" si="9"/>
        <v>2029</v>
      </c>
      <c r="N178" s="3"/>
      <c r="O178" s="3"/>
    </row>
    <row r="179" spans="8:15">
      <c r="H179" s="29">
        <v>47300</v>
      </c>
      <c r="I179" s="33">
        <v>4.3084638775510209</v>
      </c>
      <c r="J179" s="33">
        <v>4.2744</v>
      </c>
      <c r="K179" s="33">
        <v>4.5639594094803133</v>
      </c>
      <c r="L179" s="33">
        <v>4.0567798061389349</v>
      </c>
      <c r="M179" s="92">
        <f t="shared" si="9"/>
        <v>2029</v>
      </c>
      <c r="N179" s="3"/>
      <c r="O179" s="3"/>
    </row>
    <row r="180" spans="8:15">
      <c r="H180" s="29">
        <v>47331</v>
      </c>
      <c r="I180" s="33">
        <v>4.8056067346938782</v>
      </c>
      <c r="J180" s="33">
        <v>4.7622999999999998</v>
      </c>
      <c r="K180" s="33">
        <v>4.9872187141370876</v>
      </c>
      <c r="L180" s="33">
        <v>4.5487022617124406</v>
      </c>
      <c r="M180" s="92">
        <f t="shared" si="9"/>
        <v>2029</v>
      </c>
      <c r="N180" s="3"/>
      <c r="O180" s="3"/>
    </row>
    <row r="181" spans="8:15">
      <c r="H181" s="29">
        <v>47362</v>
      </c>
      <c r="I181" s="33">
        <v>4.8577495918367353</v>
      </c>
      <c r="J181" s="33">
        <v>4.8129</v>
      </c>
      <c r="K181" s="33">
        <v>5.0861725349346276</v>
      </c>
      <c r="L181" s="33">
        <v>4.61291873990307</v>
      </c>
      <c r="M181" s="92">
        <f t="shared" si="9"/>
        <v>2029</v>
      </c>
      <c r="N181" s="3"/>
      <c r="O181" s="3"/>
    </row>
    <row r="182" spans="8:15">
      <c r="H182" s="29">
        <v>47392</v>
      </c>
      <c r="I182" s="33">
        <v>5.0270353061224489</v>
      </c>
      <c r="J182" s="33">
        <v>4.9783999999999997</v>
      </c>
      <c r="K182" s="33">
        <v>5.2371146530009955</v>
      </c>
      <c r="L182" s="33">
        <v>4.8511053311793217</v>
      </c>
      <c r="M182" s="92">
        <f t="shared" si="9"/>
        <v>2029</v>
      </c>
      <c r="N182" s="3"/>
      <c r="O182" s="3"/>
    </row>
    <row r="183" spans="8:15">
      <c r="H183" s="29">
        <v>47423</v>
      </c>
      <c r="I183" s="33">
        <v>5.5404026530612249</v>
      </c>
      <c r="J183" s="33">
        <v>5.4995000000000003</v>
      </c>
      <c r="K183" s="33">
        <v>5.853931980756256</v>
      </c>
      <c r="L183" s="33">
        <v>4.5992878836833615</v>
      </c>
      <c r="M183" s="92">
        <f t="shared" si="9"/>
        <v>2029</v>
      </c>
      <c r="N183" s="3"/>
      <c r="O183" s="3"/>
    </row>
    <row r="184" spans="8:15">
      <c r="H184" s="29">
        <v>47453</v>
      </c>
      <c r="I184" s="33">
        <v>5.5856067346938785</v>
      </c>
      <c r="J184" s="33">
        <v>5.5580999999999996</v>
      </c>
      <c r="K184" s="33">
        <v>6.0300915298683604</v>
      </c>
      <c r="L184" s="33">
        <v>4.9519736672051708</v>
      </c>
      <c r="M184" s="92">
        <f t="shared" si="9"/>
        <v>2029</v>
      </c>
      <c r="N184" s="3"/>
      <c r="O184" s="3"/>
    </row>
    <row r="185" spans="8:15">
      <c r="H185" s="29">
        <v>47484</v>
      </c>
      <c r="I185" s="33">
        <v>5.7183618367346938</v>
      </c>
      <c r="J185" s="33">
        <v>5.6867999999999999</v>
      </c>
      <c r="K185" s="33">
        <v>6.482658978204574</v>
      </c>
      <c r="L185" s="33">
        <v>5.3204106623586442</v>
      </c>
      <c r="M185" s="92">
        <f t="shared" si="9"/>
        <v>2030</v>
      </c>
      <c r="N185" s="3"/>
      <c r="O185" s="3"/>
    </row>
    <row r="186" spans="8:15">
      <c r="H186" s="29">
        <v>47515</v>
      </c>
      <c r="I186" s="33">
        <v>5.9073414285714287</v>
      </c>
      <c r="J186" s="33">
        <v>5.8731999999999998</v>
      </c>
      <c r="K186" s="33">
        <v>6.2229246165507472</v>
      </c>
      <c r="L186" s="33">
        <v>5.1365455573505665</v>
      </c>
      <c r="M186" s="92">
        <f t="shared" si="9"/>
        <v>2030</v>
      </c>
      <c r="N186" s="3"/>
      <c r="O186" s="3"/>
    </row>
    <row r="187" spans="8:15">
      <c r="H187" s="29">
        <v>47543</v>
      </c>
      <c r="I187" s="33">
        <v>4.7853006122448987</v>
      </c>
      <c r="J187" s="33">
        <v>4.7602000000000002</v>
      </c>
      <c r="K187" s="33">
        <v>4.9277221468443742</v>
      </c>
      <c r="L187" s="33">
        <v>3.9985205169628437</v>
      </c>
      <c r="M187" s="92">
        <f t="shared" si="9"/>
        <v>2030</v>
      </c>
      <c r="N187" s="3"/>
      <c r="O187" s="3"/>
    </row>
    <row r="188" spans="8:15">
      <c r="H188" s="29">
        <v>47574</v>
      </c>
      <c r="I188" s="33">
        <v>4.4209128571428575</v>
      </c>
      <c r="J188" s="33">
        <v>4.3798000000000004</v>
      </c>
      <c r="K188" s="33">
        <v>4.544800375626262</v>
      </c>
      <c r="L188" s="33">
        <v>4.2967838449111477</v>
      </c>
      <c r="M188" s="92">
        <f t="shared" si="9"/>
        <v>2030</v>
      </c>
      <c r="N188" s="3"/>
      <c r="O188" s="3"/>
    </row>
    <row r="189" spans="8:15">
      <c r="H189" s="29">
        <v>47604</v>
      </c>
      <c r="I189" s="33">
        <v>4.373667959183674</v>
      </c>
      <c r="J189" s="33">
        <v>4.3330000000000002</v>
      </c>
      <c r="K189" s="33">
        <v>4.4961778545750377</v>
      </c>
      <c r="L189" s="33">
        <v>4.2222684975767377</v>
      </c>
      <c r="M189" s="92">
        <f t="shared" si="9"/>
        <v>2030</v>
      </c>
      <c r="N189" s="3"/>
      <c r="O189" s="3"/>
    </row>
    <row r="190" spans="8:15">
      <c r="H190" s="29">
        <v>47635</v>
      </c>
      <c r="I190" s="33">
        <v>4.2984638775510211</v>
      </c>
      <c r="J190" s="33">
        <v>4.2605000000000004</v>
      </c>
      <c r="K190" s="33">
        <v>4.5163725118806584</v>
      </c>
      <c r="L190" s="33">
        <v>4.1503783521809376</v>
      </c>
      <c r="M190" s="92">
        <f t="shared" si="9"/>
        <v>2030</v>
      </c>
      <c r="N190" s="3"/>
      <c r="O190" s="3"/>
    </row>
    <row r="191" spans="8:15">
      <c r="H191" s="29">
        <v>47665</v>
      </c>
      <c r="I191" s="33">
        <v>4.4431577551020416</v>
      </c>
      <c r="J191" s="33">
        <v>4.4063999999999997</v>
      </c>
      <c r="K191" s="33">
        <v>4.753219595254782</v>
      </c>
      <c r="L191" s="33">
        <v>4.1900592891760908</v>
      </c>
      <c r="M191" s="92">
        <f t="shared" si="9"/>
        <v>2030</v>
      </c>
      <c r="N191" s="3"/>
      <c r="O191" s="3"/>
    </row>
    <row r="192" spans="8:15">
      <c r="H192" s="29">
        <v>47696</v>
      </c>
      <c r="I192" s="33">
        <v>4.9514230612244905</v>
      </c>
      <c r="J192" s="33">
        <v>4.9051</v>
      </c>
      <c r="K192" s="33">
        <v>5.1760128693583498</v>
      </c>
      <c r="L192" s="33">
        <v>4.6929873990306961</v>
      </c>
      <c r="M192" s="92">
        <f t="shared" si="9"/>
        <v>2030</v>
      </c>
      <c r="N192" s="3"/>
      <c r="O192" s="3"/>
    </row>
    <row r="193" spans="8:15">
      <c r="H193" s="29">
        <v>47727</v>
      </c>
      <c r="I193" s="33">
        <v>5.0104026530612256</v>
      </c>
      <c r="J193" s="33">
        <v>4.9625000000000004</v>
      </c>
      <c r="K193" s="33">
        <v>5.2722740691818064</v>
      </c>
      <c r="L193" s="33">
        <v>4.7639688206785147</v>
      </c>
      <c r="M193" s="92">
        <f t="shared" si="9"/>
        <v>2030</v>
      </c>
      <c r="N193" s="3"/>
      <c r="O193" s="3"/>
    </row>
    <row r="194" spans="8:15">
      <c r="H194" s="29">
        <v>47757</v>
      </c>
      <c r="I194" s="33">
        <v>5.1793822448979592</v>
      </c>
      <c r="J194" s="33">
        <v>5.1277999999999997</v>
      </c>
      <c r="K194" s="33">
        <v>5.4159668230871834</v>
      </c>
      <c r="L194" s="33">
        <v>5.0018525040387729</v>
      </c>
      <c r="M194" s="92">
        <f t="shared" si="9"/>
        <v>2030</v>
      </c>
      <c r="N194" s="3"/>
      <c r="O194" s="3"/>
    </row>
    <row r="195" spans="8:15">
      <c r="H195" s="29">
        <v>47788</v>
      </c>
      <c r="I195" s="33">
        <v>5.7098924489795921</v>
      </c>
      <c r="J195" s="33">
        <v>5.6654999999999998</v>
      </c>
      <c r="K195" s="33">
        <v>6.0352178659536344</v>
      </c>
      <c r="L195" s="33">
        <v>4.7669978998384499</v>
      </c>
      <c r="M195" s="92">
        <f t="shared" si="9"/>
        <v>2030</v>
      </c>
      <c r="N195" s="3"/>
      <c r="O195" s="3"/>
    </row>
    <row r="196" spans="8:15">
      <c r="H196" s="29">
        <v>47818</v>
      </c>
      <c r="I196" s="33">
        <v>5.7639740816326528</v>
      </c>
      <c r="J196" s="33">
        <v>5.7328000000000001</v>
      </c>
      <c r="K196" s="33">
        <v>6.2336433192745</v>
      </c>
      <c r="L196" s="33">
        <v>5.1284680129240714</v>
      </c>
      <c r="M196" s="92">
        <f t="shared" si="9"/>
        <v>2030</v>
      </c>
      <c r="N196" s="3"/>
      <c r="O196" s="3"/>
    </row>
    <row r="197" spans="8:15">
      <c r="H197" s="29">
        <v>47849</v>
      </c>
      <c r="I197" s="33">
        <v>5.6937700000000007</v>
      </c>
      <c r="J197" s="33">
        <v>5.6627999999999998</v>
      </c>
      <c r="K197" s="33">
        <v>6.4585289517829869</v>
      </c>
      <c r="L197" s="33">
        <v>5.2960770597738298</v>
      </c>
      <c r="M197" s="92">
        <f t="shared" si="9"/>
        <v>2031</v>
      </c>
      <c r="N197" s="3"/>
      <c r="O197" s="3"/>
    </row>
    <row r="198" spans="8:15">
      <c r="H198" s="29">
        <v>47880</v>
      </c>
      <c r="I198" s="33">
        <v>6.0005046938775513</v>
      </c>
      <c r="J198" s="33">
        <v>5.9645000000000001</v>
      </c>
      <c r="K198" s="33">
        <v>6.3255031194287836</v>
      </c>
      <c r="L198" s="33">
        <v>5.2287305331179335</v>
      </c>
      <c r="M198" s="92">
        <f t="shared" si="9"/>
        <v>2031</v>
      </c>
      <c r="N198" s="3"/>
      <c r="O198" s="3"/>
    </row>
    <row r="199" spans="8:15">
      <c r="H199" s="29">
        <v>47908</v>
      </c>
      <c r="I199" s="33">
        <v>4.9084638775510214</v>
      </c>
      <c r="J199" s="33">
        <v>4.8808999999999996</v>
      </c>
      <c r="K199" s="33">
        <v>5.056812610082611</v>
      </c>
      <c r="L199" s="33">
        <v>4.1203904684975772</v>
      </c>
      <c r="M199" s="92">
        <f t="shared" si="9"/>
        <v>2031</v>
      </c>
      <c r="N199" s="3"/>
      <c r="O199" s="3"/>
    </row>
    <row r="200" spans="8:15">
      <c r="H200" s="29">
        <v>47939</v>
      </c>
      <c r="I200" s="33">
        <v>4.4976475510204086</v>
      </c>
      <c r="J200" s="33">
        <v>4.4550000000000001</v>
      </c>
      <c r="K200" s="33">
        <v>4.6372815498514885</v>
      </c>
      <c r="L200" s="33">
        <v>4.3727127625201945</v>
      </c>
      <c r="M200" s="92">
        <f t="shared" si="9"/>
        <v>2031</v>
      </c>
      <c r="N200" s="3"/>
      <c r="O200" s="3"/>
    </row>
    <row r="201" spans="8:15">
      <c r="H201" s="29">
        <v>47969</v>
      </c>
      <c r="I201" s="33">
        <v>4.4427495918367352</v>
      </c>
      <c r="J201" s="33">
        <v>4.4006999999999996</v>
      </c>
      <c r="K201" s="33">
        <v>4.5825488504359999</v>
      </c>
      <c r="L201" s="33">
        <v>4.2906247172859464</v>
      </c>
      <c r="M201" s="92">
        <f t="shared" si="9"/>
        <v>2031</v>
      </c>
      <c r="N201" s="3"/>
      <c r="O201" s="3"/>
    </row>
    <row r="202" spans="8:15">
      <c r="H202" s="29">
        <v>48000</v>
      </c>
      <c r="I202" s="33">
        <v>4.3806067346938775</v>
      </c>
      <c r="J202" s="33">
        <v>4.3409000000000004</v>
      </c>
      <c r="K202" s="33">
        <v>4.6105106836283971</v>
      </c>
      <c r="L202" s="33">
        <v>4.2316586429725378</v>
      </c>
      <c r="M202" s="92">
        <f t="shared" si="9"/>
        <v>2031</v>
      </c>
      <c r="N202" s="3"/>
      <c r="O202" s="3"/>
    </row>
    <row r="203" spans="8:15">
      <c r="H203" s="29">
        <v>48030</v>
      </c>
      <c r="I203" s="33">
        <v>4.4815251020408171</v>
      </c>
      <c r="J203" s="33">
        <v>4.444</v>
      </c>
      <c r="K203" s="33">
        <v>4.7753301559458077</v>
      </c>
      <c r="L203" s="33">
        <v>4.2280237479806146</v>
      </c>
      <c r="M203" s="92">
        <f t="shared" si="9"/>
        <v>2031</v>
      </c>
      <c r="N203" s="3"/>
      <c r="O203" s="3"/>
    </row>
    <row r="204" spans="8:15">
      <c r="H204" s="29">
        <v>48061</v>
      </c>
      <c r="I204" s="33">
        <v>5.0431577551020412</v>
      </c>
      <c r="J204" s="33">
        <v>4.9950000000000001</v>
      </c>
      <c r="K204" s="33">
        <v>5.3028249610031306</v>
      </c>
      <c r="L204" s="33">
        <v>4.7837588045234254</v>
      </c>
      <c r="M204" s="92">
        <f t="shared" si="9"/>
        <v>2031</v>
      </c>
      <c r="N204" s="3"/>
      <c r="O204" s="3"/>
    </row>
    <row r="205" spans="8:15">
      <c r="H205" s="29">
        <v>48092</v>
      </c>
      <c r="I205" s="33">
        <v>5.168974081632653</v>
      </c>
      <c r="J205" s="33">
        <v>5.1178999999999997</v>
      </c>
      <c r="K205" s="33">
        <v>5.4769650443846745</v>
      </c>
      <c r="L205" s="33">
        <v>4.9208751211631672</v>
      </c>
      <c r="M205" s="92">
        <f t="shared" si="9"/>
        <v>2031</v>
      </c>
      <c r="N205" s="3"/>
      <c r="O205" s="3"/>
    </row>
    <row r="206" spans="8:15">
      <c r="H206" s="29">
        <v>48122</v>
      </c>
      <c r="I206" s="33">
        <v>5.4266271428571429</v>
      </c>
      <c r="J206" s="33">
        <v>5.37</v>
      </c>
      <c r="K206" s="33">
        <v>5.6441664506406957</v>
      </c>
      <c r="L206" s="33">
        <v>5.2465011308562204</v>
      </c>
      <c r="M206" s="92">
        <f t="shared" si="9"/>
        <v>2031</v>
      </c>
      <c r="N206" s="3"/>
      <c r="O206" s="3"/>
    </row>
    <row r="207" spans="8:15">
      <c r="H207" s="29">
        <v>48153</v>
      </c>
      <c r="I207" s="33">
        <v>5.9845863265306125</v>
      </c>
      <c r="J207" s="33">
        <v>5.9348000000000001</v>
      </c>
      <c r="K207" s="33">
        <v>6.2886349245528814</v>
      </c>
      <c r="L207" s="33">
        <v>5.0388072697899844</v>
      </c>
      <c r="M207" s="92">
        <f t="shared" si="9"/>
        <v>2031</v>
      </c>
      <c r="N207" s="3"/>
      <c r="O207" s="3"/>
    </row>
    <row r="208" spans="8:15">
      <c r="H208" s="29">
        <v>48183</v>
      </c>
      <c r="I208" s="33">
        <v>6.0406067346938777</v>
      </c>
      <c r="J208" s="33">
        <v>6.0038999999999998</v>
      </c>
      <c r="K208" s="33">
        <v>6.5022322614392527</v>
      </c>
      <c r="L208" s="33">
        <v>5.4021957996768997</v>
      </c>
      <c r="M208" s="92">
        <f t="shared" si="9"/>
        <v>2031</v>
      </c>
      <c r="N208" s="3"/>
      <c r="O208" s="3"/>
    </row>
    <row r="209" spans="8:15">
      <c r="H209" s="29">
        <v>48214</v>
      </c>
      <c r="I209" s="33">
        <v>6.0536679591836737</v>
      </c>
      <c r="J209" s="33">
        <v>6.0153999999999996</v>
      </c>
      <c r="K209" s="33">
        <v>6.8181491953407667</v>
      </c>
      <c r="L209" s="33">
        <v>5.6521957996768988</v>
      </c>
      <c r="M209" s="92">
        <f t="shared" si="9"/>
        <v>2032</v>
      </c>
      <c r="N209" s="3"/>
      <c r="O209" s="3"/>
    </row>
    <row r="210" spans="8:15">
      <c r="H210" s="29">
        <v>48245</v>
      </c>
      <c r="I210" s="33">
        <v>6.0505046938775511</v>
      </c>
      <c r="J210" s="33">
        <v>6.0134999999999996</v>
      </c>
      <c r="K210" s="33">
        <v>6.2928291995317407</v>
      </c>
      <c r="L210" s="33">
        <v>5.2782054927302102</v>
      </c>
      <c r="M210" s="92">
        <f t="shared" si="9"/>
        <v>2032</v>
      </c>
      <c r="N210" s="3"/>
      <c r="O210" s="3"/>
    </row>
    <row r="211" spans="8:15">
      <c r="H211" s="29">
        <v>48274</v>
      </c>
      <c r="I211" s="33">
        <v>5.1977495918367351</v>
      </c>
      <c r="J211" s="33">
        <v>5.1643999999999997</v>
      </c>
      <c r="K211" s="33">
        <v>5.362891121194207</v>
      </c>
      <c r="L211" s="33">
        <v>4.4066384491114707</v>
      </c>
      <c r="M211" s="92">
        <f t="shared" si="9"/>
        <v>2032</v>
      </c>
      <c r="N211" s="3"/>
      <c r="O211" s="3"/>
    </row>
    <row r="212" spans="8:15">
      <c r="H212" s="29">
        <v>48305</v>
      </c>
      <c r="I212" s="33">
        <v>4.8029536734693883</v>
      </c>
      <c r="J212" s="33">
        <v>4.7542</v>
      </c>
      <c r="K212" s="33">
        <v>4.9982998850688896</v>
      </c>
      <c r="L212" s="33">
        <v>4.674812924071083</v>
      </c>
      <c r="M212" s="92">
        <f t="shared" si="9"/>
        <v>2032</v>
      </c>
      <c r="N212" s="3"/>
      <c r="O212" s="3"/>
    </row>
    <row r="213" spans="8:15">
      <c r="H213" s="29">
        <v>48335</v>
      </c>
      <c r="I213" s="33">
        <v>4.8151985714285717</v>
      </c>
      <c r="J213" s="33">
        <v>4.7657999999999996</v>
      </c>
      <c r="K213" s="33">
        <v>5.0030119717735344</v>
      </c>
      <c r="L213" s="33">
        <v>4.6591626817447507</v>
      </c>
      <c r="M213" s="92">
        <f t="shared" si="9"/>
        <v>2032</v>
      </c>
      <c r="N213" s="3"/>
      <c r="O213" s="3"/>
    </row>
    <row r="214" spans="8:15">
      <c r="H214" s="29">
        <v>48366</v>
      </c>
      <c r="I214" s="33">
        <v>4.8359128571428576</v>
      </c>
      <c r="J214" s="33">
        <v>4.7870999999999997</v>
      </c>
      <c r="K214" s="33">
        <v>5.0044618446057321</v>
      </c>
      <c r="L214" s="33">
        <v>4.6821836833602593</v>
      </c>
      <c r="M214" s="92">
        <f t="shared" si="9"/>
        <v>2032</v>
      </c>
      <c r="N214" s="3"/>
      <c r="O214" s="3"/>
    </row>
    <row r="215" spans="8:15">
      <c r="H215" s="29">
        <v>48396</v>
      </c>
      <c r="I215" s="33">
        <v>5.1397904081632655</v>
      </c>
      <c r="J215" s="33">
        <v>5.0891000000000002</v>
      </c>
      <c r="K215" s="33">
        <v>5.343266056786951</v>
      </c>
      <c r="L215" s="33">
        <v>4.8793767366720528</v>
      </c>
      <c r="M215" s="92">
        <f t="shared" si="9"/>
        <v>2032</v>
      </c>
      <c r="N215" s="3"/>
      <c r="O215" s="3"/>
    </row>
    <row r="216" spans="8:15">
      <c r="H216" s="29">
        <v>48427</v>
      </c>
      <c r="I216" s="33">
        <v>5.6048924489795917</v>
      </c>
      <c r="J216" s="33">
        <v>5.5454999999999997</v>
      </c>
      <c r="K216" s="33">
        <v>5.8145265084240076</v>
      </c>
      <c r="L216" s="33">
        <v>5.3395948303715679</v>
      </c>
      <c r="M216" s="92">
        <f t="shared" si="9"/>
        <v>2032</v>
      </c>
      <c r="N216" s="3"/>
      <c r="O216" s="3"/>
    </row>
    <row r="217" spans="8:15">
      <c r="H217" s="29">
        <v>48458</v>
      </c>
      <c r="I217" s="33">
        <v>5.6584638775510205</v>
      </c>
      <c r="J217" s="33">
        <v>5.5975999999999999</v>
      </c>
      <c r="K217" s="33">
        <v>5.8904377074241081</v>
      </c>
      <c r="L217" s="33">
        <v>5.405224878836834</v>
      </c>
      <c r="M217" s="92">
        <f t="shared" si="9"/>
        <v>2032</v>
      </c>
      <c r="N217" s="3"/>
      <c r="O217" s="3"/>
    </row>
    <row r="218" spans="8:15">
      <c r="H218" s="29">
        <v>48488</v>
      </c>
      <c r="I218" s="33">
        <v>5.7893822448979595</v>
      </c>
      <c r="J218" s="33">
        <v>5.7255000000000003</v>
      </c>
      <c r="K218" s="33">
        <v>6.0374962375470878</v>
      </c>
      <c r="L218" s="33">
        <v>5.6054470113085637</v>
      </c>
      <c r="M218" s="92">
        <f t="shared" si="9"/>
        <v>2032</v>
      </c>
      <c r="N218" s="3"/>
      <c r="O218" s="3"/>
    </row>
    <row r="219" spans="8:15">
      <c r="H219" s="29">
        <v>48519</v>
      </c>
      <c r="I219" s="33">
        <v>6.2908108163265304</v>
      </c>
      <c r="J219" s="33">
        <v>6.2347999999999999</v>
      </c>
      <c r="K219" s="33">
        <v>6.5932635628322798</v>
      </c>
      <c r="L219" s="33">
        <v>5.3418161550888543</v>
      </c>
      <c r="M219" s="92">
        <f t="shared" si="9"/>
        <v>2032</v>
      </c>
      <c r="N219" s="3"/>
      <c r="O219" s="3"/>
    </row>
    <row r="220" spans="8:15">
      <c r="H220" s="29">
        <v>48549</v>
      </c>
      <c r="I220" s="33">
        <v>6.3371373469387757</v>
      </c>
      <c r="J220" s="33">
        <v>6.2946</v>
      </c>
      <c r="K220" s="33">
        <v>6.8126603910474444</v>
      </c>
      <c r="L220" s="33">
        <v>5.695612600969306</v>
      </c>
      <c r="M220" s="92">
        <f t="shared" si="9"/>
        <v>2032</v>
      </c>
      <c r="N220" s="3"/>
      <c r="O220" s="3"/>
    </row>
    <row r="221" spans="8:15">
      <c r="H221" s="29">
        <v>48580</v>
      </c>
      <c r="I221" s="33">
        <v>6.4886679591836742</v>
      </c>
      <c r="J221" s="33">
        <v>6.4417999999999997</v>
      </c>
      <c r="K221" s="33">
        <v>7.2524896709293429</v>
      </c>
      <c r="L221" s="33">
        <v>6.0826279483037169</v>
      </c>
      <c r="M221" s="92">
        <f t="shared" si="9"/>
        <v>2033</v>
      </c>
      <c r="N221" s="3"/>
      <c r="O221" s="3"/>
    </row>
    <row r="222" spans="8:15">
      <c r="H222" s="29">
        <v>48611</v>
      </c>
      <c r="I222" s="33">
        <v>6.626014897959184</v>
      </c>
      <c r="J222" s="33">
        <v>6.5773999999999999</v>
      </c>
      <c r="K222" s="33">
        <v>6.8765583580093299</v>
      </c>
      <c r="L222" s="33">
        <v>5.8476723747980621</v>
      </c>
      <c r="M222" s="92">
        <f t="shared" si="9"/>
        <v>2033</v>
      </c>
      <c r="N222" s="3"/>
      <c r="O222" s="3"/>
    </row>
    <row r="223" spans="8:15">
      <c r="H223" s="29">
        <v>48639</v>
      </c>
      <c r="I223" s="33">
        <v>5.4671373469387756</v>
      </c>
      <c r="J223" s="33">
        <v>5.4283999999999999</v>
      </c>
      <c r="K223" s="33">
        <v>5.6696945687219031</v>
      </c>
      <c r="L223" s="33">
        <v>4.6731974151857845</v>
      </c>
      <c r="M223" s="92">
        <f t="shared" si="9"/>
        <v>2033</v>
      </c>
      <c r="N223" s="3"/>
      <c r="O223" s="3"/>
    </row>
    <row r="224" spans="8:15">
      <c r="H224" s="29">
        <v>48670</v>
      </c>
      <c r="I224" s="33">
        <v>5.0835659183673476</v>
      </c>
      <c r="J224" s="33">
        <v>5.0292000000000003</v>
      </c>
      <c r="K224" s="33">
        <v>5.2818535861088325</v>
      </c>
      <c r="L224" s="33">
        <v>4.9524785137318261</v>
      </c>
      <c r="M224" s="92">
        <f t="shared" ref="M224:M311" si="10">YEAR(H224)</f>
        <v>2033</v>
      </c>
      <c r="N224" s="3"/>
      <c r="O224" s="3"/>
    </row>
    <row r="225" spans="8:15">
      <c r="H225" s="29">
        <v>48700</v>
      </c>
      <c r="I225" s="33">
        <v>5.0910148979591838</v>
      </c>
      <c r="J225" s="33">
        <v>5.0359999999999996</v>
      </c>
      <c r="K225" s="33">
        <v>5.2458656711667651</v>
      </c>
      <c r="L225" s="33">
        <v>4.9320827140549284</v>
      </c>
      <c r="M225" s="92">
        <f t="shared" si="10"/>
        <v>2033</v>
      </c>
      <c r="N225" s="3"/>
      <c r="O225" s="3"/>
    </row>
    <row r="226" spans="8:15">
      <c r="H226" s="29">
        <v>48731</v>
      </c>
      <c r="I226" s="33">
        <v>5.1125455102040815</v>
      </c>
      <c r="J226" s="33">
        <v>5.0582000000000003</v>
      </c>
      <c r="K226" s="33">
        <v>5.2805590567943694</v>
      </c>
      <c r="L226" s="33">
        <v>4.9559114701130866</v>
      </c>
      <c r="M226" s="92">
        <f t="shared" si="10"/>
        <v>2033</v>
      </c>
      <c r="N226" s="3"/>
      <c r="O226" s="3"/>
    </row>
    <row r="227" spans="8:15">
      <c r="H227" s="29">
        <v>48761</v>
      </c>
      <c r="I227" s="33">
        <v>5.2743822448979589</v>
      </c>
      <c r="J227" s="33">
        <v>5.2210999999999999</v>
      </c>
      <c r="K227" s="33">
        <v>5.5029591930190866</v>
      </c>
      <c r="L227" s="33">
        <v>5.0125552504038779</v>
      </c>
      <c r="M227" s="92">
        <f t="shared" si="10"/>
        <v>2033</v>
      </c>
      <c r="N227" s="3"/>
      <c r="O227" s="3"/>
    </row>
    <row r="228" spans="8:15">
      <c r="H228" s="29">
        <v>48792</v>
      </c>
      <c r="I228" s="33">
        <v>5.7832597959183678</v>
      </c>
      <c r="J228" s="33">
        <v>5.7202999999999999</v>
      </c>
      <c r="K228" s="33">
        <v>5.9718377107175327</v>
      </c>
      <c r="L228" s="33">
        <v>5.5160891760904702</v>
      </c>
      <c r="M228" s="92">
        <f t="shared" si="10"/>
        <v>2033</v>
      </c>
      <c r="N228" s="3"/>
      <c r="O228" s="3"/>
    </row>
    <row r="229" spans="8:15">
      <c r="H229" s="29">
        <v>48823</v>
      </c>
      <c r="I229" s="33">
        <v>5.8550965306122453</v>
      </c>
      <c r="J229" s="33">
        <v>5.7903000000000002</v>
      </c>
      <c r="K229" s="33">
        <v>6.1056402606604117</v>
      </c>
      <c r="L229" s="33">
        <v>5.5997927302100168</v>
      </c>
      <c r="M229" s="92">
        <f t="shared" si="10"/>
        <v>2033</v>
      </c>
      <c r="N229" s="3"/>
      <c r="O229" s="3"/>
    </row>
    <row r="230" spans="8:15">
      <c r="H230" s="29">
        <v>48853</v>
      </c>
      <c r="I230" s="33">
        <v>6.0121373469387764</v>
      </c>
      <c r="J230" s="33">
        <v>5.9438000000000004</v>
      </c>
      <c r="K230" s="33">
        <v>6.2502650756722025</v>
      </c>
      <c r="L230" s="33">
        <v>5.8258630048465276</v>
      </c>
      <c r="M230" s="92">
        <f t="shared" si="10"/>
        <v>2033</v>
      </c>
      <c r="N230" s="3"/>
      <c r="O230" s="3"/>
    </row>
    <row r="231" spans="8:15">
      <c r="H231" s="29">
        <v>48884</v>
      </c>
      <c r="I231" s="33">
        <v>6.5273414285714288</v>
      </c>
      <c r="J231" s="33">
        <v>6.4667000000000003</v>
      </c>
      <c r="K231" s="33">
        <v>6.810951612352353</v>
      </c>
      <c r="L231" s="33">
        <v>5.5758630048465276</v>
      </c>
      <c r="M231" s="92">
        <f t="shared" si="10"/>
        <v>2033</v>
      </c>
      <c r="N231" s="3"/>
      <c r="O231" s="3"/>
    </row>
    <row r="232" spans="8:15">
      <c r="H232" s="29">
        <v>48914</v>
      </c>
      <c r="I232" s="33">
        <v>6.5904026530612256</v>
      </c>
      <c r="J232" s="33">
        <v>6.5427999999999997</v>
      </c>
      <c r="K232" s="33">
        <v>7.066284574337006</v>
      </c>
      <c r="L232" s="33">
        <v>5.946218416801293</v>
      </c>
      <c r="M232" s="92">
        <f t="shared" si="10"/>
        <v>2033</v>
      </c>
      <c r="N232" s="3"/>
      <c r="O232" s="3"/>
    </row>
    <row r="233" spans="8:15">
      <c r="H233" s="29">
        <v>48945</v>
      </c>
      <c r="I233" s="33">
        <v>6.4636679591836739</v>
      </c>
      <c r="J233" s="33">
        <v>6.4173</v>
      </c>
      <c r="K233" s="33">
        <v>7.2598943786080703</v>
      </c>
      <c r="L233" s="33">
        <v>6.0578904684975781</v>
      </c>
      <c r="M233" s="92">
        <f t="shared" si="10"/>
        <v>2034</v>
      </c>
      <c r="N233" s="3"/>
      <c r="O233" s="3"/>
    </row>
    <row r="234" spans="8:15">
      <c r="H234" s="29">
        <v>48976</v>
      </c>
      <c r="I234" s="33">
        <v>6.60142306122449</v>
      </c>
      <c r="J234" s="33">
        <v>6.5533999999999999</v>
      </c>
      <c r="K234" s="33">
        <v>6.8396383819608495</v>
      </c>
      <c r="L234" s="33">
        <v>5.8233387722132486</v>
      </c>
      <c r="M234" s="92">
        <f t="shared" si="10"/>
        <v>2034</v>
      </c>
      <c r="N234" s="3"/>
      <c r="O234" s="3"/>
    </row>
    <row r="235" spans="8:15">
      <c r="H235" s="29">
        <v>49004</v>
      </c>
      <c r="I235" s="33">
        <v>5.5991781632653064</v>
      </c>
      <c r="J235" s="33">
        <v>5.5578000000000003</v>
      </c>
      <c r="K235" s="33">
        <v>5.8242095876961884</v>
      </c>
      <c r="L235" s="33">
        <v>4.8038516962843305</v>
      </c>
      <c r="M235" s="92">
        <f t="shared" si="10"/>
        <v>2034</v>
      </c>
      <c r="N235" s="3"/>
      <c r="O235" s="3"/>
    </row>
    <row r="236" spans="8:15">
      <c r="H236" s="29">
        <v>49035</v>
      </c>
      <c r="I236" s="33">
        <v>5.1927495918367352</v>
      </c>
      <c r="J236" s="33">
        <v>5.1360999999999999</v>
      </c>
      <c r="K236" s="33">
        <v>5.3828786538095139</v>
      </c>
      <c r="L236" s="33">
        <v>5.0605156704361889</v>
      </c>
      <c r="M236" s="92">
        <f t="shared" si="10"/>
        <v>2034</v>
      </c>
      <c r="N236" s="3"/>
      <c r="O236" s="3"/>
    </row>
    <row r="237" spans="8:15">
      <c r="H237" s="29">
        <v>49065</v>
      </c>
      <c r="I237" s="33">
        <v>5.1931577551020416</v>
      </c>
      <c r="J237" s="33">
        <v>5.1360999999999999</v>
      </c>
      <c r="K237" s="33">
        <v>5.3506707644656775</v>
      </c>
      <c r="L237" s="33">
        <v>5.0331529886914392</v>
      </c>
      <c r="M237" s="92">
        <f t="shared" si="10"/>
        <v>2034</v>
      </c>
      <c r="N237" s="3"/>
      <c r="O237" s="3"/>
    </row>
    <row r="238" spans="8:15">
      <c r="H238" s="29">
        <v>49096</v>
      </c>
      <c r="I238" s="33">
        <v>5.2085659183673467</v>
      </c>
      <c r="J238" s="33">
        <v>5.1524000000000001</v>
      </c>
      <c r="K238" s="33">
        <v>5.370502953563248</v>
      </c>
      <c r="L238" s="33">
        <v>5.0509235864297262</v>
      </c>
      <c r="M238" s="92">
        <f t="shared" si="10"/>
        <v>2034</v>
      </c>
      <c r="N238" s="3"/>
      <c r="O238" s="3"/>
    </row>
    <row r="239" spans="8:15">
      <c r="H239" s="29">
        <v>49126</v>
      </c>
      <c r="I239" s="33">
        <v>5.3666271428571433</v>
      </c>
      <c r="J239" s="33">
        <v>5.3113999999999999</v>
      </c>
      <c r="K239" s="33">
        <v>5.6226254828480329</v>
      </c>
      <c r="L239" s="33">
        <v>5.1038315024232643</v>
      </c>
      <c r="M239" s="92">
        <f t="shared" si="10"/>
        <v>2034</v>
      </c>
      <c r="N239" s="3"/>
      <c r="O239" s="3"/>
    </row>
    <row r="240" spans="8:15">
      <c r="H240" s="29">
        <v>49157</v>
      </c>
      <c r="I240" s="33">
        <v>5.897341428571429</v>
      </c>
      <c r="J240" s="33">
        <v>5.8320999999999996</v>
      </c>
      <c r="K240" s="33">
        <v>6.1093685050860662</v>
      </c>
      <c r="L240" s="33">
        <v>5.6289728594507284</v>
      </c>
      <c r="M240" s="92">
        <f t="shared" si="10"/>
        <v>2034</v>
      </c>
      <c r="N240" s="3"/>
      <c r="O240" s="3"/>
    </row>
    <row r="241" spans="8:15">
      <c r="H241" s="29">
        <v>49188</v>
      </c>
      <c r="I241" s="33">
        <v>5.9553006122448977</v>
      </c>
      <c r="J241" s="33">
        <v>5.8884999999999996</v>
      </c>
      <c r="K241" s="33">
        <v>6.1697453523126136</v>
      </c>
      <c r="L241" s="33">
        <v>5.6989445880452356</v>
      </c>
      <c r="M241" s="92">
        <f t="shared" si="10"/>
        <v>2034</v>
      </c>
      <c r="N241" s="3"/>
      <c r="O241" s="3"/>
    </row>
    <row r="242" spans="8:15">
      <c r="H242" s="29">
        <v>49218</v>
      </c>
      <c r="I242" s="33">
        <v>6.1110148979591843</v>
      </c>
      <c r="J242" s="33">
        <v>6.0407000000000002</v>
      </c>
      <c r="K242" s="33">
        <v>6.3331667329704038</v>
      </c>
      <c r="L242" s="33">
        <v>5.9237022617124406</v>
      </c>
      <c r="M242" s="92">
        <f t="shared" si="10"/>
        <v>2034</v>
      </c>
      <c r="N242" s="3"/>
      <c r="O242" s="3"/>
    </row>
    <row r="243" spans="8:15">
      <c r="H243" s="29">
        <v>49249</v>
      </c>
      <c r="I243" s="33">
        <v>6.6303006122448984</v>
      </c>
      <c r="J243" s="33">
        <v>6.5674999999999999</v>
      </c>
      <c r="K243" s="33">
        <v>6.9247148485073495</v>
      </c>
      <c r="L243" s="33">
        <v>5.6777410339256882</v>
      </c>
      <c r="M243" s="92">
        <f t="shared" si="10"/>
        <v>2034</v>
      </c>
      <c r="N243" s="3"/>
      <c r="O243" s="3"/>
    </row>
    <row r="244" spans="8:15">
      <c r="H244" s="29">
        <v>49279</v>
      </c>
      <c r="I244" s="33">
        <v>6.699484285714286</v>
      </c>
      <c r="J244" s="33">
        <v>6.6497000000000002</v>
      </c>
      <c r="K244" s="33">
        <v>7.1838796172628108</v>
      </c>
      <c r="L244" s="33">
        <v>6.054154604200324</v>
      </c>
      <c r="M244" s="92">
        <f t="shared" si="10"/>
        <v>2034</v>
      </c>
      <c r="N244" s="3"/>
      <c r="O244" s="3"/>
    </row>
    <row r="245" spans="8:15">
      <c r="H245" s="29">
        <v>49310</v>
      </c>
      <c r="I245" s="33">
        <v>6.7485659183673468</v>
      </c>
      <c r="J245" s="33">
        <v>6.6965000000000003</v>
      </c>
      <c r="K245" s="33">
        <v>7.5510599120170543</v>
      </c>
      <c r="L245" s="33">
        <v>6.3397967689822305</v>
      </c>
      <c r="M245" s="92">
        <f t="shared" si="10"/>
        <v>2035</v>
      </c>
      <c r="N245" s="3"/>
      <c r="O245" s="3"/>
    </row>
    <row r="246" spans="8:15">
      <c r="H246" s="29">
        <v>49341</v>
      </c>
      <c r="I246" s="33">
        <v>7.0440761224489794</v>
      </c>
      <c r="J246" s="33">
        <v>6.9870999999999999</v>
      </c>
      <c r="K246" s="33">
        <v>7.334977078846916</v>
      </c>
      <c r="L246" s="33">
        <v>6.2613436187399039</v>
      </c>
      <c r="M246" s="92">
        <f t="shared" si="10"/>
        <v>2035</v>
      </c>
      <c r="N246" s="3"/>
      <c r="O246" s="3"/>
    </row>
    <row r="247" spans="8:15">
      <c r="H247" s="29">
        <v>49369</v>
      </c>
      <c r="I247" s="33">
        <v>5.7337700000000007</v>
      </c>
      <c r="J247" s="33">
        <v>5.6897000000000002</v>
      </c>
      <c r="K247" s="33">
        <v>5.9353319840496805</v>
      </c>
      <c r="L247" s="33">
        <v>4.9370302100161565</v>
      </c>
      <c r="M247" s="92">
        <f t="shared" si="10"/>
        <v>2035</v>
      </c>
      <c r="N247" s="3"/>
      <c r="O247" s="3"/>
    </row>
    <row r="248" spans="8:15">
      <c r="H248" s="29">
        <v>49400</v>
      </c>
      <c r="I248" s="33">
        <v>5.2811169387755106</v>
      </c>
      <c r="J248" s="33">
        <v>5.2226999999999997</v>
      </c>
      <c r="K248" s="33">
        <v>5.4744795481009048</v>
      </c>
      <c r="L248" s="33">
        <v>5.1479550888529895</v>
      </c>
      <c r="M248" s="92">
        <f t="shared" si="10"/>
        <v>2035</v>
      </c>
      <c r="N248" s="3"/>
      <c r="O248" s="3"/>
    </row>
    <row r="249" spans="8:15">
      <c r="H249" s="29">
        <v>49430</v>
      </c>
      <c r="I249" s="33">
        <v>5.2760148979591843</v>
      </c>
      <c r="J249" s="33">
        <v>5.2172999999999998</v>
      </c>
      <c r="K249" s="33">
        <v>5.4339866711445062</v>
      </c>
      <c r="L249" s="33">
        <v>5.1151400646203564</v>
      </c>
      <c r="M249" s="92">
        <f t="shared" si="10"/>
        <v>2035</v>
      </c>
      <c r="N249" s="3"/>
      <c r="O249" s="3"/>
    </row>
    <row r="250" spans="8:15">
      <c r="H250" s="29">
        <v>49461</v>
      </c>
      <c r="I250" s="33">
        <v>5.3025455102040819</v>
      </c>
      <c r="J250" s="33">
        <v>5.2443999999999997</v>
      </c>
      <c r="K250" s="33">
        <v>5.5004219155627414</v>
      </c>
      <c r="L250" s="33">
        <v>5.1439163166397419</v>
      </c>
      <c r="M250" s="92">
        <f t="shared" si="10"/>
        <v>2035</v>
      </c>
      <c r="N250" s="3"/>
      <c r="O250" s="3"/>
    </row>
    <row r="251" spans="8:15">
      <c r="H251" s="29">
        <v>49491</v>
      </c>
      <c r="I251" s="33">
        <v>5.3962189795918372</v>
      </c>
      <c r="J251" s="33">
        <v>5.3403999999999998</v>
      </c>
      <c r="K251" s="33">
        <v>5.6697463498944813</v>
      </c>
      <c r="L251" s="33">
        <v>5.133112600969306</v>
      </c>
      <c r="M251" s="92">
        <f t="shared" si="10"/>
        <v>2035</v>
      </c>
      <c r="N251" s="3"/>
      <c r="O251" s="3"/>
    </row>
    <row r="252" spans="8:15">
      <c r="H252" s="29">
        <v>49522</v>
      </c>
      <c r="I252" s="33">
        <v>5.8622393877551024</v>
      </c>
      <c r="J252" s="33">
        <v>5.7976999999999999</v>
      </c>
      <c r="K252" s="33">
        <v>6.0707915315150736</v>
      </c>
      <c r="L252" s="33">
        <v>5.5942394184168025</v>
      </c>
      <c r="M252" s="92">
        <f t="shared" si="10"/>
        <v>2035</v>
      </c>
      <c r="N252" s="3"/>
      <c r="O252" s="3"/>
    </row>
    <row r="253" spans="8:15">
      <c r="H253" s="29">
        <v>49553</v>
      </c>
      <c r="I253" s="33">
        <v>5.9279536734693883</v>
      </c>
      <c r="J253" s="33">
        <v>5.8616999999999999</v>
      </c>
      <c r="K253" s="33">
        <v>6.1221066735403804</v>
      </c>
      <c r="L253" s="33">
        <v>5.6718848142164786</v>
      </c>
      <c r="M253" s="92">
        <f t="shared" si="10"/>
        <v>2035</v>
      </c>
      <c r="N253" s="3"/>
      <c r="O253" s="3"/>
    </row>
    <row r="254" spans="8:15">
      <c r="H254" s="29">
        <v>49583</v>
      </c>
      <c r="I254" s="33">
        <v>6.1010148979591836</v>
      </c>
      <c r="J254" s="33">
        <v>6.0309999999999997</v>
      </c>
      <c r="K254" s="33">
        <v>6.3166485389178577</v>
      </c>
      <c r="L254" s="33">
        <v>5.9138072697899844</v>
      </c>
      <c r="M254" s="92">
        <f t="shared" si="10"/>
        <v>2035</v>
      </c>
      <c r="N254" s="3"/>
      <c r="O254" s="3"/>
    </row>
    <row r="255" spans="8:15">
      <c r="H255" s="29">
        <v>49614</v>
      </c>
      <c r="I255" s="33">
        <v>6.6440761224489799</v>
      </c>
      <c r="J255" s="33">
        <v>6.5810000000000004</v>
      </c>
      <c r="K255" s="33">
        <v>6.9187082324882399</v>
      </c>
      <c r="L255" s="33">
        <v>5.6913718901453967</v>
      </c>
      <c r="M255" s="92">
        <f t="shared" si="10"/>
        <v>2035</v>
      </c>
      <c r="N255" s="3"/>
      <c r="O255" s="3"/>
    </row>
    <row r="256" spans="8:15">
      <c r="H256" s="29">
        <v>49644</v>
      </c>
      <c r="I256" s="33">
        <v>6.6931577551020416</v>
      </c>
      <c r="J256" s="33">
        <v>6.6433999999999997</v>
      </c>
      <c r="K256" s="33">
        <v>7.1492897939803637</v>
      </c>
      <c r="L256" s="33">
        <v>6.0478945072697918</v>
      </c>
      <c r="M256" s="92">
        <f t="shared" si="10"/>
        <v>2035</v>
      </c>
      <c r="N256" s="3"/>
      <c r="O256" s="3"/>
    </row>
    <row r="257" spans="8:15">
      <c r="H257" s="29">
        <v>49675</v>
      </c>
      <c r="I257" s="33">
        <v>6.5663210204081643</v>
      </c>
      <c r="J257" s="33">
        <v>6.5179</v>
      </c>
      <c r="K257" s="33">
        <v>7.3636120672828334</v>
      </c>
      <c r="L257" s="33">
        <v>6.1594655896607442</v>
      </c>
      <c r="M257" s="92">
        <f t="shared" si="10"/>
        <v>2036</v>
      </c>
      <c r="N257" s="3"/>
      <c r="O257" s="3"/>
    </row>
    <row r="258" spans="8:15">
      <c r="H258" s="29">
        <v>49706</v>
      </c>
      <c r="I258" s="33">
        <v>6.3207087755102043</v>
      </c>
      <c r="J258" s="33">
        <v>6.2782999999999998</v>
      </c>
      <c r="K258" s="33">
        <v>6.6010825198916363</v>
      </c>
      <c r="L258" s="33">
        <v>5.5455722132471736</v>
      </c>
      <c r="M258" s="92">
        <f t="shared" si="10"/>
        <v>2036</v>
      </c>
      <c r="N258" s="3"/>
      <c r="O258" s="3"/>
    </row>
    <row r="259" spans="8:15">
      <c r="H259" s="29">
        <v>49735</v>
      </c>
      <c r="I259" s="33">
        <v>5.6592802040816332</v>
      </c>
      <c r="J259" s="33">
        <v>5.6166999999999998</v>
      </c>
      <c r="K259" s="33">
        <v>5.8492198940516111</v>
      </c>
      <c r="L259" s="33">
        <v>4.8633226171243953</v>
      </c>
      <c r="M259" s="92">
        <f t="shared" si="10"/>
        <v>2036</v>
      </c>
      <c r="N259" s="3"/>
      <c r="O259" s="3"/>
    </row>
    <row r="260" spans="8:15">
      <c r="H260" s="29">
        <v>49766</v>
      </c>
      <c r="I260" s="33">
        <v>5.2730557142857144</v>
      </c>
      <c r="J260" s="33">
        <v>5.2148000000000003</v>
      </c>
      <c r="K260" s="33">
        <v>5.4766025761766235</v>
      </c>
      <c r="L260" s="33">
        <v>5.1399785137318261</v>
      </c>
      <c r="M260" s="92">
        <f t="shared" si="10"/>
        <v>2036</v>
      </c>
      <c r="N260" s="3"/>
      <c r="O260" s="3"/>
    </row>
    <row r="261" spans="8:15">
      <c r="H261" s="29">
        <v>49796</v>
      </c>
      <c r="I261" s="33">
        <v>5.2797904081632652</v>
      </c>
      <c r="J261" s="33">
        <v>5.2210999999999999</v>
      </c>
      <c r="K261" s="33">
        <v>5.4491067735374337</v>
      </c>
      <c r="L261" s="33">
        <v>5.1188759289176096</v>
      </c>
      <c r="M261" s="92">
        <f t="shared" si="10"/>
        <v>2036</v>
      </c>
      <c r="N261" s="3"/>
      <c r="O261" s="3"/>
    </row>
    <row r="262" spans="8:15">
      <c r="H262" s="29">
        <v>49827</v>
      </c>
      <c r="I262" s="33">
        <v>5.3024434693877556</v>
      </c>
      <c r="J262" s="33">
        <v>5.2443999999999997</v>
      </c>
      <c r="K262" s="33">
        <v>5.5061696257189556</v>
      </c>
      <c r="L262" s="33">
        <v>5.143815347334411</v>
      </c>
      <c r="M262" s="92">
        <f t="shared" si="10"/>
        <v>2036</v>
      </c>
      <c r="N262" s="3"/>
      <c r="O262" s="3"/>
    </row>
    <row r="263" spans="8:15">
      <c r="H263" s="29">
        <v>49857</v>
      </c>
      <c r="I263" s="33">
        <v>5.3601985714285716</v>
      </c>
      <c r="J263" s="33">
        <v>5.3051000000000004</v>
      </c>
      <c r="K263" s="33">
        <v>5.6800508032376058</v>
      </c>
      <c r="L263" s="33">
        <v>5.0974704361874004</v>
      </c>
      <c r="M263" s="92">
        <f t="shared" si="10"/>
        <v>2036</v>
      </c>
      <c r="N263" s="3"/>
      <c r="O263" s="3"/>
    </row>
    <row r="264" spans="8:15">
      <c r="H264" s="29">
        <v>49888</v>
      </c>
      <c r="I264" s="33">
        <v>5.8836679591836738</v>
      </c>
      <c r="J264" s="33">
        <v>5.8186999999999998</v>
      </c>
      <c r="K264" s="33">
        <v>6.140385427460596</v>
      </c>
      <c r="L264" s="33">
        <v>5.6154429725363499</v>
      </c>
      <c r="M264" s="92">
        <f t="shared" si="10"/>
        <v>2036</v>
      </c>
      <c r="N264" s="3"/>
      <c r="O264" s="3"/>
    </row>
    <row r="265" spans="8:15">
      <c r="H265" s="29">
        <v>49919</v>
      </c>
      <c r="I265" s="33">
        <v>5.9143822448979595</v>
      </c>
      <c r="J265" s="33">
        <v>5.8483999999999998</v>
      </c>
      <c r="K265" s="33">
        <v>6.2170733440493748</v>
      </c>
      <c r="L265" s="33">
        <v>5.6584558966074328</v>
      </c>
      <c r="M265" s="92">
        <f t="shared" si="10"/>
        <v>2036</v>
      </c>
      <c r="N265" s="3"/>
      <c r="O265" s="3"/>
    </row>
    <row r="266" spans="8:15">
      <c r="H266" s="29">
        <v>49949</v>
      </c>
      <c r="I266" s="33">
        <v>6.1611169387755105</v>
      </c>
      <c r="J266" s="33">
        <v>6.0898000000000003</v>
      </c>
      <c r="K266" s="33">
        <v>6.3939060484050003</v>
      </c>
      <c r="L266" s="33">
        <v>5.9732781906300501</v>
      </c>
      <c r="M266" s="92">
        <f t="shared" si="10"/>
        <v>2036</v>
      </c>
      <c r="N266" s="3"/>
      <c r="O266" s="3"/>
    </row>
    <row r="267" spans="8:15">
      <c r="H267" s="29">
        <v>49980</v>
      </c>
      <c r="I267" s="33">
        <v>6.6917291836734698</v>
      </c>
      <c r="J267" s="33">
        <v>6.6276999999999999</v>
      </c>
      <c r="K267" s="33">
        <v>6.9934284645190372</v>
      </c>
      <c r="L267" s="33">
        <v>5.7385245557350579</v>
      </c>
      <c r="M267" s="92">
        <f t="shared" si="10"/>
        <v>2036</v>
      </c>
      <c r="N267" s="3"/>
      <c r="O267" s="3"/>
    </row>
    <row r="268" spans="8:15">
      <c r="H268" s="29">
        <v>50010</v>
      </c>
      <c r="I268" s="33">
        <v>6.7570353061224493</v>
      </c>
      <c r="J268" s="33">
        <v>6.7060000000000004</v>
      </c>
      <c r="K268" s="33">
        <v>7.2232333084224827</v>
      </c>
      <c r="L268" s="33">
        <v>6.1111012924071098</v>
      </c>
      <c r="M268" s="92">
        <f t="shared" si="10"/>
        <v>2036</v>
      </c>
      <c r="N268" s="3"/>
      <c r="O268" s="3"/>
    </row>
    <row r="269" spans="8:15">
      <c r="H269" s="29">
        <v>50041</v>
      </c>
      <c r="I269" s="33">
        <v>6.7926475510204085</v>
      </c>
      <c r="J269" s="33">
        <v>6.7397</v>
      </c>
      <c r="K269" s="33">
        <v>7.5848730177108239</v>
      </c>
      <c r="L269" s="33">
        <v>6.3834155088853004</v>
      </c>
      <c r="M269" s="92">
        <f t="shared" si="10"/>
        <v>2037</v>
      </c>
      <c r="N269" s="3"/>
      <c r="O269" s="3"/>
    </row>
    <row r="270" spans="8:15">
      <c r="H270" s="29">
        <v>50072</v>
      </c>
      <c r="I270" s="33">
        <v>6.8436679591836738</v>
      </c>
      <c r="J270" s="33">
        <v>6.7907999999999999</v>
      </c>
      <c r="K270" s="33">
        <v>7.1256775792845612</v>
      </c>
      <c r="L270" s="33">
        <v>6.0630399030694679</v>
      </c>
      <c r="M270" s="92">
        <f t="shared" si="10"/>
        <v>2037</v>
      </c>
      <c r="N270" s="3"/>
      <c r="O270" s="3"/>
    </row>
    <row r="271" spans="8:15">
      <c r="H271" s="29">
        <v>50100</v>
      </c>
      <c r="I271" s="33">
        <v>5.9057087755102042</v>
      </c>
      <c r="J271" s="33">
        <v>5.8582000000000001</v>
      </c>
      <c r="K271" s="33">
        <v>6.0754000558745611</v>
      </c>
      <c r="L271" s="33">
        <v>5.1071634894991931</v>
      </c>
      <c r="M271" s="92">
        <f t="shared" si="10"/>
        <v>2037</v>
      </c>
      <c r="N271" s="3"/>
      <c r="O271" s="3"/>
    </row>
    <row r="272" spans="8:15">
      <c r="H272" s="29">
        <v>50131</v>
      </c>
      <c r="I272" s="33">
        <v>5.5308108163265315</v>
      </c>
      <c r="J272" s="33">
        <v>5.4675000000000002</v>
      </c>
      <c r="K272" s="33">
        <v>5.7006597099238538</v>
      </c>
      <c r="L272" s="33">
        <v>5.3950269789983851</v>
      </c>
      <c r="M272" s="92">
        <f t="shared" si="10"/>
        <v>2037</v>
      </c>
      <c r="N272" s="3"/>
      <c r="O272" s="3"/>
    </row>
    <row r="273" spans="8:15">
      <c r="H273" s="29">
        <v>50161</v>
      </c>
      <c r="I273" s="33">
        <v>5.5353006122448978</v>
      </c>
      <c r="J273" s="33">
        <v>5.4714</v>
      </c>
      <c r="K273" s="33">
        <v>5.6841932970438878</v>
      </c>
      <c r="L273" s="33">
        <v>5.371703069466883</v>
      </c>
      <c r="M273" s="92">
        <f t="shared" si="10"/>
        <v>2037</v>
      </c>
      <c r="N273" s="3"/>
      <c r="O273" s="3"/>
    </row>
    <row r="274" spans="8:15">
      <c r="H274" s="29">
        <v>50192</v>
      </c>
      <c r="I274" s="33">
        <v>5.4803006122448981</v>
      </c>
      <c r="J274" s="33">
        <v>5.4187000000000003</v>
      </c>
      <c r="K274" s="33">
        <v>5.7509910096701704</v>
      </c>
      <c r="L274" s="33">
        <v>5.3198048465266563</v>
      </c>
      <c r="M274" s="92">
        <f t="shared" si="10"/>
        <v>2037</v>
      </c>
      <c r="N274" s="3"/>
      <c r="O274" s="3"/>
    </row>
    <row r="275" spans="8:15">
      <c r="H275" s="29">
        <v>50222</v>
      </c>
      <c r="I275" s="33">
        <v>5.6077495918367353</v>
      </c>
      <c r="J275" s="33">
        <v>5.5477999999999996</v>
      </c>
      <c r="K275" s="33">
        <v>5.9496235876813497</v>
      </c>
      <c r="L275" s="33">
        <v>5.3424219709208405</v>
      </c>
      <c r="M275" s="92">
        <f t="shared" si="10"/>
        <v>2037</v>
      </c>
      <c r="N275" s="3"/>
      <c r="O275" s="3"/>
    </row>
    <row r="276" spans="8:15">
      <c r="H276" s="29">
        <v>50253</v>
      </c>
      <c r="I276" s="33">
        <v>6.028872040816327</v>
      </c>
      <c r="J276" s="33">
        <v>5.9610000000000003</v>
      </c>
      <c r="K276" s="33">
        <v>6.3255549006013627</v>
      </c>
      <c r="L276" s="33">
        <v>5.7591222940226183</v>
      </c>
      <c r="M276" s="92">
        <f t="shared" si="10"/>
        <v>2037</v>
      </c>
      <c r="N276" s="3"/>
      <c r="O276" s="3"/>
    </row>
    <row r="277" spans="8:15">
      <c r="H277" s="29">
        <v>50284</v>
      </c>
      <c r="I277" s="33">
        <v>6.10142306122449</v>
      </c>
      <c r="J277" s="33">
        <v>6.0316999999999998</v>
      </c>
      <c r="K277" s="33">
        <v>6.3753683886218919</v>
      </c>
      <c r="L277" s="33">
        <v>5.8435326332794846</v>
      </c>
      <c r="M277" s="92">
        <f t="shared" si="10"/>
        <v>2037</v>
      </c>
      <c r="N277" s="3"/>
      <c r="O277" s="3"/>
    </row>
    <row r="278" spans="8:15">
      <c r="H278" s="29">
        <v>50314</v>
      </c>
      <c r="I278" s="33">
        <v>6.3365251020408166</v>
      </c>
      <c r="J278" s="33">
        <v>6.2617000000000003</v>
      </c>
      <c r="K278" s="33">
        <v>6.5321099980170549</v>
      </c>
      <c r="L278" s="33">
        <v>6.1468444264943471</v>
      </c>
      <c r="M278" s="92">
        <f t="shared" si="10"/>
        <v>2037</v>
      </c>
      <c r="N278" s="3"/>
      <c r="O278" s="3"/>
    </row>
    <row r="279" spans="8:15">
      <c r="H279" s="29">
        <v>50345</v>
      </c>
      <c r="I279" s="33">
        <v>6.8815251020408166</v>
      </c>
      <c r="J279" s="33">
        <v>6.8136999999999999</v>
      </c>
      <c r="K279" s="33">
        <v>7.1569534075219838</v>
      </c>
      <c r="L279" s="33">
        <v>5.9263274636510515</v>
      </c>
      <c r="M279" s="92">
        <f t="shared" si="10"/>
        <v>2037</v>
      </c>
      <c r="N279" s="3"/>
      <c r="O279" s="3"/>
    </row>
    <row r="280" spans="8:15">
      <c r="H280" s="29">
        <v>50375</v>
      </c>
      <c r="I280" s="33">
        <v>7.0055046938775511</v>
      </c>
      <c r="J280" s="33">
        <v>6.9494999999999996</v>
      </c>
      <c r="K280" s="33">
        <v>7.4988127088853345</v>
      </c>
      <c r="L280" s="33">
        <v>6.3569615508885313</v>
      </c>
      <c r="M280" s="92">
        <f t="shared" si="10"/>
        <v>2037</v>
      </c>
      <c r="N280" s="3"/>
      <c r="O280" s="3"/>
    </row>
    <row r="281" spans="8:15">
      <c r="H281" s="29">
        <v>50406</v>
      </c>
      <c r="I281" s="33">
        <v>7.0110148979591838</v>
      </c>
      <c r="J281" s="33">
        <v>6.9537000000000004</v>
      </c>
      <c r="K281" s="33">
        <v>7.8312996180119718</v>
      </c>
      <c r="L281" s="33">
        <v>6.5994898222940233</v>
      </c>
      <c r="M281" s="92">
        <f t="shared" ref="M281:M304" si="11">YEAR(H281)</f>
        <v>2038</v>
      </c>
      <c r="N281" s="3"/>
      <c r="O281" s="3"/>
    </row>
    <row r="282" spans="8:15">
      <c r="H282" s="29">
        <v>50437</v>
      </c>
      <c r="I282" s="33">
        <v>7.1293822448979602</v>
      </c>
      <c r="J282" s="33">
        <v>7.0708000000000002</v>
      </c>
      <c r="K282" s="33">
        <v>7.4362610524104893</v>
      </c>
      <c r="L282" s="33">
        <v>6.3457539579967701</v>
      </c>
      <c r="M282" s="92">
        <f t="shared" si="11"/>
        <v>2038</v>
      </c>
      <c r="N282" s="3"/>
      <c r="O282" s="3"/>
    </row>
    <row r="283" spans="8:15">
      <c r="H283" s="29">
        <v>50465</v>
      </c>
      <c r="I283" s="33">
        <v>6.0832597959183685</v>
      </c>
      <c r="J283" s="33">
        <v>6.0321999999999996</v>
      </c>
      <c r="K283" s="33">
        <v>6.280867748666104</v>
      </c>
      <c r="L283" s="33">
        <v>5.2828500807754448</v>
      </c>
      <c r="M283" s="92">
        <f t="shared" si="11"/>
        <v>2038</v>
      </c>
      <c r="N283" s="3"/>
      <c r="O283" s="3"/>
    </row>
    <row r="284" spans="8:15">
      <c r="H284" s="29">
        <v>50496</v>
      </c>
      <c r="I284" s="33">
        <v>5.6988720408163269</v>
      </c>
      <c r="J284" s="33">
        <v>5.6321000000000003</v>
      </c>
      <c r="K284" s="33">
        <v>5.8769746025536955</v>
      </c>
      <c r="L284" s="33">
        <v>5.5613234248788377</v>
      </c>
      <c r="M284" s="92">
        <f t="shared" si="11"/>
        <v>2038</v>
      </c>
      <c r="N284" s="3"/>
      <c r="O284" s="3"/>
    </row>
    <row r="285" spans="8:15">
      <c r="H285" s="29">
        <v>50526</v>
      </c>
      <c r="I285" s="33">
        <v>5.7217291836734701</v>
      </c>
      <c r="J285" s="33">
        <v>5.6540999999999997</v>
      </c>
      <c r="K285" s="33">
        <v>5.8754729485489179</v>
      </c>
      <c r="L285" s="33">
        <v>5.5561739903069478</v>
      </c>
      <c r="M285" s="92">
        <f t="shared" si="11"/>
        <v>2038</v>
      </c>
      <c r="N285" s="3"/>
      <c r="O285" s="3"/>
    </row>
    <row r="286" spans="8:15">
      <c r="H286" s="29">
        <v>50557</v>
      </c>
      <c r="I286" s="33">
        <v>5.7504026530612249</v>
      </c>
      <c r="J286" s="33">
        <v>5.6833999999999998</v>
      </c>
      <c r="K286" s="33">
        <v>5.979553105431731</v>
      </c>
      <c r="L286" s="33">
        <v>5.5870705977382888</v>
      </c>
      <c r="M286" s="92">
        <f t="shared" si="11"/>
        <v>2038</v>
      </c>
      <c r="N286" s="3"/>
      <c r="O286" s="3"/>
    </row>
    <row r="287" spans="8:15">
      <c r="H287" s="29">
        <v>50587</v>
      </c>
      <c r="I287" s="33">
        <v>5.8161169387755107</v>
      </c>
      <c r="J287" s="33">
        <v>5.7519</v>
      </c>
      <c r="K287" s="33">
        <v>6.1931504423181014</v>
      </c>
      <c r="L287" s="33">
        <v>5.5486012924071089</v>
      </c>
      <c r="M287" s="92">
        <f t="shared" si="11"/>
        <v>2038</v>
      </c>
      <c r="N287" s="3"/>
      <c r="O287" s="3"/>
    </row>
    <row r="288" spans="8:15">
      <c r="H288" s="29">
        <v>50618</v>
      </c>
      <c r="I288" s="33">
        <v>6.324790408163266</v>
      </c>
      <c r="J288" s="33">
        <v>6.2510000000000003</v>
      </c>
      <c r="K288" s="33">
        <v>6.6484105116283967</v>
      </c>
      <c r="L288" s="33">
        <v>6.0519332794830385</v>
      </c>
      <c r="M288" s="92">
        <f t="shared" si="11"/>
        <v>2038</v>
      </c>
      <c r="N288" s="3"/>
      <c r="O288" s="3"/>
    </row>
    <row r="289" spans="8:15">
      <c r="H289" s="29">
        <v>50649</v>
      </c>
      <c r="I289" s="33">
        <v>6.4274434693877556</v>
      </c>
      <c r="J289" s="33">
        <v>6.3512000000000004</v>
      </c>
      <c r="K289" s="33">
        <v>6.727221456292896</v>
      </c>
      <c r="L289" s="33">
        <v>6.1661295638126026</v>
      </c>
      <c r="M289" s="92">
        <f t="shared" si="11"/>
        <v>2038</v>
      </c>
      <c r="N289" s="3"/>
      <c r="O289" s="3"/>
    </row>
    <row r="290" spans="8:15">
      <c r="H290" s="29">
        <v>50679</v>
      </c>
      <c r="I290" s="33">
        <v>6.6868312244897963</v>
      </c>
      <c r="J290" s="33">
        <v>6.6050000000000004</v>
      </c>
      <c r="K290" s="33">
        <v>6.8915748980570992</v>
      </c>
      <c r="L290" s="33">
        <v>6.4934720516962861</v>
      </c>
      <c r="M290" s="92">
        <f t="shared" si="11"/>
        <v>2038</v>
      </c>
      <c r="N290" s="3"/>
      <c r="O290" s="3"/>
    </row>
    <row r="291" spans="8:15">
      <c r="H291" s="29">
        <v>50710</v>
      </c>
      <c r="I291" s="33">
        <v>7.2358108163265307</v>
      </c>
      <c r="J291" s="33">
        <v>7.1609999999999996</v>
      </c>
      <c r="K291" s="33">
        <v>7.5084440069849379</v>
      </c>
      <c r="L291" s="33">
        <v>6.2768928917609061</v>
      </c>
      <c r="M291" s="92">
        <f t="shared" si="11"/>
        <v>2038</v>
      </c>
      <c r="N291" s="3"/>
      <c r="O291" s="3"/>
    </row>
    <row r="292" spans="8:15">
      <c r="H292" s="29">
        <v>50740</v>
      </c>
      <c r="I292" s="33">
        <v>7.3437700000000001</v>
      </c>
      <c r="J292" s="33">
        <v>7.2811000000000003</v>
      </c>
      <c r="K292" s="33">
        <v>7.8278820606217909</v>
      </c>
      <c r="L292" s="33">
        <v>6.6916747980613911</v>
      </c>
      <c r="M292" s="92">
        <f t="shared" si="11"/>
        <v>2038</v>
      </c>
      <c r="N292" s="3"/>
      <c r="O292" s="3"/>
    </row>
    <row r="293" spans="8:15">
      <c r="H293" s="29">
        <v>50771</v>
      </c>
      <c r="I293" s="33">
        <v>7.2155046938775511</v>
      </c>
      <c r="J293" s="33">
        <v>7.1540999999999997</v>
      </c>
      <c r="K293" s="33">
        <v>8.0680949202135182</v>
      </c>
      <c r="L293" s="33">
        <v>6.8018323101777076</v>
      </c>
      <c r="M293" s="92">
        <f t="shared" si="11"/>
        <v>2039</v>
      </c>
      <c r="N293" s="3"/>
      <c r="O293" s="3"/>
    </row>
    <row r="294" spans="8:15">
      <c r="H294" s="29">
        <v>50802</v>
      </c>
      <c r="I294" s="33">
        <v>7.4323414285714291</v>
      </c>
      <c r="J294" s="33">
        <v>7.3677000000000001</v>
      </c>
      <c r="K294" s="33">
        <v>7.706403429752597</v>
      </c>
      <c r="L294" s="33">
        <v>6.6455318255250422</v>
      </c>
      <c r="M294" s="92">
        <f t="shared" si="11"/>
        <v>2039</v>
      </c>
      <c r="N294" s="3"/>
      <c r="O294" s="3"/>
    </row>
    <row r="295" spans="8:15">
      <c r="H295" s="29">
        <v>50830</v>
      </c>
      <c r="I295" s="33">
        <v>6.4261169387755102</v>
      </c>
      <c r="J295" s="33">
        <v>6.3681999999999999</v>
      </c>
      <c r="K295" s="33">
        <v>6.6201379914005285</v>
      </c>
      <c r="L295" s="33">
        <v>5.6221069466882074</v>
      </c>
      <c r="M295" s="92">
        <f t="shared" si="11"/>
        <v>2039</v>
      </c>
      <c r="N295" s="3"/>
      <c r="O295" s="3"/>
    </row>
    <row r="296" spans="8:15">
      <c r="H296" s="29">
        <v>50861</v>
      </c>
      <c r="I296" s="33">
        <v>6.022341428571429</v>
      </c>
      <c r="J296" s="33">
        <v>5.9490999999999996</v>
      </c>
      <c r="K296" s="33">
        <v>6.2077527329852424</v>
      </c>
      <c r="L296" s="33">
        <v>5.8813961227786766</v>
      </c>
      <c r="M296" s="92">
        <f t="shared" si="11"/>
        <v>2039</v>
      </c>
      <c r="N296" s="3"/>
      <c r="O296" s="3"/>
    </row>
    <row r="297" spans="8:15">
      <c r="H297" s="29">
        <v>50891</v>
      </c>
      <c r="I297" s="33">
        <v>6.0462189795918366</v>
      </c>
      <c r="J297" s="33">
        <v>5.9721000000000002</v>
      </c>
      <c r="K297" s="33">
        <v>6.2063028601530439</v>
      </c>
      <c r="L297" s="33">
        <v>5.8772563812600982</v>
      </c>
      <c r="M297" s="92">
        <f t="shared" si="11"/>
        <v>2039</v>
      </c>
      <c r="N297" s="3"/>
      <c r="O297" s="3"/>
    </row>
    <row r="298" spans="8:15">
      <c r="H298" s="29">
        <v>50922</v>
      </c>
      <c r="I298" s="33">
        <v>5.9901985714285715</v>
      </c>
      <c r="J298" s="33">
        <v>5.9184000000000001</v>
      </c>
      <c r="K298" s="33">
        <v>6.2679742366940543</v>
      </c>
      <c r="L298" s="33">
        <v>5.82434846526656</v>
      </c>
      <c r="M298" s="92">
        <f t="shared" si="11"/>
        <v>2039</v>
      </c>
      <c r="N298" s="3"/>
      <c r="O298" s="3"/>
    </row>
    <row r="299" spans="8:15">
      <c r="H299" s="29">
        <v>50952</v>
      </c>
      <c r="I299" s="33">
        <v>6.0983618367346937</v>
      </c>
      <c r="J299" s="33">
        <v>6.0285000000000002</v>
      </c>
      <c r="K299" s="33">
        <v>6.508653126838988</v>
      </c>
      <c r="L299" s="33">
        <v>5.8278823909531514</v>
      </c>
      <c r="M299" s="92">
        <f t="shared" si="11"/>
        <v>2039</v>
      </c>
      <c r="N299" s="3"/>
      <c r="O299" s="3"/>
    </row>
    <row r="300" spans="8:15">
      <c r="H300" s="29">
        <v>50983</v>
      </c>
      <c r="I300" s="33">
        <v>6.6073414285714289</v>
      </c>
      <c r="J300" s="33">
        <v>6.5279999999999996</v>
      </c>
      <c r="K300" s="33">
        <v>6.9478092514773655</v>
      </c>
      <c r="L300" s="33">
        <v>6.3315172859450737</v>
      </c>
      <c r="M300" s="92">
        <f t="shared" si="11"/>
        <v>2039</v>
      </c>
      <c r="N300" s="3"/>
      <c r="O300" s="3"/>
    </row>
    <row r="301" spans="8:15">
      <c r="H301" s="29">
        <v>51014</v>
      </c>
      <c r="I301" s="33">
        <v>6.7498924489795922</v>
      </c>
      <c r="J301" s="33">
        <v>6.6672000000000002</v>
      </c>
      <c r="K301" s="33">
        <v>7.0622456428758813</v>
      </c>
      <c r="L301" s="33">
        <v>6.4851925686591283</v>
      </c>
      <c r="M301" s="92">
        <f t="shared" si="11"/>
        <v>2039</v>
      </c>
      <c r="N301" s="3"/>
      <c r="O301" s="3"/>
    </row>
    <row r="302" spans="8:15">
      <c r="H302" s="29">
        <v>51044</v>
      </c>
      <c r="I302" s="33">
        <v>6.9915251020408169</v>
      </c>
      <c r="J302" s="33">
        <v>6.9036</v>
      </c>
      <c r="K302" s="33">
        <v>7.2047992109845307</v>
      </c>
      <c r="L302" s="33">
        <v>6.7949663974151866</v>
      </c>
      <c r="M302" s="92">
        <f t="shared" si="11"/>
        <v>2039</v>
      </c>
      <c r="N302" s="3"/>
      <c r="O302" s="3"/>
    </row>
    <row r="303" spans="8:15">
      <c r="H303" s="29">
        <v>51075</v>
      </c>
      <c r="I303" s="33">
        <v>7.5431577551020412</v>
      </c>
      <c r="J303" s="33">
        <v>7.4622000000000002</v>
      </c>
      <c r="K303" s="33">
        <v>7.8084123397322696</v>
      </c>
      <c r="L303" s="33">
        <v>6.5810124394184175</v>
      </c>
      <c r="M303" s="92">
        <f t="shared" si="11"/>
        <v>2039</v>
      </c>
      <c r="N303" s="3"/>
      <c r="O303" s="3"/>
    </row>
    <row r="304" spans="8:15">
      <c r="H304" s="29">
        <v>51105</v>
      </c>
      <c r="I304" s="33">
        <v>7.6116271428571434</v>
      </c>
      <c r="J304" s="33">
        <v>7.5434999999999999</v>
      </c>
      <c r="K304" s="33">
        <v>8.0897394503513365</v>
      </c>
      <c r="L304" s="33">
        <v>6.9567192245557363</v>
      </c>
      <c r="M304" s="92">
        <f t="shared" si="11"/>
        <v>2039</v>
      </c>
      <c r="N304" s="3"/>
      <c r="O304" s="3"/>
    </row>
    <row r="305" spans="8:15">
      <c r="H305" s="29">
        <v>51136</v>
      </c>
      <c r="I305" s="33">
        <v>7.4604026530612249</v>
      </c>
      <c r="J305" s="33">
        <v>7.3940999999999999</v>
      </c>
      <c r="K305" s="33">
        <v>8.3134341158905158</v>
      </c>
      <c r="L305" s="33">
        <v>7.0441586429725378</v>
      </c>
      <c r="M305" s="92">
        <f t="shared" si="10"/>
        <v>2040</v>
      </c>
      <c r="N305" s="3"/>
      <c r="O305" s="3"/>
    </row>
    <row r="306" spans="8:15">
      <c r="H306" s="29">
        <v>51167</v>
      </c>
      <c r="I306" s="33">
        <v>7.1549944897959197</v>
      </c>
      <c r="J306" s="33">
        <v>7.0959000000000003</v>
      </c>
      <c r="K306" s="33">
        <v>7.41777517379996</v>
      </c>
      <c r="L306" s="33">
        <v>6.3710972536348969</v>
      </c>
      <c r="M306" s="92">
        <f t="shared" si="10"/>
        <v>2040</v>
      </c>
      <c r="N306" s="3"/>
      <c r="O306" s="3"/>
    </row>
    <row r="307" spans="8:15">
      <c r="H307" s="29">
        <v>51196</v>
      </c>
      <c r="I307" s="33">
        <v>6.5115251020408165</v>
      </c>
      <c r="J307" s="33">
        <v>6.452</v>
      </c>
      <c r="K307" s="33">
        <v>6.7288266726428301</v>
      </c>
      <c r="L307" s="33">
        <v>5.7066182552504054</v>
      </c>
      <c r="M307" s="92">
        <f t="shared" si="10"/>
        <v>2040</v>
      </c>
      <c r="N307" s="3"/>
      <c r="O307" s="3"/>
    </row>
    <row r="308" spans="8:15">
      <c r="H308" s="29">
        <v>51227</v>
      </c>
      <c r="I308" s="33">
        <v>6.1867291836734699</v>
      </c>
      <c r="J308" s="33">
        <v>6.1101999999999999</v>
      </c>
      <c r="K308" s="33">
        <v>6.3640283118271981</v>
      </c>
      <c r="L308" s="33">
        <v>6.0440576736672069</v>
      </c>
      <c r="M308" s="92">
        <f t="shared" si="10"/>
        <v>2040</v>
      </c>
      <c r="N308" s="3"/>
      <c r="O308" s="3"/>
    </row>
    <row r="309" spans="8:15">
      <c r="H309" s="29">
        <v>51257</v>
      </c>
      <c r="I309" s="33">
        <v>6.129586326530613</v>
      </c>
      <c r="J309" s="33">
        <v>6.0537999999999998</v>
      </c>
      <c r="K309" s="33">
        <v>6.3718472688865537</v>
      </c>
      <c r="L309" s="33">
        <v>5.9597483037156715</v>
      </c>
      <c r="M309" s="92">
        <f t="shared" si="10"/>
        <v>2040</v>
      </c>
      <c r="N309" s="3"/>
      <c r="O309" s="3"/>
    </row>
    <row r="310" spans="8:15">
      <c r="H310" s="29">
        <v>51288</v>
      </c>
      <c r="I310" s="33">
        <v>6.1628516326530614</v>
      </c>
      <c r="J310" s="33">
        <v>6.0876000000000001</v>
      </c>
      <c r="K310" s="33">
        <v>6.46329281966021</v>
      </c>
      <c r="L310" s="33">
        <v>5.9951885298869154</v>
      </c>
      <c r="M310" s="92">
        <f t="shared" si="10"/>
        <v>2040</v>
      </c>
      <c r="N310" s="3"/>
      <c r="O310" s="3"/>
    </row>
    <row r="311" spans="8:15">
      <c r="H311" s="29">
        <v>51318</v>
      </c>
      <c r="I311" s="33">
        <v>6.3393822448979593</v>
      </c>
      <c r="J311" s="33">
        <v>6.2647000000000004</v>
      </c>
      <c r="K311" s="33">
        <v>6.7464840524921028</v>
      </c>
      <c r="L311" s="33">
        <v>6.0663718901453976</v>
      </c>
      <c r="M311" s="92">
        <f t="shared" si="10"/>
        <v>2040</v>
      </c>
      <c r="N311" s="3"/>
      <c r="O311" s="3"/>
    </row>
    <row r="312" spans="8:15">
      <c r="H312" s="29">
        <v>51349</v>
      </c>
      <c r="I312" s="33">
        <v>6.7943822448979594</v>
      </c>
      <c r="J312" s="33">
        <v>6.7111999999999998</v>
      </c>
      <c r="K312" s="33">
        <v>7.130700353024678</v>
      </c>
      <c r="L312" s="33">
        <v>6.5165940226171255</v>
      </c>
      <c r="M312" s="92">
        <f t="shared" ref="M312:M328" si="12">YEAR(H312)</f>
        <v>2040</v>
      </c>
      <c r="N312" s="3"/>
      <c r="O312" s="3"/>
    </row>
    <row r="313" spans="8:15">
      <c r="H313" s="29">
        <v>51380</v>
      </c>
      <c r="I313" s="33">
        <v>6.9170353061224494</v>
      </c>
      <c r="J313" s="33">
        <v>6.8310000000000004</v>
      </c>
      <c r="K313" s="33">
        <v>7.2551305107308472</v>
      </c>
      <c r="L313" s="33">
        <v>6.6505802907916003</v>
      </c>
      <c r="M313" s="92">
        <f t="shared" si="12"/>
        <v>2040</v>
      </c>
      <c r="N313" s="3"/>
      <c r="O313" s="3"/>
    </row>
    <row r="314" spans="8:15">
      <c r="H314" s="29">
        <v>51410</v>
      </c>
      <c r="I314" s="33">
        <v>7.0776475510204087</v>
      </c>
      <c r="J314" s="33">
        <v>6.9880000000000004</v>
      </c>
      <c r="K314" s="33">
        <v>7.405399473553695</v>
      </c>
      <c r="L314" s="33">
        <v>6.8801844911147025</v>
      </c>
      <c r="M314" s="92">
        <f t="shared" si="12"/>
        <v>2040</v>
      </c>
      <c r="N314" s="3"/>
      <c r="O314" s="3"/>
    </row>
    <row r="315" spans="8:15">
      <c r="H315" s="29">
        <v>51441</v>
      </c>
      <c r="I315" s="33">
        <v>7.7173414285714292</v>
      </c>
      <c r="J315" s="33">
        <v>7.6327999999999996</v>
      </c>
      <c r="K315" s="33">
        <v>7.9983974619228375</v>
      </c>
      <c r="L315" s="33">
        <v>6.7533670436187414</v>
      </c>
      <c r="M315" s="92">
        <f t="shared" si="12"/>
        <v>2040</v>
      </c>
      <c r="N315" s="3"/>
      <c r="O315" s="3"/>
    </row>
    <row r="316" spans="8:15">
      <c r="H316" s="29">
        <v>51471</v>
      </c>
      <c r="I316" s="33">
        <v>7.7906067346938777</v>
      </c>
      <c r="J316" s="33">
        <v>7.7188999999999997</v>
      </c>
      <c r="K316" s="33">
        <v>8.2880095601544674</v>
      </c>
      <c r="L316" s="33">
        <v>7.1338193861066248</v>
      </c>
      <c r="M316" s="92">
        <f t="shared" si="12"/>
        <v>2040</v>
      </c>
      <c r="N316" s="3"/>
      <c r="O316" s="3"/>
    </row>
    <row r="317" spans="8:15">
      <c r="H317" s="29">
        <v>51502</v>
      </c>
      <c r="I317" s="33">
        <v>7.7600965306122456</v>
      </c>
      <c r="J317" s="33">
        <v>7.6878000000000002</v>
      </c>
      <c r="K317" s="33">
        <v>8.5833175873697325</v>
      </c>
      <c r="L317" s="33">
        <v>7.3407054927302111</v>
      </c>
      <c r="M317" s="92">
        <f t="shared" si="12"/>
        <v>2041</v>
      </c>
      <c r="N317" s="3"/>
      <c r="O317" s="3"/>
    </row>
    <row r="318" spans="8:15">
      <c r="H318" s="29">
        <v>51533</v>
      </c>
      <c r="I318" s="33">
        <v>7.7790761224489797</v>
      </c>
      <c r="J318" s="33">
        <v>7.7074999999999996</v>
      </c>
      <c r="K318" s="33">
        <v>8.0597063702557978</v>
      </c>
      <c r="L318" s="33">
        <v>6.9886255250403888</v>
      </c>
      <c r="M318" s="92">
        <f t="shared" si="12"/>
        <v>2041</v>
      </c>
      <c r="N318" s="3"/>
      <c r="O318" s="3"/>
    </row>
    <row r="319" spans="8:15">
      <c r="H319" s="29">
        <v>51561</v>
      </c>
      <c r="I319" s="33">
        <v>6.9145863265306122</v>
      </c>
      <c r="J319" s="33">
        <v>6.8468999999999998</v>
      </c>
      <c r="K319" s="33">
        <v>7.1464936106611248</v>
      </c>
      <c r="L319" s="33">
        <v>6.1054470113085628</v>
      </c>
      <c r="M319" s="92">
        <f t="shared" si="12"/>
        <v>2041</v>
      </c>
      <c r="N319" s="3"/>
      <c r="O319" s="3"/>
    </row>
    <row r="320" spans="8:15">
      <c r="H320" s="29">
        <v>51592</v>
      </c>
      <c r="I320" s="33">
        <v>6.5273414285714288</v>
      </c>
      <c r="J320" s="33">
        <v>6.444</v>
      </c>
      <c r="K320" s="33">
        <v>6.7166063159143006</v>
      </c>
      <c r="L320" s="33">
        <v>6.3810932148626831</v>
      </c>
      <c r="M320" s="92">
        <f t="shared" si="12"/>
        <v>2041</v>
      </c>
      <c r="N320" s="3"/>
      <c r="O320" s="3"/>
    </row>
    <row r="321" spans="8:15">
      <c r="H321" s="29">
        <v>51622</v>
      </c>
      <c r="I321" s="33">
        <v>6.534790408163266</v>
      </c>
      <c r="J321" s="33">
        <v>6.4508999999999999</v>
      </c>
      <c r="K321" s="33">
        <v>6.7198685297867469</v>
      </c>
      <c r="L321" s="33">
        <v>6.3606974151857854</v>
      </c>
      <c r="M321" s="92">
        <f t="shared" si="12"/>
        <v>2041</v>
      </c>
      <c r="N321" s="3"/>
      <c r="O321" s="3"/>
    </row>
    <row r="322" spans="8:15">
      <c r="H322" s="29">
        <v>51653</v>
      </c>
      <c r="I322" s="33">
        <v>6.5106067346938774</v>
      </c>
      <c r="J322" s="33">
        <v>6.4283999999999999</v>
      </c>
      <c r="K322" s="33">
        <v>6.799870441420552</v>
      </c>
      <c r="L322" s="33">
        <v>6.3392919224555744</v>
      </c>
      <c r="M322" s="92">
        <f t="shared" si="12"/>
        <v>2041</v>
      </c>
      <c r="N322" s="3"/>
      <c r="O322" s="3"/>
    </row>
    <row r="323" spans="8:15">
      <c r="H323" s="29">
        <v>51683</v>
      </c>
      <c r="I323" s="33">
        <v>6.6012189795918363</v>
      </c>
      <c r="J323" s="33">
        <v>6.5213000000000001</v>
      </c>
      <c r="K323" s="33">
        <v>7.0476433522087412</v>
      </c>
      <c r="L323" s="33">
        <v>6.3254591276252032</v>
      </c>
      <c r="M323" s="92">
        <f t="shared" si="12"/>
        <v>2041</v>
      </c>
      <c r="N323" s="3"/>
      <c r="O323" s="3"/>
    </row>
    <row r="324" spans="8:15">
      <c r="H324" s="29">
        <v>51714</v>
      </c>
      <c r="I324" s="33">
        <v>7.0754026530612251</v>
      </c>
      <c r="J324" s="33">
        <v>6.9866000000000001</v>
      </c>
      <c r="K324" s="33">
        <v>7.4392643604200428</v>
      </c>
      <c r="L324" s="33">
        <v>6.7946634894991931</v>
      </c>
      <c r="M324" s="92">
        <f t="shared" si="12"/>
        <v>2041</v>
      </c>
      <c r="N324" s="3"/>
      <c r="O324" s="3"/>
    </row>
    <row r="325" spans="8:15">
      <c r="H325" s="29">
        <v>51745</v>
      </c>
      <c r="I325" s="33">
        <v>7.2426475510204087</v>
      </c>
      <c r="J325" s="33">
        <v>7.1501000000000001</v>
      </c>
      <c r="K325" s="33">
        <v>7.5814036791480639</v>
      </c>
      <c r="L325" s="33">
        <v>6.9727733441033939</v>
      </c>
      <c r="M325" s="92">
        <f t="shared" si="12"/>
        <v>2041</v>
      </c>
      <c r="N325" s="3"/>
      <c r="O325" s="3"/>
    </row>
    <row r="326" spans="8:15">
      <c r="H326" s="29">
        <v>51775</v>
      </c>
      <c r="I326" s="33">
        <v>7.4848924489795925</v>
      </c>
      <c r="J326" s="33">
        <v>7.3871000000000002</v>
      </c>
      <c r="K326" s="33">
        <v>7.7256660259518037</v>
      </c>
      <c r="L326" s="33">
        <v>7.2831529886914392</v>
      </c>
      <c r="M326" s="92">
        <f t="shared" si="12"/>
        <v>2041</v>
      </c>
      <c r="N326" s="3"/>
      <c r="O326" s="3"/>
    </row>
    <row r="327" spans="8:15">
      <c r="H327" s="29">
        <v>51806</v>
      </c>
      <c r="I327" s="33">
        <v>8.0477495918367339</v>
      </c>
      <c r="J327" s="33">
        <v>7.9565999999999999</v>
      </c>
      <c r="K327" s="33">
        <v>8.3297969664253291</v>
      </c>
      <c r="L327" s="33">
        <v>7.0803056542811005</v>
      </c>
      <c r="M327" s="92">
        <f t="shared" si="12"/>
        <v>2041</v>
      </c>
      <c r="N327" s="3"/>
      <c r="O327" s="3"/>
    </row>
    <row r="328" spans="8:15">
      <c r="H328" s="29">
        <v>51836</v>
      </c>
      <c r="I328" s="33">
        <v>8.125402653061224</v>
      </c>
      <c r="J328" s="33">
        <v>8.0470000000000006</v>
      </c>
      <c r="K328" s="33">
        <v>8.597453847483667</v>
      </c>
      <c r="L328" s="33">
        <v>7.465099676898225</v>
      </c>
      <c r="M328" s="92">
        <f t="shared" si="12"/>
        <v>2041</v>
      </c>
      <c r="N328" s="3"/>
      <c r="O328" s="3"/>
    </row>
    <row r="329" spans="8:15">
      <c r="H329" s="29">
        <v>51867</v>
      </c>
      <c r="I329" s="33">
        <v>7.9968312244897959</v>
      </c>
      <c r="J329" s="33">
        <v>7.9198000000000004</v>
      </c>
      <c r="K329" s="33">
        <v>8.8568257409294446</v>
      </c>
      <c r="L329" s="33">
        <v>7.5749542810985471</v>
      </c>
      <c r="M329" s="92">
        <f t="shared" ref="M329:M340" si="13">YEAR(H329)</f>
        <v>2042</v>
      </c>
    </row>
    <row r="330" spans="8:15">
      <c r="H330" s="29">
        <v>51898</v>
      </c>
      <c r="I330" s="33">
        <v>8.2033618367346932</v>
      </c>
      <c r="J330" s="33">
        <v>8.1233000000000004</v>
      </c>
      <c r="K330" s="33">
        <v>8.4921309424589708</v>
      </c>
      <c r="L330" s="33">
        <v>7.4084558966074319</v>
      </c>
      <c r="M330" s="92">
        <f t="shared" si="13"/>
        <v>2042</v>
      </c>
    </row>
    <row r="331" spans="8:15">
      <c r="H331" s="29">
        <v>51926</v>
      </c>
      <c r="I331" s="33">
        <v>7.1773414285714292</v>
      </c>
      <c r="J331" s="33">
        <v>7.1044</v>
      </c>
      <c r="K331" s="33">
        <v>7.4179822984902737</v>
      </c>
      <c r="L331" s="33">
        <v>6.3654429725363499</v>
      </c>
      <c r="M331" s="92">
        <f t="shared" si="13"/>
        <v>2042</v>
      </c>
    </row>
    <row r="332" spans="8:15">
      <c r="H332" s="29">
        <v>51957</v>
      </c>
      <c r="I332" s="33">
        <v>6.8057087755102046</v>
      </c>
      <c r="J332" s="33">
        <v>6.7168000000000001</v>
      </c>
      <c r="K332" s="33">
        <v>7.0226330458533184</v>
      </c>
      <c r="L332" s="33">
        <v>6.6565374798061399</v>
      </c>
      <c r="M332" s="92">
        <f t="shared" si="13"/>
        <v>2042</v>
      </c>
    </row>
    <row r="333" spans="8:15">
      <c r="H333" s="29">
        <v>51987</v>
      </c>
      <c r="I333" s="33">
        <v>6.8293822448979595</v>
      </c>
      <c r="J333" s="33">
        <v>6.7396000000000003</v>
      </c>
      <c r="K333" s="33">
        <v>7.0237204504774677</v>
      </c>
      <c r="L333" s="33">
        <v>6.6521957996768997</v>
      </c>
      <c r="M333" s="92">
        <f t="shared" si="13"/>
        <v>2042</v>
      </c>
    </row>
    <row r="334" spans="8:15">
      <c r="H334" s="29">
        <v>52018</v>
      </c>
      <c r="I334" s="33">
        <v>6.7810148979591842</v>
      </c>
      <c r="J334" s="33">
        <v>6.6932999999999998</v>
      </c>
      <c r="K334" s="33">
        <v>7.0798512415525767</v>
      </c>
      <c r="L334" s="33">
        <v>6.6068605815831996</v>
      </c>
      <c r="M334" s="92">
        <f t="shared" si="13"/>
        <v>2042</v>
      </c>
    </row>
    <row r="335" spans="8:15">
      <c r="H335" s="29">
        <v>52048</v>
      </c>
      <c r="I335" s="33">
        <v>6.8207087755102043</v>
      </c>
      <c r="J335" s="33">
        <v>6.7363999999999997</v>
      </c>
      <c r="K335" s="33">
        <v>7.2814871275733095</v>
      </c>
      <c r="L335" s="33">
        <v>6.5426441033925693</v>
      </c>
      <c r="M335" s="92">
        <f t="shared" si="13"/>
        <v>2042</v>
      </c>
    </row>
    <row r="336" spans="8:15">
      <c r="H336" s="29">
        <v>52079</v>
      </c>
      <c r="I336" s="33">
        <v>7.3764230612244903</v>
      </c>
      <c r="J336" s="33">
        <v>7.2816000000000001</v>
      </c>
      <c r="K336" s="33">
        <v>7.7780167914286817</v>
      </c>
      <c r="L336" s="33">
        <v>7.0925229402261722</v>
      </c>
      <c r="M336" s="92">
        <f t="shared" si="13"/>
        <v>2042</v>
      </c>
    </row>
    <row r="337" spans="8:13">
      <c r="H337" s="29">
        <v>52110</v>
      </c>
      <c r="I337" s="33">
        <v>7.5931577551020411</v>
      </c>
      <c r="J337" s="33">
        <v>7.4935999999999998</v>
      </c>
      <c r="K337" s="33">
        <v>7.9401954239445871</v>
      </c>
      <c r="L337" s="33">
        <v>7.3196029079159954</v>
      </c>
      <c r="M337" s="92">
        <f t="shared" si="13"/>
        <v>2042</v>
      </c>
    </row>
    <row r="338" spans="8:13">
      <c r="H338" s="29">
        <v>52140</v>
      </c>
      <c r="I338" s="33">
        <v>7.8357087755102048</v>
      </c>
      <c r="J338" s="33">
        <v>7.7309000000000001</v>
      </c>
      <c r="K338" s="33">
        <v>8.0884449210368743</v>
      </c>
      <c r="L338" s="33">
        <v>7.6302854604200334</v>
      </c>
      <c r="M338" s="92">
        <f t="shared" si="13"/>
        <v>2042</v>
      </c>
    </row>
    <row r="339" spans="8:13">
      <c r="H339" s="29">
        <v>52171</v>
      </c>
      <c r="I339" s="33">
        <v>8.3971373469387753</v>
      </c>
      <c r="J339" s="33">
        <v>8.2989999999999995</v>
      </c>
      <c r="K339" s="33">
        <v>8.6944917648958011</v>
      </c>
      <c r="L339" s="33">
        <v>7.4260245557350579</v>
      </c>
      <c r="M339" s="92">
        <f t="shared" si="13"/>
        <v>2042</v>
      </c>
    </row>
    <row r="340" spans="8:13">
      <c r="H340" s="29">
        <v>52201</v>
      </c>
      <c r="I340" s="33">
        <v>8.4948924489795914</v>
      </c>
      <c r="J340" s="33">
        <v>8.4092000000000002</v>
      </c>
      <c r="K340" s="33">
        <v>8.9559866864172992</v>
      </c>
      <c r="L340" s="33">
        <v>7.8307095315024249</v>
      </c>
      <c r="M340" s="92">
        <f t="shared" si="13"/>
        <v>2042</v>
      </c>
    </row>
    <row r="341" spans="8:13">
      <c r="H341" s="29">
        <v>0</v>
      </c>
      <c r="I341" s="33" t="e">
        <v>#N/A</v>
      </c>
      <c r="J341" s="33" t="e">
        <v>#N/A</v>
      </c>
      <c r="K341" s="33" t="e">
        <v>#N/A</v>
      </c>
      <c r="L341" s="33" t="e">
        <v>#N/A</v>
      </c>
      <c r="M341" s="92">
        <f t="shared" ref="M341:M343" si="14">YEAR(H341)</f>
        <v>1900</v>
      </c>
    </row>
    <row r="342" spans="8:13">
      <c r="H342" s="29">
        <v>0</v>
      </c>
      <c r="I342" s="33" t="e">
        <v>#N/A</v>
      </c>
      <c r="J342" s="33" t="e">
        <v>#N/A</v>
      </c>
      <c r="K342" s="33" t="e">
        <v>#N/A</v>
      </c>
      <c r="L342" s="33" t="e">
        <v>#N/A</v>
      </c>
      <c r="M342" s="92">
        <f t="shared" si="14"/>
        <v>1900</v>
      </c>
    </row>
    <row r="343" spans="8:13">
      <c r="H343" s="29">
        <v>0</v>
      </c>
      <c r="I343" s="33" t="e">
        <v>#N/A</v>
      </c>
      <c r="J343" s="33" t="e">
        <v>#N/A</v>
      </c>
      <c r="K343" s="33" t="e">
        <v>#N/A</v>
      </c>
      <c r="L343" s="33" t="e">
        <v>#N/A</v>
      </c>
      <c r="M343" s="92">
        <f t="shared" si="14"/>
        <v>1900</v>
      </c>
    </row>
    <row r="344" spans="8:13">
      <c r="H344" s="29"/>
      <c r="I344" s="33"/>
      <c r="J344" s="33"/>
      <c r="M344" s="92"/>
    </row>
    <row r="345" spans="8:13">
      <c r="H345" s="29"/>
      <c r="I345" s="33"/>
      <c r="J345" s="33"/>
      <c r="M345" s="92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370" t="s">
        <v>130</v>
      </c>
      <c r="C1" s="370"/>
      <c r="D1" s="370"/>
      <c r="E1" s="370"/>
      <c r="F1" s="370"/>
      <c r="G1" s="370"/>
      <c r="H1" s="370"/>
      <c r="I1" s="370"/>
      <c r="J1" s="370"/>
      <c r="K1" s="370"/>
      <c r="M1" s="36"/>
    </row>
    <row r="2" spans="1:14">
      <c r="B2" s="142"/>
      <c r="C2" s="142"/>
      <c r="D2" s="142"/>
      <c r="E2" s="142"/>
      <c r="F2" s="142"/>
      <c r="G2" s="142"/>
      <c r="H2" s="142"/>
      <c r="I2" s="142"/>
      <c r="J2" s="142"/>
      <c r="K2" s="142"/>
      <c r="M2" s="142"/>
    </row>
    <row r="3" spans="1:14">
      <c r="A3" s="295" t="s">
        <v>98</v>
      </c>
      <c r="B3" s="94">
        <v>2024</v>
      </c>
      <c r="C3" s="94">
        <v>2030</v>
      </c>
      <c r="D3" s="94">
        <v>2024</v>
      </c>
      <c r="E3" s="94">
        <v>2024</v>
      </c>
      <c r="F3" s="94">
        <v>2024</v>
      </c>
      <c r="G3" s="94">
        <v>2024</v>
      </c>
      <c r="H3" s="94">
        <v>2029</v>
      </c>
      <c r="I3" s="94">
        <v>2024</v>
      </c>
      <c r="J3" s="94">
        <v>2030</v>
      </c>
      <c r="K3" s="94">
        <v>2026</v>
      </c>
      <c r="L3" s="94">
        <v>2029</v>
      </c>
      <c r="M3" s="94">
        <v>2032</v>
      </c>
    </row>
    <row r="4" spans="1:14" ht="51">
      <c r="B4" s="171" t="s">
        <v>129</v>
      </c>
      <c r="C4" s="171" t="s">
        <v>137</v>
      </c>
      <c r="D4" s="171" t="s">
        <v>136</v>
      </c>
      <c r="E4" s="171" t="s">
        <v>135</v>
      </c>
      <c r="F4" s="171" t="s">
        <v>133</v>
      </c>
      <c r="G4" s="171" t="s">
        <v>134</v>
      </c>
      <c r="H4" s="171" t="s">
        <v>134</v>
      </c>
      <c r="I4" s="171" t="s">
        <v>132</v>
      </c>
      <c r="J4" s="171" t="s">
        <v>132</v>
      </c>
      <c r="K4" s="171" t="s">
        <v>138</v>
      </c>
      <c r="L4" s="171" t="s">
        <v>141</v>
      </c>
      <c r="M4" s="171" t="s">
        <v>140</v>
      </c>
    </row>
    <row r="5" spans="1:14" hidden="1">
      <c r="A5" s="111">
        <v>2018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4" hidden="1">
      <c r="A6" s="111">
        <f>A5+1</f>
        <v>2019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4" hidden="1">
      <c r="A7" s="111">
        <f t="shared" ref="A7:A46" si="0">A6+1</f>
        <v>2020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4" hidden="1">
      <c r="A8" s="111">
        <f t="shared" si="0"/>
        <v>2021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4" hidden="1">
      <c r="A9" s="111">
        <f t="shared" si="0"/>
        <v>2022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4" hidden="1">
      <c r="A10" s="111">
        <f t="shared" si="0"/>
        <v>2023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4">
      <c r="A11" s="111">
        <f t="shared" si="0"/>
        <v>2024</v>
      </c>
      <c r="B11" s="114">
        <f>INDEX('Table 3 WYE Wind_2029'!$J$10:$J$36,MATCH($A11,'Table 3 WYE Wind_2029'!$B$10:$B$36,0),1)</f>
        <v>0</v>
      </c>
      <c r="C11" s="114"/>
      <c r="D11" s="114" t="e">
        <f>INDEX(#REF!,MATCH($A11,#REF!,0),1)</f>
        <v>#REF!</v>
      </c>
      <c r="E11" s="114" t="e">
        <f>INDEX(#REF!,MATCH($A11,#REF!,0),1)</f>
        <v>#REF!</v>
      </c>
      <c r="F11" s="114" t="e">
        <f>INDEX(#REF!,MATCH($A11,#REF!,0),1)</f>
        <v>#REF!</v>
      </c>
      <c r="G11" s="114" t="e">
        <f>INDEX(#REF!,MATCH($A11,#REF!,0),1)</f>
        <v>#REF!</v>
      </c>
      <c r="H11" s="114"/>
      <c r="I11" s="114">
        <f>INDEX('Table 3 PV wS Borah_2026'!$I$10:$I$36,MATCH($A11,'Table 3 PV wS Borah_2026'!$B$10:$B$36,0),1)</f>
        <v>0</v>
      </c>
      <c r="J11" s="114"/>
      <c r="K11" s="114"/>
      <c r="L11" s="114"/>
      <c r="M11" s="114"/>
    </row>
    <row r="12" spans="1:14">
      <c r="A12" s="111">
        <f t="shared" si="0"/>
        <v>2025</v>
      </c>
      <c r="B12" s="114">
        <f>INDEX('Table 3 WYE Wind_2029'!$J$10:$J$36,MATCH($A12,'Table 3 WYE Wind_2029'!$B$10:$B$36,0),1)</f>
        <v>0</v>
      </c>
      <c r="C12" s="114"/>
      <c r="D12" s="114" t="e">
        <f>INDEX(#REF!,MATCH($A12,#REF!,0),1)</f>
        <v>#REF!</v>
      </c>
      <c r="E12" s="114" t="e">
        <f>INDEX(#REF!,MATCH($A12,#REF!,0),1)</f>
        <v>#REF!</v>
      </c>
      <c r="F12" s="114" t="e">
        <f>INDEX(#REF!,MATCH($A12,#REF!,0),1)</f>
        <v>#REF!</v>
      </c>
      <c r="G12" s="114" t="e">
        <f>INDEX(#REF!,MATCH($A12,#REF!,0),1)</f>
        <v>#REF!</v>
      </c>
      <c r="H12" s="114"/>
      <c r="I12" s="114">
        <f>INDEX('Table 3 PV wS Borah_2026'!$I$10:$I$36,MATCH($A12,'Table 3 PV wS Borah_2026'!$B$10:$B$36,0),1)</f>
        <v>0</v>
      </c>
      <c r="J12" s="114"/>
      <c r="K12" s="114"/>
      <c r="L12" s="114"/>
      <c r="M12" s="114"/>
    </row>
    <row r="13" spans="1:14">
      <c r="A13" s="111">
        <f t="shared" si="0"/>
        <v>2026</v>
      </c>
      <c r="B13" s="114">
        <f>INDEX('Table 3 WYE Wind_2029'!$J$10:$J$36,MATCH($A13,'Table 3 WYE Wind_2029'!$B$10:$B$36,0),1)</f>
        <v>0</v>
      </c>
      <c r="C13" s="114"/>
      <c r="D13" s="114" t="e">
        <f>INDEX(#REF!,MATCH($A13,#REF!,0),1)</f>
        <v>#REF!</v>
      </c>
      <c r="E13" s="114" t="e">
        <f>INDEX(#REF!,MATCH($A13,#REF!,0),1)</f>
        <v>#REF!</v>
      </c>
      <c r="F13" s="114" t="e">
        <f>INDEX(#REF!,MATCH($A13,#REF!,0),1)</f>
        <v>#REF!</v>
      </c>
      <c r="G13" s="114" t="e">
        <f>INDEX(#REF!,MATCH($A13,#REF!,0),1)</f>
        <v>#REF!</v>
      </c>
      <c r="H13" s="114"/>
      <c r="I13" s="114">
        <f>INDEX('Table 3 PV wS Borah_2026'!$I$10:$I$36,MATCH($A13,'Table 3 PV wS Borah_2026'!$B$10:$B$36,0),1)</f>
        <v>75.13913358228838</v>
      </c>
      <c r="J13" s="114"/>
      <c r="K13" s="114">
        <f>INDEX('Table 3 NonE 206MW (UTN) 2031'!$L$14:$L$37,MATCH($A13,'Table 3 NonE 206MW (UTN) 2031'!$B$14:$B$37,0),1)</f>
        <v>0</v>
      </c>
      <c r="L13" s="114"/>
      <c r="M13" s="114"/>
      <c r="N13" t="s">
        <v>139</v>
      </c>
    </row>
    <row r="14" spans="1:14">
      <c r="A14" s="111">
        <f t="shared" si="0"/>
        <v>2027</v>
      </c>
      <c r="B14" s="114">
        <f>INDEX('Table 3 WYE Wind_2029'!$J$10:$J$36,MATCH($A14,'Table 3 WYE Wind_2029'!$B$10:$B$36,0),1)</f>
        <v>0</v>
      </c>
      <c r="C14" s="114"/>
      <c r="D14" s="114" t="e">
        <f>INDEX(#REF!,MATCH($A14,#REF!,0),1)</f>
        <v>#REF!</v>
      </c>
      <c r="E14" s="114" t="e">
        <f>INDEX(#REF!,MATCH($A14,#REF!,0),1)</f>
        <v>#REF!</v>
      </c>
      <c r="F14" s="114" t="e">
        <f>INDEX(#REF!,MATCH($A14,#REF!,0),1)</f>
        <v>#REF!</v>
      </c>
      <c r="G14" s="114" t="e">
        <f>INDEX(#REF!,MATCH($A14,#REF!,0),1)</f>
        <v>#REF!</v>
      </c>
      <c r="H14" s="114"/>
      <c r="I14" s="114">
        <f>INDEX('Table 3 PV wS Borah_2026'!$I$10:$I$36,MATCH($A14,'Table 3 PV wS Borah_2026'!$B$10:$B$36,0),1)</f>
        <v>76.762246117084814</v>
      </c>
      <c r="J14" s="114"/>
      <c r="K14" s="114">
        <f>INDEX('Table 3 NonE 206MW (UTN) 2031'!$L$14:$L$37,MATCH($A14,'Table 3 NonE 206MW (UTN) 2031'!$B$14:$B$37,0),1)</f>
        <v>0</v>
      </c>
      <c r="L14" s="114"/>
      <c r="M14" s="114"/>
      <c r="N14" s="233">
        <v>2.2750000000000006E-2</v>
      </c>
    </row>
    <row r="15" spans="1:14">
      <c r="A15" s="111">
        <f t="shared" si="0"/>
        <v>2028</v>
      </c>
      <c r="B15" s="114">
        <f>INDEX('Table 3 WYE Wind_2029'!$J$10:$J$36,MATCH($A15,'Table 3 WYE Wind_2029'!$B$10:$B$36,0),1)</f>
        <v>0</v>
      </c>
      <c r="C15" s="114"/>
      <c r="D15" s="114" t="e">
        <f>INDEX(#REF!,MATCH($A15,#REF!,0),1)</f>
        <v>#REF!</v>
      </c>
      <c r="E15" s="114" t="e">
        <f>INDEX(#REF!,MATCH($A15,#REF!,0),1)</f>
        <v>#REF!</v>
      </c>
      <c r="F15" s="114" t="e">
        <f>INDEX(#REF!,MATCH($A15,#REF!,0),1)</f>
        <v>#REF!</v>
      </c>
      <c r="G15" s="114" t="e">
        <f>INDEX(#REF!,MATCH($A15,#REF!,0),1)</f>
        <v>#REF!</v>
      </c>
      <c r="H15" s="114"/>
      <c r="I15" s="114">
        <f>INDEX('Table 3 PV wS Borah_2026'!$I$10:$I$36,MATCH($A15,'Table 3 PV wS Borah_2026'!$B$10:$B$36,0),1)</f>
        <v>78.419338472365425</v>
      </c>
      <c r="J15" s="114"/>
      <c r="K15" s="114">
        <f>INDEX('Table 3 NonE 206MW (UTN) 2031'!$L$14:$L$37,MATCH($A15,'Table 3 NonE 206MW (UTN) 2031'!$B$14:$B$37,0),1)</f>
        <v>0</v>
      </c>
      <c r="L15" s="114"/>
      <c r="M15" s="114"/>
    </row>
    <row r="16" spans="1:14">
      <c r="A16" s="111">
        <f t="shared" si="0"/>
        <v>2029</v>
      </c>
      <c r="B16" s="114">
        <f>INDEX('Table 3 WYE Wind_2029'!$J$10:$J$36,MATCH($A16,'Table 3 WYE Wind_2029'!$B$10:$B$36,0),1)</f>
        <v>53.630424392634318</v>
      </c>
      <c r="C16" s="114"/>
      <c r="D16" s="114" t="e">
        <f>INDEX(#REF!,MATCH($A16,#REF!,0),1)</f>
        <v>#REF!</v>
      </c>
      <c r="E16" s="114" t="e">
        <f>INDEX(#REF!,MATCH($A16,#REF!,0),1)</f>
        <v>#REF!</v>
      </c>
      <c r="F16" s="114" t="e">
        <f>INDEX(#REF!,MATCH($A16,#REF!,0),1)</f>
        <v>#REF!</v>
      </c>
      <c r="G16" s="114" t="e">
        <f>INDEX(#REF!,MATCH($A16,#REF!,0),1)</f>
        <v>#REF!</v>
      </c>
      <c r="H16" s="114" t="e">
        <f>INDEX(#REF!,MATCH($A16,#REF!,0),1)</f>
        <v>#REF!</v>
      </c>
      <c r="I16" s="114">
        <f>INDEX('Table 3 PV wS Borah_2026'!$I$10:$I$36,MATCH($A16,'Table 3 PV wS Borah_2026'!$B$10:$B$36,0),1)</f>
        <v>80.109163516145401</v>
      </c>
      <c r="J16" s="114"/>
      <c r="K16" s="114">
        <f>INDEX('Table 3 NonE 206MW (UTN) 2031'!$L$14:$L$37,MATCH($A16,'Table 3 NonE 206MW (UTN) 2031'!$B$14:$B$37,0),1)</f>
        <v>0</v>
      </c>
      <c r="L16" s="114" t="e">
        <f>INDEX(#REF!,MATCH($A16,#REF!,0),1)</f>
        <v>#REF!</v>
      </c>
      <c r="M16" s="114"/>
    </row>
    <row r="17" spans="1:13">
      <c r="A17" s="111">
        <f t="shared" si="0"/>
        <v>2030</v>
      </c>
      <c r="B17" s="114">
        <f>INDEX('Table 3 WYE Wind_2029'!$J$10:$J$36,MATCH($A17,'Table 3 WYE Wind_2029'!$B$10:$B$36,0),1)</f>
        <v>54.78334888898371</v>
      </c>
      <c r="C17" s="114" t="e">
        <f>IF($A17&lt;C$3,0,INDEX(#REF!,MATCH($A17,#REF!,0),1))</f>
        <v>#REF!</v>
      </c>
      <c r="D17" s="114" t="e">
        <f>INDEX(#REF!,MATCH($A17,#REF!,0),1)</f>
        <v>#REF!</v>
      </c>
      <c r="E17" s="114" t="e">
        <f>INDEX(#REF!,MATCH($A17,#REF!,0),1)</f>
        <v>#REF!</v>
      </c>
      <c r="F17" s="114" t="e">
        <f>INDEX(#REF!,MATCH($A17,#REF!,0),1)</f>
        <v>#REF!</v>
      </c>
      <c r="G17" s="114" t="e">
        <f>INDEX(#REF!,MATCH($A17,#REF!,0),1)</f>
        <v>#REF!</v>
      </c>
      <c r="H17" s="114" t="e">
        <f>INDEX(#REF!,MATCH($A17,#REF!,0),1)</f>
        <v>#REF!</v>
      </c>
      <c r="I17" s="114">
        <f>INDEX('Table 3 PV wS Borah_2026'!$I$10:$I$36,MATCH($A17,'Table 3 PV wS Borah_2026'!$B$10:$B$36,0),1)</f>
        <v>81.835812834487143</v>
      </c>
      <c r="J17" s="114" t="e">
        <f>INDEX(#REF!,MATCH($A17,#REF!,0),1)</f>
        <v>#REF!</v>
      </c>
      <c r="K17" s="114">
        <f>INDEX('Table 3 NonE 206MW (UTN) 2031'!$L$14:$L$37,MATCH($A17,'Table 3 NonE 206MW (UTN) 2031'!$B$14:$B$37,0),1)</f>
        <v>0</v>
      </c>
      <c r="L17" s="114" t="e">
        <f>INDEX(#REF!,MATCH($A17,#REF!,0),1)</f>
        <v>#REF!</v>
      </c>
      <c r="M17" s="114"/>
    </row>
    <row r="18" spans="1:13">
      <c r="A18" s="111">
        <f t="shared" si="0"/>
        <v>2031</v>
      </c>
      <c r="B18" s="114">
        <f>INDEX('Table 3 WYE Wind_2029'!$J$10:$J$36,MATCH($A18,'Table 3 WYE Wind_2029'!$B$10:$B$36,0),1)</f>
        <v>55.965314306379874</v>
      </c>
      <c r="C18" s="114" t="e">
        <f>IF($A18&lt;C$3,0,INDEX(#REF!,MATCH($A18,#REF!,0),1))</f>
        <v>#REF!</v>
      </c>
      <c r="D18" s="114" t="e">
        <f>INDEX(#REF!,MATCH($A18,#REF!,0),1)</f>
        <v>#REF!</v>
      </c>
      <c r="E18" s="114" t="e">
        <f>INDEX(#REF!,MATCH($A18,#REF!,0),1)</f>
        <v>#REF!</v>
      </c>
      <c r="F18" s="114" t="e">
        <f>INDEX(#REF!,MATCH($A18,#REF!,0),1)</f>
        <v>#REF!</v>
      </c>
      <c r="G18" s="114" t="e">
        <f>INDEX(#REF!,MATCH($A18,#REF!,0),1)</f>
        <v>#REF!</v>
      </c>
      <c r="H18" s="114" t="e">
        <f>INDEX(#REF!,MATCH($A18,#REF!,0),1)</f>
        <v>#REF!</v>
      </c>
      <c r="I18" s="114">
        <f>INDEX('Table 3 PV wS Borah_2026'!$I$10:$I$36,MATCH($A18,'Table 3 PV wS Borah_2026'!$B$10:$B$36,0),1)</f>
        <v>83.599286427390709</v>
      </c>
      <c r="J18" s="114" t="e">
        <f>INDEX(#REF!,MATCH($A18,#REF!,0),1)</f>
        <v>#REF!</v>
      </c>
      <c r="K18" s="114">
        <f>INDEX('Table 3 NonE 206MW (UTN) 2031'!$L$14:$L$37,MATCH($A18,'Table 3 NonE 206MW (UTN) 2031'!$B$14:$B$37,0),1)</f>
        <v>401.1</v>
      </c>
      <c r="L18" s="114" t="e">
        <f>INDEX(#REF!,MATCH($A18,#REF!,0),1)</f>
        <v>#REF!</v>
      </c>
      <c r="M18" s="114"/>
    </row>
    <row r="19" spans="1:13">
      <c r="A19" s="111">
        <f t="shared" si="0"/>
        <v>2032</v>
      </c>
      <c r="B19" s="114">
        <f>INDEX('Table 3 WYE Wind_2029'!$J$10:$J$36,MATCH($A19,'Table 3 WYE Wind_2029'!$B$10:$B$36,0),1)</f>
        <v>57.170833076831357</v>
      </c>
      <c r="C19" s="114" t="e">
        <f>IF($A19&lt;C$3,0,INDEX(#REF!,MATCH($A19,#REF!,0),1))</f>
        <v>#REF!</v>
      </c>
      <c r="D19" s="114" t="e">
        <f>INDEX(#REF!,MATCH($A19,#REF!,0),1)</f>
        <v>#REF!</v>
      </c>
      <c r="E19" s="114" t="e">
        <f>INDEX(#REF!,MATCH($A19,#REF!,0),1)</f>
        <v>#REF!</v>
      </c>
      <c r="F19" s="114" t="e">
        <f>INDEX(#REF!,MATCH($A19,#REF!,0),1)</f>
        <v>#REF!</v>
      </c>
      <c r="G19" s="114" t="e">
        <f>INDEX(#REF!,MATCH($A19,#REF!,0),1)</f>
        <v>#REF!</v>
      </c>
      <c r="H19" s="114" t="e">
        <f>INDEX(#REF!,MATCH($A19,#REF!,0),1)</f>
        <v>#REF!</v>
      </c>
      <c r="I19" s="114">
        <f>INDEX('Table 3 PV wS Borah_2026'!$I$10:$I$36,MATCH($A19,'Table 3 PV wS Borah_2026'!$B$10:$B$36,0),1)</f>
        <v>85.399584294856055</v>
      </c>
      <c r="J19" s="114" t="e">
        <f>INDEX(#REF!,MATCH($A19,#REF!,0),1)</f>
        <v>#REF!</v>
      </c>
      <c r="K19" s="114">
        <f>INDEX('Table 3 NonE 206MW (UTN) 2031'!$L$14:$L$37,MATCH($A19,'Table 3 NonE 206MW (UTN) 2031'!$B$14:$B$37,0),1)</f>
        <v>409.76</v>
      </c>
      <c r="L19" s="114" t="e">
        <f>INDEX(#REF!,MATCH($A19,#REF!,0),1)</f>
        <v>#REF!</v>
      </c>
      <c r="M19" s="114" t="e">
        <f>INDEX(#REF!,MATCH($A19,#REF!,0),1)</f>
        <v>#REF!</v>
      </c>
    </row>
    <row r="20" spans="1:13">
      <c r="A20" s="111">
        <f t="shared" si="0"/>
        <v>2033</v>
      </c>
      <c r="B20" s="114">
        <f>INDEX('Table 3 WYE Wind_2029'!$J$10:$J$36,MATCH($A20,'Table 3 WYE Wind_2029'!$B$10:$B$36,0),1)</f>
        <v>58.402522239566544</v>
      </c>
      <c r="C20" s="114" t="e">
        <f>IF($A20&lt;C$3,0,INDEX(#REF!,MATCH($A20,#REF!,0),1))</f>
        <v>#REF!</v>
      </c>
      <c r="D20" s="114" t="e">
        <f>INDEX(#REF!,MATCH($A20,#REF!,0),1)</f>
        <v>#REF!</v>
      </c>
      <c r="E20" s="114" t="e">
        <f>INDEX(#REF!,MATCH($A20,#REF!,0),1)</f>
        <v>#REF!</v>
      </c>
      <c r="F20" s="114" t="e">
        <f>INDEX(#REF!,MATCH($A20,#REF!,0),1)</f>
        <v>#REF!</v>
      </c>
      <c r="G20" s="114" t="e">
        <f>INDEX(#REF!,MATCH($A20,#REF!,0),1)</f>
        <v>#REF!</v>
      </c>
      <c r="H20" s="114" t="e">
        <f>INDEX(#REF!,MATCH($A20,#REF!,0),1)</f>
        <v>#REF!</v>
      </c>
      <c r="I20" s="114">
        <f>INDEX('Table 3 PV wS Borah_2026'!$I$10:$I$36,MATCH($A20,'Table 3 PV wS Borah_2026'!$B$10:$B$36,0),1)</f>
        <v>87.240798022945611</v>
      </c>
      <c r="J20" s="114" t="e">
        <f>INDEX(#REF!,MATCH($A20,#REF!,0),1)</f>
        <v>#REF!</v>
      </c>
      <c r="K20" s="114">
        <f>INDEX('Table 3 NonE 206MW (UTN) 2031'!$L$14:$L$37,MATCH($A20,'Table 3 NonE 206MW (UTN) 2031'!$B$14:$B$37,0),1)</f>
        <v>418.55</v>
      </c>
      <c r="L20" s="114" t="e">
        <f>INDEX(#REF!,MATCH($A20,#REF!,0),1)</f>
        <v>#REF!</v>
      </c>
      <c r="M20" s="114" t="e">
        <f>INDEX(#REF!,MATCH($A20,#REF!,0),1)</f>
        <v>#REF!</v>
      </c>
    </row>
    <row r="21" spans="1:13">
      <c r="A21" s="111">
        <f t="shared" si="0"/>
        <v>2034</v>
      </c>
      <c r="B21" s="114">
        <f>INDEX('Table 3 WYE Wind_2029'!$J$10:$J$36,MATCH($A21,'Table 3 WYE Wind_2029'!$B$10:$B$36,0),1)</f>
        <v>59.662998833813788</v>
      </c>
      <c r="C21" s="114" t="e">
        <f>IF($A21&lt;C$3,0,INDEX(#REF!,MATCH($A21,#REF!,0),1))</f>
        <v>#REF!</v>
      </c>
      <c r="D21" s="114" t="e">
        <f>INDEX(#REF!,MATCH($A21,#REF!,0),1)</f>
        <v>#REF!</v>
      </c>
      <c r="E21" s="114" t="e">
        <f>INDEX(#REF!,MATCH($A21,#REF!,0),1)</f>
        <v>#REF!</v>
      </c>
      <c r="F21" s="114" t="e">
        <f>INDEX(#REF!,MATCH($A21,#REF!,0),1)</f>
        <v>#REF!</v>
      </c>
      <c r="G21" s="114" t="e">
        <f>INDEX(#REF!,MATCH($A21,#REF!,0),1)</f>
        <v>#REF!</v>
      </c>
      <c r="H21" s="114" t="e">
        <f>INDEX(#REF!,MATCH($A21,#REF!,0),1)</f>
        <v>#REF!</v>
      </c>
      <c r="I21" s="114">
        <f>INDEX('Table 3 PV wS Borah_2026'!$I$10:$I$36,MATCH($A21,'Table 3 PV wS Borah_2026'!$B$10:$B$36,0),1)</f>
        <v>89.122927611659378</v>
      </c>
      <c r="J21" s="114" t="e">
        <f>INDEX(#REF!,MATCH($A21,#REF!,0),1)</f>
        <v>#REF!</v>
      </c>
      <c r="K21" s="114">
        <f>INDEX('Table 3 NonE 206MW (UTN) 2031'!$L$14:$L$37,MATCH($A21,'Table 3 NonE 206MW (UTN) 2031'!$B$14:$B$37,0),1)</f>
        <v>427.59</v>
      </c>
      <c r="L21" s="114" t="e">
        <f>INDEX(#REF!,MATCH($A21,#REF!,0),1)</f>
        <v>#REF!</v>
      </c>
      <c r="M21" s="114" t="e">
        <f>INDEX(#REF!,MATCH($A21,#REF!,0),1)</f>
        <v>#REF!</v>
      </c>
    </row>
    <row r="22" spans="1:13">
      <c r="A22" s="111">
        <f t="shared" si="0"/>
        <v>2035</v>
      </c>
      <c r="B22" s="114">
        <f>INDEX('Table 3 WYE Wind_2029'!$J$10:$J$36,MATCH($A22,'Table 3 WYE Wind_2029'!$B$10:$B$36,0),1)</f>
        <v>60.949645820344735</v>
      </c>
      <c r="C22" s="114" t="e">
        <f>IF($A22&lt;C$3,0,INDEX(#REF!,MATCH($A22,#REF!,0),1))</f>
        <v>#REF!</v>
      </c>
      <c r="D22" s="114" t="e">
        <f>INDEX(#REF!,MATCH($A22,#REF!,0),1)</f>
        <v>#REF!</v>
      </c>
      <c r="E22" s="114" t="e">
        <f>INDEX(#REF!,MATCH($A22,#REF!,0),1)</f>
        <v>#REF!</v>
      </c>
      <c r="F22" s="114" t="e">
        <f>INDEX(#REF!,MATCH($A22,#REF!,0),1)</f>
        <v>#REF!</v>
      </c>
      <c r="G22" s="114" t="e">
        <f>INDEX(#REF!,MATCH($A22,#REF!,0),1)</f>
        <v>#REF!</v>
      </c>
      <c r="H22" s="114" t="e">
        <f>INDEX(#REF!,MATCH($A22,#REF!,0),1)</f>
        <v>#REF!</v>
      </c>
      <c r="I22" s="114">
        <f>INDEX('Table 3 PV wS Borah_2026'!$I$10:$I$36,MATCH($A22,'Table 3 PV wS Borah_2026'!$B$10:$B$36,0),1)</f>
        <v>91.041881474934925</v>
      </c>
      <c r="J22" s="114" t="e">
        <f>INDEX(#REF!,MATCH($A22,#REF!,0),1)</f>
        <v>#REF!</v>
      </c>
      <c r="K22" s="114">
        <f>INDEX('Table 3 NonE 206MW (UTN) 2031'!$L$14:$L$37,MATCH($A22,'Table 3 NonE 206MW (UTN) 2031'!$B$14:$B$37,0),1)</f>
        <v>436.84</v>
      </c>
      <c r="L22" s="114" t="e">
        <f>INDEX(#REF!,MATCH($A22,#REF!,0),1)</f>
        <v>#REF!</v>
      </c>
      <c r="M22" s="114" t="e">
        <f>INDEX(#REF!,MATCH($A22,#REF!,0),1)</f>
        <v>#REF!</v>
      </c>
    </row>
    <row r="23" spans="1:13">
      <c r="A23" s="111">
        <f t="shared" si="0"/>
        <v>2036</v>
      </c>
      <c r="B23" s="114">
        <f>INDEX('Table 3 WYE Wind_2029'!$J$10:$J$36,MATCH($A23,'Table 3 WYE Wind_2029'!$B$10:$B$36,0),1)</f>
        <v>62.265080238387746</v>
      </c>
      <c r="C23" s="114" t="e">
        <f>IF($A23&lt;C$3,0,INDEX(#REF!,MATCH($A23,#REF!,0),1))</f>
        <v>#REF!</v>
      </c>
      <c r="D23" s="114" t="e">
        <f>INDEX(#REF!,MATCH($A23,#REF!,0),1)</f>
        <v>#REF!</v>
      </c>
      <c r="E23" s="114" t="e">
        <f>INDEX(#REF!,MATCH($A23,#REF!,0),1)</f>
        <v>#REF!</v>
      </c>
      <c r="F23" s="114" t="e">
        <f>INDEX(#REF!,MATCH($A23,#REF!,0),1)</f>
        <v>#REF!</v>
      </c>
      <c r="G23" s="114" t="e">
        <f>INDEX(#REF!,MATCH($A23,#REF!,0),1)</f>
        <v>#REF!</v>
      </c>
      <c r="H23" s="114" t="e">
        <f>INDEX(#REF!,MATCH($A23,#REF!,0),1)</f>
        <v>#REF!</v>
      </c>
      <c r="I23" s="114">
        <f>INDEX('Table 3 PV wS Borah_2026'!$I$10:$I$36,MATCH($A23,'Table 3 PV wS Borah_2026'!$B$10:$B$36,0),1)</f>
        <v>93.001751198834711</v>
      </c>
      <c r="J23" s="114" t="e">
        <f>INDEX(#REF!,MATCH($A23,#REF!,0),1)</f>
        <v>#REF!</v>
      </c>
      <c r="K23" s="114">
        <f>INDEX('Table 3 NonE 206MW (UTN) 2031'!$L$14:$L$37,MATCH($A23,'Table 3 NonE 206MW (UTN) 2031'!$B$14:$B$37,0),1)</f>
        <v>446.21</v>
      </c>
      <c r="L23" s="114" t="e">
        <f>INDEX(#REF!,MATCH($A23,#REF!,0),1)</f>
        <v>#REF!</v>
      </c>
      <c r="M23" s="114" t="e">
        <f>INDEX(#REF!,MATCH($A23,#REF!,0),1)</f>
        <v>#REF!</v>
      </c>
    </row>
    <row r="24" spans="1:13">
      <c r="A24" s="111">
        <f t="shared" si="0"/>
        <v>2037</v>
      </c>
      <c r="B24" s="114">
        <f>INDEX('Table 3 WYE Wind_2029'!$J$10:$J$36,MATCH($A24,'Table 3 WYE Wind_2029'!$B$10:$B$36,0),1)</f>
        <v>63.606685048714461</v>
      </c>
      <c r="C24" s="114" t="e">
        <f>IF($A24&lt;C$3,0,INDEX(#REF!,MATCH($A24,#REF!,0),1))</f>
        <v>#REF!</v>
      </c>
      <c r="D24" s="114" t="e">
        <f>INDEX(#REF!,MATCH($A24,#REF!,0),1)</f>
        <v>#REF!</v>
      </c>
      <c r="E24" s="114" t="e">
        <f>INDEX(#REF!,MATCH($A24,#REF!,0),1)</f>
        <v>#REF!</v>
      </c>
      <c r="F24" s="114" t="e">
        <f>INDEX(#REF!,MATCH($A24,#REF!,0),1)</f>
        <v>#REF!</v>
      </c>
      <c r="G24" s="114" t="e">
        <f>INDEX(#REF!,MATCH($A24,#REF!,0),1)</f>
        <v>#REF!</v>
      </c>
      <c r="H24" s="114" t="e">
        <f>INDEX(#REF!,MATCH($A24,#REF!,0),1)</f>
        <v>#REF!</v>
      </c>
      <c r="I24" s="114">
        <f>INDEX('Table 3 PV wS Borah_2026'!$I$10:$I$36,MATCH($A24,'Table 3 PV wS Borah_2026'!$B$10:$B$36,0),1)</f>
        <v>95.006628369421122</v>
      </c>
      <c r="J24" s="114" t="e">
        <f>INDEX(#REF!,MATCH($A24,#REF!,0),1)</f>
        <v>#REF!</v>
      </c>
      <c r="K24" s="114">
        <f>INDEX('Table 3 NonE 206MW (UTN) 2031'!$L$14:$L$37,MATCH($A24,'Table 3 NonE 206MW (UTN) 2031'!$B$14:$B$37,0),1)</f>
        <v>455.84</v>
      </c>
      <c r="L24" s="114" t="e">
        <f>INDEX(#REF!,MATCH($A24,#REF!,0),1)</f>
        <v>#REF!</v>
      </c>
      <c r="M24" s="114" t="e">
        <f>INDEX(#REF!,MATCH($A24,#REF!,0),1)</f>
        <v>#REF!</v>
      </c>
    </row>
    <row r="25" spans="1:13">
      <c r="A25" s="111">
        <f t="shared" si="0"/>
        <v>2038</v>
      </c>
      <c r="B25" s="114">
        <f>INDEX('Table 3 WYE Wind_2029'!$J$10:$J$36,MATCH($A25,'Table 3 WYE Wind_2029'!$B$10:$B$36,0),1)</f>
        <v>64.97707729055324</v>
      </c>
      <c r="C25" s="114" t="e">
        <f>IF($A25&lt;C$3,0,INDEX(#REF!,MATCH($A25,#REF!,0),1))</f>
        <v>#REF!</v>
      </c>
      <c r="D25" s="114" t="e">
        <f>INDEX(#REF!,MATCH($A25,#REF!,0),1)</f>
        <v>#REF!</v>
      </c>
      <c r="E25" s="114" t="e">
        <f>INDEX(#REF!,MATCH($A25,#REF!,0),1)</f>
        <v>#REF!</v>
      </c>
      <c r="F25" s="114" t="e">
        <f>INDEX(#REF!,MATCH($A25,#REF!,0),1)</f>
        <v>#REF!</v>
      </c>
      <c r="G25" s="114" t="e">
        <f>INDEX(#REF!,MATCH($A25,#REF!,0),1)</f>
        <v>#REF!</v>
      </c>
      <c r="H25" s="114" t="e">
        <f>INDEX(#REF!,MATCH($A25,#REF!,0),1)</f>
        <v>#REF!</v>
      </c>
      <c r="I25" s="114">
        <f>INDEX('Table 3 PV wS Borah_2026'!$I$10:$I$36,MATCH($A25,'Table 3 PV wS Borah_2026'!$B$10:$B$36,0),1)</f>
        <v>97.052421400631729</v>
      </c>
      <c r="J25" s="114" t="e">
        <f>INDEX(#REF!,MATCH($A25,#REF!,0),1)</f>
        <v>#REF!</v>
      </c>
      <c r="K25" s="114">
        <f>INDEX('Table 3 NonE 206MW (UTN) 2031'!$L$14:$L$37,MATCH($A25,'Table 3 NonE 206MW (UTN) 2031'!$B$14:$B$37,0),1)</f>
        <v>465.69</v>
      </c>
      <c r="L25" s="114" t="e">
        <f>INDEX(#REF!,MATCH($A25,#REF!,0),1)</f>
        <v>#REF!</v>
      </c>
      <c r="M25" s="114" t="e">
        <f>INDEX(#REF!,MATCH($A25,#REF!,0),1)</f>
        <v>#REF!</v>
      </c>
    </row>
    <row r="26" spans="1:13">
      <c r="A26" s="111">
        <f t="shared" si="0"/>
        <v>2039</v>
      </c>
      <c r="B26" s="292">
        <f>B25*(1+$N$14)</f>
        <v>66.455305798913329</v>
      </c>
      <c r="C26" s="292" t="e">
        <f t="shared" ref="C26:C40" si="1">C25*(1+$N$14)</f>
        <v>#REF!</v>
      </c>
      <c r="D26" s="292" t="e">
        <f t="shared" ref="D26:D40" si="2">D25*(1+$N$14)</f>
        <v>#REF!</v>
      </c>
      <c r="E26" s="292" t="e">
        <f t="shared" ref="E26:E40" si="3">E25*(1+$N$14)</f>
        <v>#REF!</v>
      </c>
      <c r="F26" s="292" t="e">
        <f t="shared" ref="F26:F40" si="4">F25*(1+$N$14)</f>
        <v>#REF!</v>
      </c>
      <c r="G26" s="292" t="e">
        <f t="shared" ref="G26:G40" si="5">G25*(1+$N$14)</f>
        <v>#REF!</v>
      </c>
      <c r="H26" s="292" t="e">
        <f t="shared" ref="H26:H40" si="6">H25*(1+$N$14)</f>
        <v>#REF!</v>
      </c>
      <c r="I26" s="292">
        <f t="shared" ref="I26:I40" si="7">I25*(1+$N$14)</f>
        <v>99.260363987496106</v>
      </c>
      <c r="J26" s="292" t="e">
        <f t="shared" ref="J26:J40" si="8">J25*(1+$N$14)</f>
        <v>#REF!</v>
      </c>
      <c r="K26" s="292">
        <f t="shared" ref="K26:K40" si="9">K25*(1+$N$14)</f>
        <v>476.2844475</v>
      </c>
      <c r="L26" s="292" t="e">
        <f t="shared" ref="L26:L40" si="10">L25*(1+$N$14)</f>
        <v>#REF!</v>
      </c>
      <c r="M26" s="292" t="e">
        <f t="shared" ref="M26:M46" si="11">M25*(1+$N$14)</f>
        <v>#REF!</v>
      </c>
    </row>
    <row r="27" spans="1:13">
      <c r="A27" s="111">
        <f t="shared" si="0"/>
        <v>2040</v>
      </c>
      <c r="B27" s="292">
        <f t="shared" ref="B27:B40" si="12">B26*(1+$N$14)</f>
        <v>67.967164005838612</v>
      </c>
      <c r="C27" s="292" t="e">
        <f t="shared" si="1"/>
        <v>#REF!</v>
      </c>
      <c r="D27" s="292" t="e">
        <f t="shared" si="2"/>
        <v>#REF!</v>
      </c>
      <c r="E27" s="292" t="e">
        <f t="shared" si="3"/>
        <v>#REF!</v>
      </c>
      <c r="F27" s="292" t="e">
        <f t="shared" si="4"/>
        <v>#REF!</v>
      </c>
      <c r="G27" s="292" t="e">
        <f t="shared" si="5"/>
        <v>#REF!</v>
      </c>
      <c r="H27" s="292" t="e">
        <f t="shared" si="6"/>
        <v>#REF!</v>
      </c>
      <c r="I27" s="292">
        <f t="shared" si="7"/>
        <v>101.51853726821165</v>
      </c>
      <c r="J27" s="292" t="e">
        <f t="shared" si="8"/>
        <v>#REF!</v>
      </c>
      <c r="K27" s="292">
        <f t="shared" si="9"/>
        <v>487.11991868062501</v>
      </c>
      <c r="L27" s="292" t="e">
        <f t="shared" si="10"/>
        <v>#REF!</v>
      </c>
      <c r="M27" s="292" t="e">
        <f t="shared" si="11"/>
        <v>#REF!</v>
      </c>
    </row>
    <row r="28" spans="1:13">
      <c r="A28" s="111">
        <f t="shared" si="0"/>
        <v>2041</v>
      </c>
      <c r="B28" s="292">
        <f t="shared" si="12"/>
        <v>69.51341698697145</v>
      </c>
      <c r="C28" s="292" t="e">
        <f t="shared" si="1"/>
        <v>#REF!</v>
      </c>
      <c r="D28" s="292" t="e">
        <f t="shared" si="2"/>
        <v>#REF!</v>
      </c>
      <c r="E28" s="292" t="e">
        <f t="shared" si="3"/>
        <v>#REF!</v>
      </c>
      <c r="F28" s="292" t="e">
        <f t="shared" si="4"/>
        <v>#REF!</v>
      </c>
      <c r="G28" s="292" t="e">
        <f t="shared" si="5"/>
        <v>#REF!</v>
      </c>
      <c r="H28" s="292" t="e">
        <f t="shared" si="6"/>
        <v>#REF!</v>
      </c>
      <c r="I28" s="292">
        <f t="shared" si="7"/>
        <v>103.82808399106347</v>
      </c>
      <c r="J28" s="292" t="e">
        <f t="shared" si="8"/>
        <v>#REF!</v>
      </c>
      <c r="K28" s="292">
        <f t="shared" si="9"/>
        <v>498.20189683060926</v>
      </c>
      <c r="L28" s="292" t="e">
        <f t="shared" si="10"/>
        <v>#REF!</v>
      </c>
      <c r="M28" s="292" t="e">
        <f t="shared" si="11"/>
        <v>#REF!</v>
      </c>
    </row>
    <row r="29" spans="1:13">
      <c r="A29" s="111">
        <f t="shared" si="0"/>
        <v>2042</v>
      </c>
      <c r="B29" s="292">
        <f t="shared" si="12"/>
        <v>71.094847223425049</v>
      </c>
      <c r="C29" s="292" t="e">
        <f t="shared" si="1"/>
        <v>#REF!</v>
      </c>
      <c r="D29" s="292" t="e">
        <f t="shared" si="2"/>
        <v>#REF!</v>
      </c>
      <c r="E29" s="292" t="e">
        <f t="shared" si="3"/>
        <v>#REF!</v>
      </c>
      <c r="F29" s="292" t="e">
        <f t="shared" si="4"/>
        <v>#REF!</v>
      </c>
      <c r="G29" s="292" t="e">
        <f t="shared" si="5"/>
        <v>#REF!</v>
      </c>
      <c r="H29" s="292" t="e">
        <f t="shared" si="6"/>
        <v>#REF!</v>
      </c>
      <c r="I29" s="292">
        <f t="shared" si="7"/>
        <v>106.19017290186017</v>
      </c>
      <c r="J29" s="292" t="e">
        <f t="shared" si="8"/>
        <v>#REF!</v>
      </c>
      <c r="K29" s="292">
        <f t="shared" si="9"/>
        <v>509.53598998350566</v>
      </c>
      <c r="L29" s="292" t="e">
        <f t="shared" si="10"/>
        <v>#REF!</v>
      </c>
      <c r="M29" s="292" t="e">
        <f t="shared" si="11"/>
        <v>#REF!</v>
      </c>
    </row>
    <row r="30" spans="1:13">
      <c r="A30" s="111">
        <f t="shared" si="0"/>
        <v>2043</v>
      </c>
      <c r="B30" s="292">
        <f t="shared" si="12"/>
        <v>72.712254997757967</v>
      </c>
      <c r="C30" s="292" t="e">
        <f t="shared" si="1"/>
        <v>#REF!</v>
      </c>
      <c r="D30" s="292" t="e">
        <f t="shared" si="2"/>
        <v>#REF!</v>
      </c>
      <c r="E30" s="292" t="e">
        <f t="shared" si="3"/>
        <v>#REF!</v>
      </c>
      <c r="F30" s="292" t="e">
        <f t="shared" si="4"/>
        <v>#REF!</v>
      </c>
      <c r="G30" s="292" t="e">
        <f t="shared" si="5"/>
        <v>#REF!</v>
      </c>
      <c r="H30" s="292" t="e">
        <f t="shared" si="6"/>
        <v>#REF!</v>
      </c>
      <c r="I30" s="292">
        <f t="shared" si="7"/>
        <v>108.60599933537749</v>
      </c>
      <c r="J30" s="292" t="e">
        <f t="shared" si="8"/>
        <v>#REF!</v>
      </c>
      <c r="K30" s="292">
        <f t="shared" si="9"/>
        <v>521.12793375563047</v>
      </c>
      <c r="L30" s="292" t="e">
        <f t="shared" si="10"/>
        <v>#REF!</v>
      </c>
      <c r="M30" s="292" t="e">
        <f t="shared" si="11"/>
        <v>#REF!</v>
      </c>
    </row>
    <row r="31" spans="1:13">
      <c r="A31" s="111">
        <f t="shared" si="0"/>
        <v>2044</v>
      </c>
      <c r="B31" s="292">
        <f t="shared" si="12"/>
        <v>74.36645879895697</v>
      </c>
      <c r="C31" s="292" t="e">
        <f t="shared" si="1"/>
        <v>#REF!</v>
      </c>
      <c r="D31" s="292" t="e">
        <f t="shared" si="2"/>
        <v>#REF!</v>
      </c>
      <c r="E31" s="292" t="e">
        <f t="shared" si="3"/>
        <v>#REF!</v>
      </c>
      <c r="F31" s="292" t="e">
        <f t="shared" si="4"/>
        <v>#REF!</v>
      </c>
      <c r="G31" s="292" t="e">
        <f t="shared" si="5"/>
        <v>#REF!</v>
      </c>
      <c r="H31" s="292" t="e">
        <f t="shared" si="6"/>
        <v>#REF!</v>
      </c>
      <c r="I31" s="292">
        <f t="shared" si="7"/>
        <v>111.07678582025733</v>
      </c>
      <c r="J31" s="292" t="e">
        <f t="shared" si="8"/>
        <v>#REF!</v>
      </c>
      <c r="K31" s="292">
        <f t="shared" si="9"/>
        <v>532.98359424857108</v>
      </c>
      <c r="L31" s="292" t="e">
        <f t="shared" si="10"/>
        <v>#REF!</v>
      </c>
      <c r="M31" s="292" t="e">
        <f t="shared" si="11"/>
        <v>#REF!</v>
      </c>
    </row>
    <row r="32" spans="1:13">
      <c r="A32" s="111">
        <f t="shared" si="0"/>
        <v>2045</v>
      </c>
      <c r="B32" s="292">
        <f t="shared" si="12"/>
        <v>76.058295736633241</v>
      </c>
      <c r="C32" s="292" t="e">
        <f t="shared" si="1"/>
        <v>#REF!</v>
      </c>
      <c r="D32" s="292" t="e">
        <f t="shared" si="2"/>
        <v>#REF!</v>
      </c>
      <c r="E32" s="292" t="e">
        <f t="shared" si="3"/>
        <v>#REF!</v>
      </c>
      <c r="F32" s="292" t="e">
        <f t="shared" si="4"/>
        <v>#REF!</v>
      </c>
      <c r="G32" s="292" t="e">
        <f t="shared" si="5"/>
        <v>#REF!</v>
      </c>
      <c r="H32" s="292" t="e">
        <f t="shared" si="6"/>
        <v>#REF!</v>
      </c>
      <c r="I32" s="292">
        <f t="shared" si="7"/>
        <v>113.60378269766819</v>
      </c>
      <c r="J32" s="292" t="e">
        <f t="shared" si="8"/>
        <v>#REF!</v>
      </c>
      <c r="K32" s="292">
        <f t="shared" si="9"/>
        <v>545.10897101772605</v>
      </c>
      <c r="L32" s="292" t="e">
        <f t="shared" si="10"/>
        <v>#REF!</v>
      </c>
      <c r="M32" s="292" t="e">
        <f t="shared" si="11"/>
        <v>#REF!</v>
      </c>
    </row>
    <row r="33" spans="1:13">
      <c r="A33" s="111">
        <f t="shared" si="0"/>
        <v>2046</v>
      </c>
      <c r="B33" s="292">
        <f t="shared" si="12"/>
        <v>77.788621964641649</v>
      </c>
      <c r="C33" s="292" t="e">
        <f t="shared" si="1"/>
        <v>#REF!</v>
      </c>
      <c r="D33" s="292" t="e">
        <f t="shared" si="2"/>
        <v>#REF!</v>
      </c>
      <c r="E33" s="292" t="e">
        <f t="shared" si="3"/>
        <v>#REF!</v>
      </c>
      <c r="F33" s="292" t="e">
        <f t="shared" si="4"/>
        <v>#REF!</v>
      </c>
      <c r="G33" s="292" t="e">
        <f t="shared" si="5"/>
        <v>#REF!</v>
      </c>
      <c r="H33" s="292" t="e">
        <f t="shared" si="6"/>
        <v>#REF!</v>
      </c>
      <c r="I33" s="292">
        <f t="shared" si="7"/>
        <v>116.18826875404015</v>
      </c>
      <c r="J33" s="292" t="e">
        <f t="shared" si="8"/>
        <v>#REF!</v>
      </c>
      <c r="K33" s="292">
        <f t="shared" si="9"/>
        <v>557.51020010837931</v>
      </c>
      <c r="L33" s="292" t="e">
        <f t="shared" si="10"/>
        <v>#REF!</v>
      </c>
      <c r="M33" s="292" t="e">
        <f t="shared" si="11"/>
        <v>#REF!</v>
      </c>
    </row>
    <row r="34" spans="1:13">
      <c r="A34" s="111">
        <f t="shared" si="0"/>
        <v>2047</v>
      </c>
      <c r="B34" s="292">
        <f t="shared" si="12"/>
        <v>79.558313114337253</v>
      </c>
      <c r="C34" s="292" t="e">
        <f t="shared" si="1"/>
        <v>#REF!</v>
      </c>
      <c r="D34" s="292" t="e">
        <f t="shared" si="2"/>
        <v>#REF!</v>
      </c>
      <c r="E34" s="292" t="e">
        <f t="shared" si="3"/>
        <v>#REF!</v>
      </c>
      <c r="F34" s="292" t="e">
        <f t="shared" si="4"/>
        <v>#REF!</v>
      </c>
      <c r="G34" s="292" t="e">
        <f t="shared" si="5"/>
        <v>#REF!</v>
      </c>
      <c r="H34" s="292" t="e">
        <f t="shared" si="6"/>
        <v>#REF!</v>
      </c>
      <c r="I34" s="292">
        <f t="shared" si="7"/>
        <v>118.83155186819457</v>
      </c>
      <c r="J34" s="292" t="e">
        <f t="shared" si="8"/>
        <v>#REF!</v>
      </c>
      <c r="K34" s="292">
        <f t="shared" si="9"/>
        <v>570.19355716084499</v>
      </c>
      <c r="L34" s="292" t="e">
        <f t="shared" si="10"/>
        <v>#REF!</v>
      </c>
      <c r="M34" s="292" t="e">
        <f t="shared" si="11"/>
        <v>#REF!</v>
      </c>
    </row>
    <row r="35" spans="1:13">
      <c r="A35" s="111">
        <f t="shared" si="0"/>
        <v>2048</v>
      </c>
      <c r="B35" s="292">
        <f t="shared" si="12"/>
        <v>81.368264737688435</v>
      </c>
      <c r="C35" s="292" t="e">
        <f t="shared" si="1"/>
        <v>#REF!</v>
      </c>
      <c r="D35" s="292" t="e">
        <f t="shared" si="2"/>
        <v>#REF!</v>
      </c>
      <c r="E35" s="292" t="e">
        <f t="shared" si="3"/>
        <v>#REF!</v>
      </c>
      <c r="F35" s="292" t="e">
        <f t="shared" si="4"/>
        <v>#REF!</v>
      </c>
      <c r="G35" s="292" t="e">
        <f t="shared" si="5"/>
        <v>#REF!</v>
      </c>
      <c r="H35" s="292" t="e">
        <f t="shared" si="6"/>
        <v>#REF!</v>
      </c>
      <c r="I35" s="292">
        <f t="shared" si="7"/>
        <v>121.534969673196</v>
      </c>
      <c r="J35" s="292" t="e">
        <f t="shared" si="8"/>
        <v>#REF!</v>
      </c>
      <c r="K35" s="292">
        <f t="shared" si="9"/>
        <v>583.1654605862542</v>
      </c>
      <c r="L35" s="292" t="e">
        <f t="shared" si="10"/>
        <v>#REF!</v>
      </c>
      <c r="M35" s="292" t="e">
        <f t="shared" si="11"/>
        <v>#REF!</v>
      </c>
    </row>
    <row r="36" spans="1:13">
      <c r="A36" s="111">
        <f t="shared" si="0"/>
        <v>2049</v>
      </c>
      <c r="B36" s="292">
        <f t="shared" si="12"/>
        <v>83.219392760470853</v>
      </c>
      <c r="C36" s="292" t="e">
        <f t="shared" si="1"/>
        <v>#REF!</v>
      </c>
      <c r="D36" s="292" t="e">
        <f t="shared" si="2"/>
        <v>#REF!</v>
      </c>
      <c r="E36" s="292" t="e">
        <f t="shared" si="3"/>
        <v>#REF!</v>
      </c>
      <c r="F36" s="292" t="e">
        <f t="shared" si="4"/>
        <v>#REF!</v>
      </c>
      <c r="G36" s="292" t="e">
        <f t="shared" si="5"/>
        <v>#REF!</v>
      </c>
      <c r="H36" s="292" t="e">
        <f t="shared" si="6"/>
        <v>#REF!</v>
      </c>
      <c r="I36" s="292">
        <f t="shared" si="7"/>
        <v>124.29989023326122</v>
      </c>
      <c r="J36" s="292" t="e">
        <f t="shared" si="8"/>
        <v>#REF!</v>
      </c>
      <c r="K36" s="292">
        <f t="shared" si="9"/>
        <v>596.4324748145915</v>
      </c>
      <c r="L36" s="292" t="e">
        <f t="shared" si="10"/>
        <v>#REF!</v>
      </c>
      <c r="M36" s="292" t="e">
        <f t="shared" si="11"/>
        <v>#REF!</v>
      </c>
    </row>
    <row r="37" spans="1:13">
      <c r="A37" s="111">
        <f t="shared" si="0"/>
        <v>2050</v>
      </c>
      <c r="B37" s="292">
        <f t="shared" si="12"/>
        <v>85.112633945771563</v>
      </c>
      <c r="C37" s="292" t="e">
        <f t="shared" si="1"/>
        <v>#REF!</v>
      </c>
      <c r="D37" s="292" t="e">
        <f t="shared" si="2"/>
        <v>#REF!</v>
      </c>
      <c r="E37" s="292" t="e">
        <f t="shared" si="3"/>
        <v>#REF!</v>
      </c>
      <c r="F37" s="292" t="e">
        <f t="shared" si="4"/>
        <v>#REF!</v>
      </c>
      <c r="G37" s="292" t="e">
        <f t="shared" si="5"/>
        <v>#REF!</v>
      </c>
      <c r="H37" s="292" t="e">
        <f t="shared" si="6"/>
        <v>#REF!</v>
      </c>
      <c r="I37" s="292">
        <f t="shared" si="7"/>
        <v>127.12771273606792</v>
      </c>
      <c r="J37" s="292" t="e">
        <f t="shared" si="8"/>
        <v>#REF!</v>
      </c>
      <c r="K37" s="292">
        <f t="shared" si="9"/>
        <v>610.00131361662352</v>
      </c>
      <c r="L37" s="292" t="e">
        <f t="shared" si="10"/>
        <v>#REF!</v>
      </c>
      <c r="M37" s="292" t="e">
        <f t="shared" si="11"/>
        <v>#REF!</v>
      </c>
    </row>
    <row r="38" spans="1:13">
      <c r="A38" s="111">
        <f t="shared" si="0"/>
        <v>2051</v>
      </c>
      <c r="B38" s="292">
        <f t="shared" si="12"/>
        <v>87.048946368037875</v>
      </c>
      <c r="C38" s="292" t="e">
        <f t="shared" si="1"/>
        <v>#REF!</v>
      </c>
      <c r="D38" s="292" t="e">
        <f t="shared" si="2"/>
        <v>#REF!</v>
      </c>
      <c r="E38" s="292" t="e">
        <f t="shared" si="3"/>
        <v>#REF!</v>
      </c>
      <c r="F38" s="292" t="e">
        <f t="shared" si="4"/>
        <v>#REF!</v>
      </c>
      <c r="G38" s="292" t="e">
        <f t="shared" si="5"/>
        <v>#REF!</v>
      </c>
      <c r="H38" s="292" t="e">
        <f t="shared" si="6"/>
        <v>#REF!</v>
      </c>
      <c r="I38" s="292">
        <f t="shared" si="7"/>
        <v>130.01986820081348</v>
      </c>
      <c r="J38" s="292" t="e">
        <f t="shared" si="8"/>
        <v>#REF!</v>
      </c>
      <c r="K38" s="292">
        <f t="shared" si="9"/>
        <v>623.87884350140178</v>
      </c>
      <c r="L38" s="292" t="e">
        <f t="shared" si="10"/>
        <v>#REF!</v>
      </c>
      <c r="M38" s="292" t="e">
        <f t="shared" si="11"/>
        <v>#REF!</v>
      </c>
    </row>
    <row r="39" spans="1:13">
      <c r="A39" s="111">
        <f t="shared" si="0"/>
        <v>2052</v>
      </c>
      <c r="B39" s="292">
        <f t="shared" si="12"/>
        <v>89.029309897910736</v>
      </c>
      <c r="C39" s="292" t="e">
        <f t="shared" si="1"/>
        <v>#REF!</v>
      </c>
      <c r="D39" s="292" t="e">
        <f t="shared" si="2"/>
        <v>#REF!</v>
      </c>
      <c r="E39" s="292" t="e">
        <f t="shared" si="3"/>
        <v>#REF!</v>
      </c>
      <c r="F39" s="292" t="e">
        <f t="shared" si="4"/>
        <v>#REF!</v>
      </c>
      <c r="G39" s="292" t="e">
        <f t="shared" si="5"/>
        <v>#REF!</v>
      </c>
      <c r="H39" s="292" t="e">
        <f t="shared" si="6"/>
        <v>#REF!</v>
      </c>
      <c r="I39" s="292">
        <f t="shared" si="7"/>
        <v>132.97782020238199</v>
      </c>
      <c r="J39" s="292" t="e">
        <f t="shared" si="8"/>
        <v>#REF!</v>
      </c>
      <c r="K39" s="292">
        <f t="shared" si="9"/>
        <v>638.0720871910587</v>
      </c>
      <c r="L39" s="292" t="e">
        <f t="shared" si="10"/>
        <v>#REF!</v>
      </c>
      <c r="M39" s="292" t="e">
        <f t="shared" si="11"/>
        <v>#REF!</v>
      </c>
    </row>
    <row r="40" spans="1:13">
      <c r="A40" s="111">
        <f t="shared" si="0"/>
        <v>2053</v>
      </c>
      <c r="B40" s="292">
        <f t="shared" si="12"/>
        <v>91.054726698088203</v>
      </c>
      <c r="C40" s="292" t="e">
        <f t="shared" si="1"/>
        <v>#REF!</v>
      </c>
      <c r="D40" s="292" t="e">
        <f t="shared" si="2"/>
        <v>#REF!</v>
      </c>
      <c r="E40" s="292" t="e">
        <f t="shared" si="3"/>
        <v>#REF!</v>
      </c>
      <c r="F40" s="292" t="e">
        <f t="shared" si="4"/>
        <v>#REF!</v>
      </c>
      <c r="G40" s="292" t="e">
        <f t="shared" si="5"/>
        <v>#REF!</v>
      </c>
      <c r="H40" s="292" t="e">
        <f t="shared" si="6"/>
        <v>#REF!</v>
      </c>
      <c r="I40" s="292">
        <f t="shared" si="7"/>
        <v>136.00306561198619</v>
      </c>
      <c r="J40" s="292" t="e">
        <f t="shared" si="8"/>
        <v>#REF!</v>
      </c>
      <c r="K40" s="292">
        <f t="shared" si="9"/>
        <v>652.58822717465534</v>
      </c>
      <c r="L40" s="292" t="e">
        <f t="shared" si="10"/>
        <v>#REF!</v>
      </c>
      <c r="M40" s="292" t="e">
        <f t="shared" si="11"/>
        <v>#REF!</v>
      </c>
    </row>
    <row r="41" spans="1:13">
      <c r="A41" s="111">
        <f t="shared" si="0"/>
        <v>2054</v>
      </c>
      <c r="B41" s="292"/>
      <c r="C41" s="292" t="e">
        <f t="shared" ref="C41:C46" si="13">C40*(1+$N$14)</f>
        <v>#REF!</v>
      </c>
      <c r="D41" s="292"/>
      <c r="E41" s="292"/>
      <c r="F41" s="292"/>
      <c r="G41" s="292"/>
      <c r="H41" s="292" t="e">
        <f t="shared" ref="H41:H45" si="14">H40*(1+$N$14)</f>
        <v>#REF!</v>
      </c>
      <c r="I41" s="292"/>
      <c r="J41" s="292" t="e">
        <f t="shared" ref="J41:J46" si="15">J40*(1+$N$14)</f>
        <v>#REF!</v>
      </c>
      <c r="K41" s="292">
        <f>K40*(1+$N$14)</f>
        <v>667.43460934287873</v>
      </c>
      <c r="L41" s="292" t="e">
        <f>L40*(1+$N$14)</f>
        <v>#REF!</v>
      </c>
      <c r="M41" s="292" t="e">
        <f t="shared" si="11"/>
        <v>#REF!</v>
      </c>
    </row>
    <row r="42" spans="1:13">
      <c r="A42" s="111">
        <f t="shared" si="0"/>
        <v>2055</v>
      </c>
      <c r="B42" s="292"/>
      <c r="C42" s="292" t="e">
        <f t="shared" si="13"/>
        <v>#REF!</v>
      </c>
      <c r="D42" s="292"/>
      <c r="E42" s="292"/>
      <c r="F42" s="292"/>
      <c r="G42" s="292"/>
      <c r="H42" s="292" t="e">
        <f t="shared" si="14"/>
        <v>#REF!</v>
      </c>
      <c r="I42" s="292"/>
      <c r="J42" s="292" t="e">
        <f t="shared" si="15"/>
        <v>#REF!</v>
      </c>
      <c r="K42" s="292">
        <f>K41*(1+$N$14)</f>
        <v>682.6187467054292</v>
      </c>
      <c r="L42" s="292" t="e">
        <f>L41*(1+$N$14)</f>
        <v>#REF!</v>
      </c>
      <c r="M42" s="292" t="e">
        <f t="shared" si="11"/>
        <v>#REF!</v>
      </c>
    </row>
    <row r="43" spans="1:13">
      <c r="A43" s="111">
        <f t="shared" si="0"/>
        <v>2056</v>
      </c>
      <c r="B43" s="292"/>
      <c r="C43" s="292" t="e">
        <f t="shared" si="13"/>
        <v>#REF!</v>
      </c>
      <c r="D43" s="292"/>
      <c r="E43" s="292"/>
      <c r="F43" s="292"/>
      <c r="G43" s="292"/>
      <c r="H43" s="292" t="e">
        <f t="shared" si="14"/>
        <v>#REF!</v>
      </c>
      <c r="I43" s="292"/>
      <c r="J43" s="292" t="e">
        <f t="shared" si="15"/>
        <v>#REF!</v>
      </c>
      <c r="K43" s="296"/>
      <c r="L43" s="292" t="e">
        <f>L42*(1+$N$14)</f>
        <v>#REF!</v>
      </c>
      <c r="M43" s="292" t="e">
        <f t="shared" si="11"/>
        <v>#REF!</v>
      </c>
    </row>
    <row r="44" spans="1:13">
      <c r="A44" s="111">
        <f t="shared" si="0"/>
        <v>2057</v>
      </c>
      <c r="B44" s="292"/>
      <c r="C44" s="292" t="e">
        <f t="shared" si="13"/>
        <v>#REF!</v>
      </c>
      <c r="D44" s="292"/>
      <c r="E44" s="292"/>
      <c r="F44" s="292"/>
      <c r="G44" s="292"/>
      <c r="H44" s="292" t="e">
        <f t="shared" si="14"/>
        <v>#REF!</v>
      </c>
      <c r="I44" s="292"/>
      <c r="J44" s="292" t="e">
        <f t="shared" si="15"/>
        <v>#REF!</v>
      </c>
      <c r="K44" s="296"/>
      <c r="L44" s="292" t="e">
        <f>L43*(1+$N$14)</f>
        <v>#REF!</v>
      </c>
      <c r="M44" s="292" t="e">
        <f t="shared" si="11"/>
        <v>#REF!</v>
      </c>
    </row>
    <row r="45" spans="1:13">
      <c r="A45" s="111">
        <f t="shared" si="0"/>
        <v>2058</v>
      </c>
      <c r="B45" s="292"/>
      <c r="C45" s="292" t="e">
        <f t="shared" si="13"/>
        <v>#REF!</v>
      </c>
      <c r="D45" s="292"/>
      <c r="E45" s="292"/>
      <c r="F45" s="292"/>
      <c r="G45" s="292"/>
      <c r="H45" s="292" t="e">
        <f t="shared" si="14"/>
        <v>#REF!</v>
      </c>
      <c r="I45" s="292"/>
      <c r="J45" s="292" t="e">
        <f t="shared" si="15"/>
        <v>#REF!</v>
      </c>
      <c r="K45" s="296"/>
      <c r="L45" s="292" t="e">
        <f>L44*(1+$N$14)</f>
        <v>#REF!</v>
      </c>
      <c r="M45" s="292" t="e">
        <f t="shared" si="11"/>
        <v>#REF!</v>
      </c>
    </row>
    <row r="46" spans="1:13">
      <c r="A46" s="111">
        <f t="shared" si="0"/>
        <v>2059</v>
      </c>
      <c r="B46" s="292"/>
      <c r="C46" s="292" t="e">
        <f t="shared" si="13"/>
        <v>#REF!</v>
      </c>
      <c r="D46" s="292"/>
      <c r="E46" s="292"/>
      <c r="F46" s="292"/>
      <c r="G46" s="292"/>
      <c r="H46" s="292"/>
      <c r="I46" s="292"/>
      <c r="J46" s="292" t="e">
        <f t="shared" si="15"/>
        <v>#REF!</v>
      </c>
      <c r="K46" s="296"/>
      <c r="L46" s="296"/>
      <c r="M46" s="292" t="e">
        <f t="shared" si="11"/>
        <v>#REF!</v>
      </c>
    </row>
    <row r="47" spans="1:13">
      <c r="A47" s="111">
        <f t="shared" ref="A47:A48" si="16">A46+1</f>
        <v>2060</v>
      </c>
      <c r="B47" s="292"/>
      <c r="C47" s="292" t="e">
        <f t="shared" ref="C47:C48" si="17">C46*(1+$N$14)</f>
        <v>#REF!</v>
      </c>
      <c r="D47" s="292"/>
      <c r="E47" s="292"/>
      <c r="F47" s="292"/>
      <c r="G47" s="292"/>
      <c r="H47" s="292"/>
      <c r="I47" s="292"/>
      <c r="J47" s="292"/>
      <c r="K47" s="296"/>
      <c r="L47" s="296"/>
      <c r="M47" s="292" t="e">
        <f t="shared" ref="M47:M48" si="18">M46*(1+$N$14)</f>
        <v>#REF!</v>
      </c>
    </row>
    <row r="48" spans="1:13">
      <c r="A48" s="111">
        <f t="shared" si="16"/>
        <v>2061</v>
      </c>
      <c r="B48" s="292"/>
      <c r="C48" s="292" t="e">
        <f t="shared" si="17"/>
        <v>#REF!</v>
      </c>
      <c r="D48" s="292"/>
      <c r="E48" s="292"/>
      <c r="F48" s="292"/>
      <c r="G48" s="292"/>
      <c r="H48" s="292"/>
      <c r="I48" s="292"/>
      <c r="J48" s="292"/>
      <c r="K48" s="296"/>
      <c r="L48" s="296"/>
      <c r="M48" s="292" t="e">
        <f t="shared" si="18"/>
        <v>#REF!</v>
      </c>
    </row>
    <row r="49" spans="1:13" ht="12" customHeight="1">
      <c r="A49" s="111"/>
    </row>
    <row r="50" spans="1:13" ht="12" customHeight="1">
      <c r="A50" s="293" t="s">
        <v>131</v>
      </c>
      <c r="B50" s="294">
        <f>PMT(Discount_Rate,30,-NPV(Discount_Rate,Table3ACsummary!B$11:B$40))</f>
        <v>44.043433473808903</v>
      </c>
      <c r="C50" s="294" t="e">
        <f>PMT(Discount_Rate,30,-NPV(Discount_Rate,Table3ACsummary!C$17:C$46))</f>
        <v>#REF!</v>
      </c>
      <c r="D50" s="294" t="e">
        <f>PMT(Discount_Rate,30,-NPV(Discount_Rate,Table3ACsummary!D$11:D$40))</f>
        <v>#REF!</v>
      </c>
      <c r="E50" s="294" t="e">
        <f>PMT(Discount_Rate,30,-NPV(Discount_Rate,Table3ACsummary!E$11:E$40))</f>
        <v>#REF!</v>
      </c>
      <c r="F50" s="294" t="e">
        <f>PMT(Discount_Rate,30,-NPV(Discount_Rate,Table3ACsummary!F$11:F$40))</f>
        <v>#REF!</v>
      </c>
      <c r="G50" s="294" t="e">
        <f>PMT(Discount_Rate,30,-NPV(Discount_Rate,Table3ACsummary!G$11:G$40))</f>
        <v>#REF!</v>
      </c>
      <c r="H50" s="294" t="e">
        <f>PMT(Discount_Rate,30,-NPV(Discount_Rate,Table3ACsummary!H$16:H$45))</f>
        <v>#REF!</v>
      </c>
      <c r="I50" s="294">
        <f>PMT(Discount_Rate,30,-NPV(Discount_Rate,Table3ACsummary!I$11:I$40))</f>
        <v>79.847204615211268</v>
      </c>
      <c r="J50" s="294" t="e">
        <f>PMT(Discount_Rate,30,-NPV(Discount_Rate,Table3ACsummary!J$11:J$40))</f>
        <v>#REF!</v>
      </c>
      <c r="K50" s="294">
        <f>PMT(Discount_Rate,30,-NPV(Discount_Rate,Table3ACsummary!K$13:K$42))</f>
        <v>329.82023917053118</v>
      </c>
      <c r="L50" s="294" t="e">
        <f>PMT(Discount_Rate,30,-NPV(Discount_Rate,Table3ACsummary!L$16:L$45))</f>
        <v>#REF!</v>
      </c>
      <c r="M50" s="294" t="e">
        <f>PMT(Discount_Rate,30,-NPV(Discount_Rate,Table3ACsummary!M$19:M$48))</f>
        <v>#REF!</v>
      </c>
    </row>
    <row r="51" spans="1:13" ht="12" customHeight="1">
      <c r="A51" s="111"/>
    </row>
    <row r="52" spans="1:13">
      <c r="A52" s="111"/>
    </row>
    <row r="53" spans="1:13">
      <c r="A53" s="111"/>
    </row>
    <row r="54" spans="1:13">
      <c r="A54" s="111"/>
    </row>
    <row r="55" spans="1:13">
      <c r="A55" s="111"/>
    </row>
    <row r="56" spans="1:13">
      <c r="A56" s="111"/>
    </row>
    <row r="57" spans="1:13">
      <c r="A57" s="111"/>
    </row>
    <row r="58" spans="1:13">
      <c r="A58" s="111"/>
    </row>
    <row r="59" spans="1:13">
      <c r="A59" s="111"/>
    </row>
    <row r="60" spans="1:13">
      <c r="A60" s="111"/>
    </row>
    <row r="61" spans="1:13">
      <c r="A61" s="111"/>
    </row>
    <row r="62" spans="1:13">
      <c r="A62" s="111"/>
    </row>
    <row r="63" spans="1:13">
      <c r="A63" s="111"/>
    </row>
    <row r="64" spans="1:13">
      <c r="A64" s="111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T241"/>
  <sheetViews>
    <sheetView view="pageBreakPreview" topLeftCell="A2" zoomScale="70" zoomScaleNormal="70" zoomScaleSheetLayoutView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C14" sqref="C14"/>
    </sheetView>
  </sheetViews>
  <sheetFormatPr defaultColWidth="9.33203125" defaultRowHeight="12.75" outlineLevelRow="1"/>
  <cols>
    <col min="1" max="1" width="18.5" style="50" customWidth="1"/>
    <col min="2" max="2" width="22.83203125" style="50" customWidth="1"/>
    <col min="3" max="3" width="18.1640625" style="50" customWidth="1"/>
    <col min="4" max="4" width="18.33203125" style="50" customWidth="1"/>
    <col min="5" max="5" width="18.5" style="50" customWidth="1"/>
    <col min="6" max="7" width="16.1640625" style="50" customWidth="1"/>
    <col min="8" max="8" width="3.83203125" style="50" customWidth="1"/>
    <col min="9" max="9" width="9.5" style="50" customWidth="1"/>
    <col min="10" max="11" width="10" style="50" customWidth="1"/>
    <col min="12" max="12" width="9.33203125" style="50" customWidth="1"/>
    <col min="13" max="13" width="21.1640625" style="50" customWidth="1"/>
    <col min="14" max="14" width="20" style="50" customWidth="1"/>
    <col min="15" max="15" width="14.6640625" style="50" customWidth="1"/>
    <col min="16" max="16" width="14.33203125" style="50" customWidth="1"/>
    <col min="17" max="17" width="14.6640625" style="50" customWidth="1"/>
    <col min="18" max="18" width="13.6640625" style="50" customWidth="1"/>
    <col min="19" max="19" width="16" style="50" customWidth="1"/>
    <col min="20" max="20" width="15.1640625" style="50" bestFit="1" customWidth="1"/>
    <col min="21" max="16384" width="9.33203125" style="50"/>
  </cols>
  <sheetData>
    <row r="1" spans="1:19" s="3" customFormat="1" ht="15.75" hidden="1">
      <c r="B1" s="1" t="s">
        <v>35</v>
      </c>
      <c r="C1" s="1"/>
      <c r="D1" s="10"/>
      <c r="E1" s="10"/>
      <c r="F1" s="10"/>
      <c r="G1" s="10"/>
      <c r="H1" s="30"/>
      <c r="I1" s="85"/>
      <c r="J1" s="85"/>
      <c r="K1" s="85"/>
    </row>
    <row r="2" spans="1:19" ht="5.25" customHeight="1"/>
    <row r="3" spans="1:19" ht="15.75">
      <c r="B3" s="1" t="str">
        <f>"Table "&amp;RIGHT('Table 4'!B3,1)+1</f>
        <v>Table 5</v>
      </c>
      <c r="C3" s="76"/>
      <c r="D3" s="76"/>
      <c r="E3" s="76"/>
      <c r="F3" s="76"/>
      <c r="G3" s="76"/>
      <c r="M3" s="50" t="s">
        <v>54</v>
      </c>
      <c r="O3" s="101"/>
    </row>
    <row r="4" spans="1:19" ht="38.25">
      <c r="B4" s="76" t="str">
        <f ca="1">'Table 1'!B5</f>
        <v>Utah 2022.Q4_Wind - 80.0 MW and 29.5% CF</v>
      </c>
      <c r="C4" s="76"/>
      <c r="D4" s="76"/>
      <c r="E4" s="76"/>
      <c r="F4" s="76"/>
      <c r="G4" s="76"/>
      <c r="K4" s="50">
        <f>MIN(K13:K24)</f>
        <v>44927</v>
      </c>
      <c r="M4" s="51" t="s">
        <v>259</v>
      </c>
      <c r="P4" s="175" t="s">
        <v>201</v>
      </c>
      <c r="Q4" s="175" t="s">
        <v>202</v>
      </c>
      <c r="R4" s="175" t="s">
        <v>154</v>
      </c>
      <c r="S4" s="175" t="s">
        <v>229</v>
      </c>
    </row>
    <row r="5" spans="1:19">
      <c r="B5" s="76" t="str">
        <f>TEXT($K$5,"MMMM YYYY")&amp;"  through  "&amp;TEXT($K$6,"MMMM YYYY")</f>
        <v>January 2023  through  December 2037</v>
      </c>
      <c r="C5" s="76"/>
      <c r="D5" s="76"/>
      <c r="E5" s="76"/>
      <c r="F5" s="76"/>
      <c r="G5" s="76"/>
      <c r="J5" s="50" t="s">
        <v>38</v>
      </c>
      <c r="K5" s="155">
        <f>MIN(K13:K24)</f>
        <v>44927</v>
      </c>
      <c r="M5" s="50" t="s">
        <v>39</v>
      </c>
      <c r="O5" s="3" t="s">
        <v>80</v>
      </c>
      <c r="P5" s="3">
        <f>Q5+12</f>
        <v>49</v>
      </c>
      <c r="Q5" s="3">
        <f>R5+12</f>
        <v>37</v>
      </c>
      <c r="R5" s="3">
        <f>S5+12</f>
        <v>25</v>
      </c>
      <c r="S5" s="3">
        <v>13</v>
      </c>
    </row>
    <row r="6" spans="1:19">
      <c r="B6" s="76" t="s">
        <v>40</v>
      </c>
      <c r="C6" s="76"/>
      <c r="D6" s="76"/>
      <c r="E6" s="76"/>
      <c r="F6" s="76"/>
      <c r="G6" s="76"/>
      <c r="J6" s="50" t="s">
        <v>41</v>
      </c>
      <c r="K6" s="155">
        <f>EDATE(K5,15*12-1)</f>
        <v>50375</v>
      </c>
      <c r="M6" s="51">
        <v>80</v>
      </c>
      <c r="N6" s="50" t="s">
        <v>32</v>
      </c>
      <c r="O6" s="3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S5+15*12-1</f>
        <v>192</v>
      </c>
    </row>
    <row r="7" spans="1:19">
      <c r="A7" s="95"/>
      <c r="C7" s="52"/>
      <c r="D7" s="52"/>
      <c r="E7" s="52"/>
      <c r="F7" s="306"/>
      <c r="G7" s="82"/>
      <c r="M7" s="307">
        <f ca="1">SUM(OFFSET(F12,MATCH(K5,B13:B24,0),0,12))/(EDATE(K5,12)-K5)/24/Study_MW</f>
        <v>0.29454851598173515</v>
      </c>
      <c r="N7" s="79" t="s">
        <v>34</v>
      </c>
    </row>
    <row r="8" spans="1:19">
      <c r="A8" s="95"/>
      <c r="B8" s="95" t="str">
        <f>"Nominal NPV at "&amp;TEXT(J9,"0.00%")&amp;" Discount Rate"</f>
        <v>Nominal NPV at 6.88% Discount Rate</v>
      </c>
      <c r="J8" s="50" t="str">
        <f>'Table 1'!I42</f>
        <v>Discount Rate - 2021 IRP Update</v>
      </c>
    </row>
    <row r="9" spans="1:19">
      <c r="A9" s="95" t="str">
        <f>S4</f>
        <v>15 Year</v>
      </c>
      <c r="C9" s="52">
        <f ca="1">NPV($K$9,INDIRECT("C"&amp;$S$5&amp;":C"&amp;$S$6))</f>
        <v>34491865.22266379</v>
      </c>
      <c r="D9" s="52">
        <f ca="1">NPV($K$9,INDIRECT("d"&amp;$S$5&amp;":d"&amp;$S$6))</f>
        <v>52683872.646852523</v>
      </c>
      <c r="E9" s="52">
        <f ca="1">NPV($K$9,INDIRECT("e"&amp;$S$5&amp;":e"&amp;$S$6))</f>
        <v>87175737.869516298</v>
      </c>
      <c r="F9" s="306">
        <f ca="1">NPV($K$9,INDIRECT("f"&amp;$S$5&amp;":f"&amp;$S$6))</f>
        <v>1961162.6295061396</v>
      </c>
      <c r="G9" s="82">
        <f ca="1">($C9+D9)/$F9</f>
        <v>44.451049881298694</v>
      </c>
      <c r="J9" s="98">
        <f>'Table 1'!I43</f>
        <v>6.88E-2</v>
      </c>
      <c r="K9" s="84">
        <f>((1+J9)^(1/12))-1</f>
        <v>5.560110673283658E-3</v>
      </c>
    </row>
    <row r="10" spans="1:19">
      <c r="A10" s="95"/>
      <c r="C10" s="52"/>
      <c r="D10" s="52"/>
      <c r="E10" s="52"/>
      <c r="F10" s="306"/>
      <c r="G10" s="82"/>
      <c r="N10" s="53"/>
    </row>
    <row r="11" spans="1:19">
      <c r="B11" s="83"/>
      <c r="C11" s="55" t="s">
        <v>18</v>
      </c>
      <c r="D11" s="56" t="s">
        <v>42</v>
      </c>
      <c r="E11" s="56" t="s">
        <v>43</v>
      </c>
      <c r="F11" s="56" t="s">
        <v>43</v>
      </c>
      <c r="G11" s="57" t="s">
        <v>51</v>
      </c>
    </row>
    <row r="12" spans="1:19">
      <c r="B12" s="61" t="s">
        <v>44</v>
      </c>
      <c r="C12" s="55" t="s">
        <v>45</v>
      </c>
      <c r="D12" s="59" t="str">
        <f>TEXT((SUM(F25:F72)/(8760*3+8784))/Study_MW,"0.0%")&amp;" CF"</f>
        <v>29.5% CF</v>
      </c>
      <c r="E12" s="60" t="s">
        <v>50</v>
      </c>
      <c r="F12" s="61" t="s">
        <v>46</v>
      </c>
      <c r="G12" s="59" t="str">
        <f>D12</f>
        <v>29.5% CF</v>
      </c>
      <c r="I12" s="56" t="s">
        <v>47</v>
      </c>
      <c r="J12" s="62" t="s">
        <v>0</v>
      </c>
      <c r="K12" s="62" t="s">
        <v>48</v>
      </c>
      <c r="L12" s="62" t="s">
        <v>47</v>
      </c>
      <c r="M12" s="62"/>
      <c r="N12" s="57"/>
      <c r="P12" s="50" t="s">
        <v>43</v>
      </c>
      <c r="Q12" s="50" t="s">
        <v>71</v>
      </c>
      <c r="R12" s="50" t="s">
        <v>72</v>
      </c>
    </row>
    <row r="13" spans="1:19">
      <c r="B13" s="68">
        <v>44927</v>
      </c>
      <c r="C13" s="63">
        <v>2860697.5398320556</v>
      </c>
      <c r="D13" s="64">
        <f>IF(ISNUMBER($F13),VLOOKUP($J13,'Table 1'!$B$13:$C$33,2,FALSE)/12*1000*Study_MW,"")</f>
        <v>0</v>
      </c>
      <c r="E13" s="65">
        <f t="shared" ref="E13:E17" si="0">IF(ISNUMBER(C13+D13),C13+D13,"")</f>
        <v>2860697.5398320556</v>
      </c>
      <c r="F13" s="63">
        <v>20908.240000000002</v>
      </c>
      <c r="G13" s="66">
        <f t="shared" ref="G13:G17" si="1">IF(ISNUMBER($F13),E13/$F13,"")</f>
        <v>136.82153733800911</v>
      </c>
      <c r="I13" s="54">
        <v>1</v>
      </c>
      <c r="J13" s="67">
        <f>YEAR(B13)</f>
        <v>2023</v>
      </c>
      <c r="K13" s="68">
        <f t="shared" ref="K13:K24" si="2">IF(ISNUMBER(F13),B13,"")</f>
        <v>44927</v>
      </c>
      <c r="L13" s="50">
        <v>386</v>
      </c>
      <c r="M13" s="50" t="s">
        <v>49</v>
      </c>
    </row>
    <row r="14" spans="1:19">
      <c r="B14" s="71">
        <f t="shared" ref="B14:B77" si="3">EDATE(B13,1)</f>
        <v>44958</v>
      </c>
      <c r="C14" s="50">
        <v>1339334.8825029433</v>
      </c>
      <c r="D14" s="65">
        <f>IF(ISNUMBER($F14),VLOOKUP($J14,'Table 1'!$B$13:$C$33,2,FALSE)/12*1000*Study_MW,"")</f>
        <v>0</v>
      </c>
      <c r="E14" s="65">
        <f t="shared" si="0"/>
        <v>1339334.8825029433</v>
      </c>
      <c r="F14" s="50">
        <v>19864.38</v>
      </c>
      <c r="G14" s="69">
        <f t="shared" si="1"/>
        <v>67.423945902310734</v>
      </c>
      <c r="I14" s="70">
        <f>I13+1</f>
        <v>2</v>
      </c>
      <c r="J14" s="67">
        <f t="shared" ref="J14:J77" si="4">YEAR(B14)</f>
        <v>2023</v>
      </c>
      <c r="K14" s="71">
        <f t="shared" si="2"/>
        <v>44958</v>
      </c>
      <c r="L14" s="50">
        <v>505</v>
      </c>
      <c r="M14" s="81" t="s">
        <v>258</v>
      </c>
    </row>
    <row r="15" spans="1:19">
      <c r="B15" s="71">
        <f t="shared" si="3"/>
        <v>44986</v>
      </c>
      <c r="C15" s="50">
        <v>894649.66659587622</v>
      </c>
      <c r="D15" s="65">
        <f>IF(ISNUMBER($F15),VLOOKUP($J15,'Table 1'!$B$13:$C$33,2,FALSE)/12*1000*Study_MW,"")</f>
        <v>0</v>
      </c>
      <c r="E15" s="65">
        <f t="shared" si="0"/>
        <v>894649.66659587622</v>
      </c>
      <c r="F15" s="50">
        <v>25268.5</v>
      </c>
      <c r="G15" s="69">
        <f t="shared" si="1"/>
        <v>35.405729132947194</v>
      </c>
      <c r="I15" s="70">
        <f t="shared" ref="I15:I24" si="5">I14+1</f>
        <v>3</v>
      </c>
      <c r="J15" s="67">
        <f t="shared" si="4"/>
        <v>2023</v>
      </c>
      <c r="K15" s="71">
        <f t="shared" si="2"/>
        <v>44986</v>
      </c>
    </row>
    <row r="16" spans="1:19">
      <c r="B16" s="71">
        <f t="shared" si="3"/>
        <v>45017</v>
      </c>
      <c r="C16" s="50">
        <v>472435.2634704262</v>
      </c>
      <c r="D16" s="65">
        <f>IF(ISNUMBER($F16),VLOOKUP($J16,'Table 1'!$B$13:$C$33,2,FALSE)/12*1000*Study_MW,"")</f>
        <v>0</v>
      </c>
      <c r="E16" s="65">
        <f t="shared" si="0"/>
        <v>472435.2634704262</v>
      </c>
      <c r="F16" s="50">
        <v>20415.02</v>
      </c>
      <c r="G16" s="69">
        <f t="shared" si="1"/>
        <v>23.141552811137398</v>
      </c>
      <c r="I16" s="70">
        <f t="shared" si="5"/>
        <v>4</v>
      </c>
      <c r="J16" s="67">
        <f t="shared" si="4"/>
        <v>2023</v>
      </c>
      <c r="K16" s="71">
        <f t="shared" si="2"/>
        <v>45017</v>
      </c>
      <c r="L16" s="67">
        <f>YEAR(B13)</f>
        <v>2023</v>
      </c>
      <c r="M16" s="50">
        <f t="shared" ref="M16:M38" si="6">SUMIF($J$13:$J$240,L16,$C$13:$C$240)</f>
        <v>12197875.066076905</v>
      </c>
      <c r="N16" s="50">
        <f t="shared" ref="N16:N38" si="7">SUMIF($J$13:$J$240,L16,$D$13:$D$240)</f>
        <v>0</v>
      </c>
      <c r="O16" s="50">
        <f t="shared" ref="O16:O38" si="8">SUMIF($J$13:$J$240,L16,$F$13:$F$240)</f>
        <v>206419.59999999998</v>
      </c>
      <c r="P16" s="100">
        <f t="shared" ref="P16:P25" si="9">(M16+N16)/O16</f>
        <v>59.092620400760907</v>
      </c>
      <c r="Q16" s="143">
        <f>M16/O16</f>
        <v>59.092620400760907</v>
      </c>
      <c r="R16" s="143">
        <f>IFERROR(N16/O16,0)</f>
        <v>0</v>
      </c>
    </row>
    <row r="17" spans="2:20">
      <c r="B17" s="71">
        <f t="shared" si="3"/>
        <v>45047</v>
      </c>
      <c r="C17" s="50">
        <v>414872.84274639189</v>
      </c>
      <c r="D17" s="65">
        <f>IF(ISNUMBER($F17),VLOOKUP($J17,'Table 1'!$B$13:$C$33,2,FALSE)/12*1000*Study_MW,"")</f>
        <v>0</v>
      </c>
      <c r="E17" s="65">
        <f t="shared" si="0"/>
        <v>414872.84274639189</v>
      </c>
      <c r="F17" s="50">
        <v>20545.48</v>
      </c>
      <c r="G17" s="69">
        <f t="shared" si="1"/>
        <v>20.19290095662851</v>
      </c>
      <c r="I17" s="70">
        <f t="shared" si="5"/>
        <v>5</v>
      </c>
      <c r="J17" s="67">
        <f t="shared" si="4"/>
        <v>2023</v>
      </c>
      <c r="K17" s="71">
        <f t="shared" si="2"/>
        <v>45047</v>
      </c>
      <c r="L17" s="67">
        <f>L16+1</f>
        <v>2024</v>
      </c>
      <c r="M17" s="50">
        <f t="shared" si="6"/>
        <v>13308587.13087827</v>
      </c>
      <c r="N17" s="50">
        <f t="shared" si="7"/>
        <v>0</v>
      </c>
      <c r="O17" s="50">
        <f t="shared" si="8"/>
        <v>207045.12</v>
      </c>
      <c r="P17" s="100">
        <f t="shared" si="9"/>
        <v>64.278680564305361</v>
      </c>
      <c r="Q17" s="143">
        <f t="shared" ref="Q17:Q33" si="10">M17/O17</f>
        <v>64.278680564305361</v>
      </c>
      <c r="R17" s="143">
        <f t="shared" ref="R17:R33" si="11">IFERROR(N17/O17,0)</f>
        <v>0</v>
      </c>
    </row>
    <row r="18" spans="2:20">
      <c r="B18" s="71">
        <f t="shared" si="3"/>
        <v>45078</v>
      </c>
      <c r="C18" s="50">
        <v>495076.16310033202</v>
      </c>
      <c r="D18" s="65">
        <f>IF(ISNUMBER($F18),VLOOKUP($J18,'Table 1'!$B$13:$C$33,2,FALSE)/12*1000*Study_MW,"")</f>
        <v>0</v>
      </c>
      <c r="E18" s="65">
        <f t="shared" ref="E18:E19" si="12">IF(ISNUMBER(C18+D18),C18+D18,"")</f>
        <v>495076.16310033202</v>
      </c>
      <c r="F18" s="50">
        <v>16657.03</v>
      </c>
      <c r="G18" s="69">
        <f t="shared" ref="G18:G19" si="13">IF(ISNUMBER($F18),E18/$F18,"")</f>
        <v>29.721754904705826</v>
      </c>
      <c r="I18" s="70">
        <f t="shared" si="5"/>
        <v>6</v>
      </c>
      <c r="J18" s="67">
        <f t="shared" si="4"/>
        <v>2023</v>
      </c>
      <c r="K18" s="71">
        <f t="shared" si="2"/>
        <v>45078</v>
      </c>
      <c r="L18" s="67">
        <f t="shared" ref="L18:L42" si="14">L17+1</f>
        <v>2025</v>
      </c>
      <c r="M18" s="50">
        <f t="shared" si="6"/>
        <v>9673798.767384842</v>
      </c>
      <c r="N18" s="50">
        <f t="shared" si="7"/>
        <v>0</v>
      </c>
      <c r="O18" s="50">
        <f t="shared" si="8"/>
        <v>206419.59999999998</v>
      </c>
      <c r="P18" s="100">
        <f t="shared" si="9"/>
        <v>46.864729741675902</v>
      </c>
      <c r="Q18" s="143">
        <f t="shared" si="10"/>
        <v>46.864729741675902</v>
      </c>
      <c r="R18" s="143">
        <f t="shared" si="11"/>
        <v>0</v>
      </c>
    </row>
    <row r="19" spans="2:20">
      <c r="B19" s="71">
        <f t="shared" si="3"/>
        <v>45108</v>
      </c>
      <c r="C19" s="50">
        <v>1740399.3218860328</v>
      </c>
      <c r="D19" s="65">
        <f>IF(ISNUMBER($F19),VLOOKUP($J19,'Table 1'!$B$13:$C$33,2,FALSE)/12*1000*Study_MW,"")</f>
        <v>0</v>
      </c>
      <c r="E19" s="65">
        <f t="shared" si="12"/>
        <v>1740399.3218860328</v>
      </c>
      <c r="F19" s="50">
        <v>12237.55</v>
      </c>
      <c r="G19" s="69">
        <f t="shared" si="13"/>
        <v>142.21795391120224</v>
      </c>
      <c r="I19" s="70">
        <f t="shared" si="5"/>
        <v>7</v>
      </c>
      <c r="J19" s="67">
        <f t="shared" si="4"/>
        <v>2023</v>
      </c>
      <c r="K19" s="71">
        <f t="shared" si="2"/>
        <v>45108</v>
      </c>
      <c r="L19" s="67">
        <f t="shared" si="14"/>
        <v>2026</v>
      </c>
      <c r="M19" s="50">
        <f t="shared" si="6"/>
        <v>537691.75176052749</v>
      </c>
      <c r="N19" s="50">
        <f t="shared" si="7"/>
        <v>7038703.6968971407</v>
      </c>
      <c r="O19" s="50">
        <f t="shared" si="8"/>
        <v>206419.59999999998</v>
      </c>
      <c r="P19" s="100">
        <f t="shared" si="9"/>
        <v>36.703856846237805</v>
      </c>
      <c r="Q19" s="143">
        <f t="shared" si="10"/>
        <v>2.6048483368852935</v>
      </c>
      <c r="R19" s="143">
        <f t="shared" si="11"/>
        <v>34.099008509352508</v>
      </c>
    </row>
    <row r="20" spans="2:20">
      <c r="B20" s="71">
        <f t="shared" si="3"/>
        <v>45139</v>
      </c>
      <c r="C20" s="50">
        <v>817762.76793625951</v>
      </c>
      <c r="D20" s="65">
        <f>IF(ISNUMBER($F20),VLOOKUP($J20,'Table 1'!$B$13:$C$33,2,FALSE)/12*1000*Study_MW,"")</f>
        <v>0</v>
      </c>
      <c r="E20" s="65">
        <f t="shared" ref="E20:E22" si="15">IF(ISNUMBER(C20+D20),C20+D20,"")</f>
        <v>817762.76793625951</v>
      </c>
      <c r="F20" s="50">
        <v>9817.59</v>
      </c>
      <c r="G20" s="69">
        <f t="shared" ref="G20:G77" si="16">IF(ISNUMBER($F20),E20/$F20,"")</f>
        <v>83.295673167881276</v>
      </c>
      <c r="I20" s="70">
        <f t="shared" si="5"/>
        <v>8</v>
      </c>
      <c r="J20" s="67">
        <f t="shared" si="4"/>
        <v>2023</v>
      </c>
      <c r="K20" s="71">
        <f t="shared" si="2"/>
        <v>45139</v>
      </c>
      <c r="L20" s="67">
        <f t="shared" si="14"/>
        <v>2027</v>
      </c>
      <c r="M20" s="50">
        <f t="shared" si="6"/>
        <v>65114.791588634253</v>
      </c>
      <c r="N20" s="50">
        <f t="shared" si="7"/>
        <v>7190378.9329032479</v>
      </c>
      <c r="O20" s="50">
        <f t="shared" si="8"/>
        <v>206419.59999999998</v>
      </c>
      <c r="P20" s="100">
        <f t="shared" si="9"/>
        <v>35.149248058284599</v>
      </c>
      <c r="Q20" s="143">
        <f t="shared" si="10"/>
        <v>0.31544868601932308</v>
      </c>
      <c r="R20" s="143">
        <f t="shared" si="11"/>
        <v>34.833799372265275</v>
      </c>
    </row>
    <row r="21" spans="2:20">
      <c r="B21" s="71">
        <f t="shared" si="3"/>
        <v>45170</v>
      </c>
      <c r="C21" s="50">
        <v>687443.97839963436</v>
      </c>
      <c r="D21" s="65">
        <f>IF(ISNUMBER($F21),VLOOKUP($J21,'Table 1'!$B$13:$C$33,2,FALSE)/12*1000*Study_MW,"")</f>
        <v>0</v>
      </c>
      <c r="E21" s="65">
        <f t="shared" si="15"/>
        <v>687443.97839963436</v>
      </c>
      <c r="F21" s="50">
        <v>12664.17</v>
      </c>
      <c r="G21" s="69">
        <f t="shared" si="16"/>
        <v>54.28259241621317</v>
      </c>
      <c r="I21" s="70">
        <f t="shared" si="5"/>
        <v>9</v>
      </c>
      <c r="J21" s="67">
        <f t="shared" si="4"/>
        <v>2023</v>
      </c>
      <c r="K21" s="71">
        <f t="shared" si="2"/>
        <v>45170</v>
      </c>
      <c r="L21" s="67">
        <f t="shared" si="14"/>
        <v>2028</v>
      </c>
      <c r="M21" s="50">
        <f t="shared" si="6"/>
        <v>5212.2027545124292</v>
      </c>
      <c r="N21" s="50">
        <f t="shared" si="7"/>
        <v>7345046.2909020362</v>
      </c>
      <c r="O21" s="50">
        <f t="shared" si="8"/>
        <v>207045.12</v>
      </c>
      <c r="P21" s="100">
        <f t="shared" si="9"/>
        <v>35.500757002418354</v>
      </c>
      <c r="Q21" s="143">
        <f t="shared" si="10"/>
        <v>2.517423619794772E-2</v>
      </c>
      <c r="R21" s="143">
        <f t="shared" si="11"/>
        <v>35.475582766220406</v>
      </c>
    </row>
    <row r="22" spans="2:20">
      <c r="B22" s="71">
        <f t="shared" si="3"/>
        <v>45200</v>
      </c>
      <c r="C22" s="50">
        <v>902781.53748887777</v>
      </c>
      <c r="D22" s="65">
        <f>IF(ISNUMBER($F22),VLOOKUP($J22,'Table 1'!$B$13:$C$33,2,FALSE)/12*1000*Study_MW,"")</f>
        <v>0</v>
      </c>
      <c r="E22" s="65">
        <f t="shared" si="15"/>
        <v>902781.53748887777</v>
      </c>
      <c r="F22" s="50">
        <v>17510.46</v>
      </c>
      <c r="G22" s="69">
        <f t="shared" si="16"/>
        <v>51.55670025167116</v>
      </c>
      <c r="I22" s="70">
        <f t="shared" si="5"/>
        <v>10</v>
      </c>
      <c r="J22" s="67">
        <f t="shared" si="4"/>
        <v>2023</v>
      </c>
      <c r="K22" s="71">
        <f t="shared" si="2"/>
        <v>45200</v>
      </c>
      <c r="L22" s="67">
        <f t="shared" si="14"/>
        <v>2029</v>
      </c>
      <c r="M22" s="50">
        <f t="shared" si="6"/>
        <v>37472.599988028407</v>
      </c>
      <c r="N22" s="50">
        <f t="shared" si="7"/>
        <v>7503754.8387772804</v>
      </c>
      <c r="O22" s="50">
        <f t="shared" si="8"/>
        <v>206419.59999999998</v>
      </c>
      <c r="P22" s="100">
        <f t="shared" si="9"/>
        <v>36.533485380096216</v>
      </c>
      <c r="Q22" s="143">
        <f t="shared" si="10"/>
        <v>0.18153605562663822</v>
      </c>
      <c r="R22" s="143">
        <f t="shared" si="11"/>
        <v>36.351949324469579</v>
      </c>
    </row>
    <row r="23" spans="2:20">
      <c r="B23" s="71">
        <f t="shared" si="3"/>
        <v>45231</v>
      </c>
      <c r="C23" s="50">
        <v>676878.57929393649</v>
      </c>
      <c r="D23" s="65">
        <f>IF(ISNUMBER($F23),VLOOKUP($J23,'Table 1'!$B$13:$C$33,2,FALSE)/12*1000*Study_MW,"")</f>
        <v>0</v>
      </c>
      <c r="E23" s="65">
        <f t="shared" ref="E23" si="17">IF(ISNUMBER(C23+D23),C23+D23,"")</f>
        <v>676878.57929393649</v>
      </c>
      <c r="F23" s="50">
        <v>15238.97</v>
      </c>
      <c r="G23" s="69">
        <f t="shared" ref="G23" si="18">IF(ISNUMBER($F23),E23/$F23,"")</f>
        <v>44.417606917917453</v>
      </c>
      <c r="I23" s="70">
        <f t="shared" si="5"/>
        <v>11</v>
      </c>
      <c r="J23" s="67">
        <f t="shared" si="4"/>
        <v>2023</v>
      </c>
      <c r="K23" s="71">
        <f t="shared" si="2"/>
        <v>45231</v>
      </c>
      <c r="L23" s="67">
        <f t="shared" si="14"/>
        <v>2030</v>
      </c>
      <c r="M23" s="50">
        <f t="shared" si="6"/>
        <v>229222.70932358503</v>
      </c>
      <c r="N23" s="50">
        <f t="shared" si="7"/>
        <v>7665402.4338353937</v>
      </c>
      <c r="O23" s="50">
        <f t="shared" si="8"/>
        <v>206419.59999999998</v>
      </c>
      <c r="P23" s="100">
        <f t="shared" si="9"/>
        <v>38.245520983273778</v>
      </c>
      <c r="Q23" s="143">
        <f t="shared" si="10"/>
        <v>1.1104696904924971</v>
      </c>
      <c r="R23" s="143">
        <f t="shared" si="11"/>
        <v>37.135051292781277</v>
      </c>
      <c r="T23" s="38"/>
    </row>
    <row r="24" spans="2:20">
      <c r="B24" s="75">
        <f t="shared" si="3"/>
        <v>45261</v>
      </c>
      <c r="C24" s="72">
        <v>895542.5228241384</v>
      </c>
      <c r="D24" s="73">
        <f>IF(F24&lt;&gt;0,VLOOKUP($J24,'Table 1'!$B$13:$C$33,2,FALSE)/12*1000*Study_MW,0)</f>
        <v>0</v>
      </c>
      <c r="E24" s="73">
        <f t="shared" ref="E24" si="19">IF(ISNUMBER(C24+D24),C24+D24,"")</f>
        <v>895542.5228241384</v>
      </c>
      <c r="F24" s="72">
        <v>15292.21</v>
      </c>
      <c r="G24" s="74">
        <f t="shared" ref="G24" si="20">IF(ISNUMBER($F24),E24/$F24,"")</f>
        <v>58.562007899717464</v>
      </c>
      <c r="I24" s="58">
        <f t="shared" si="5"/>
        <v>12</v>
      </c>
      <c r="J24" s="67">
        <f t="shared" si="4"/>
        <v>2023</v>
      </c>
      <c r="K24" s="75">
        <f t="shared" si="2"/>
        <v>45261</v>
      </c>
      <c r="L24" s="67">
        <f t="shared" si="14"/>
        <v>2031</v>
      </c>
      <c r="M24" s="50">
        <f t="shared" si="6"/>
        <v>105174.11231988668</v>
      </c>
      <c r="N24" s="50">
        <f t="shared" si="7"/>
        <v>7830356.4569742447</v>
      </c>
      <c r="O24" s="50">
        <f t="shared" si="8"/>
        <v>206419.59999999998</v>
      </c>
      <c r="P24" s="100">
        <f t="shared" si="9"/>
        <v>38.443687369291155</v>
      </c>
      <c r="Q24" s="143">
        <f t="shared" si="10"/>
        <v>0.50951611339178404</v>
      </c>
      <c r="R24" s="143">
        <f t="shared" si="11"/>
        <v>37.934171255899372</v>
      </c>
    </row>
    <row r="25" spans="2:20" hidden="1" outlineLevel="1">
      <c r="B25" s="68">
        <f t="shared" si="3"/>
        <v>45292</v>
      </c>
      <c r="C25" s="63">
        <v>2122374.7985091805</v>
      </c>
      <c r="D25" s="64">
        <f>IF(F25&lt;&gt;0,VLOOKUP($J25,'Table 1'!$B$13:$C$33,2,FALSE)/12*1000*Study_MW,0)</f>
        <v>0</v>
      </c>
      <c r="E25" s="64">
        <f t="shared" ref="E25:E77" si="21">C25+D25</f>
        <v>2122374.7985091805</v>
      </c>
      <c r="F25" s="63">
        <v>20908.240000000002</v>
      </c>
      <c r="G25" s="66">
        <f t="shared" si="16"/>
        <v>101.50901264330142</v>
      </c>
      <c r="I25" s="54">
        <f>I13+13</f>
        <v>14</v>
      </c>
      <c r="J25" s="67">
        <f t="shared" si="4"/>
        <v>2024</v>
      </c>
      <c r="K25" s="68">
        <f>IF(ISNUMBER(F25),IF(F25&lt;&gt;0,B25,""),"")</f>
        <v>45292</v>
      </c>
      <c r="L25" s="67">
        <f t="shared" si="14"/>
        <v>2032</v>
      </c>
      <c r="M25" s="50">
        <f t="shared" si="6"/>
        <v>-401058.94851593673</v>
      </c>
      <c r="N25" s="50">
        <f t="shared" si="7"/>
        <v>7998984.2890916849</v>
      </c>
      <c r="O25" s="50">
        <f t="shared" si="8"/>
        <v>207045.12</v>
      </c>
      <c r="P25" s="100">
        <f t="shared" si="9"/>
        <v>36.696954463721475</v>
      </c>
      <c r="Q25" s="143">
        <f t="shared" si="10"/>
        <v>-1.937060620003682</v>
      </c>
      <c r="R25" s="143">
        <f t="shared" si="11"/>
        <v>38.634015083725153</v>
      </c>
    </row>
    <row r="26" spans="2:20" hidden="1" outlineLevel="1">
      <c r="B26" s="71">
        <f t="shared" si="3"/>
        <v>45323</v>
      </c>
      <c r="C26" s="50">
        <v>1314644.1351809502</v>
      </c>
      <c r="D26" s="65">
        <f>IF(F26&lt;&gt;0,VLOOKUP($J26,'Table 1'!$B$13:$C$33,2,FALSE)/12*1000*Study_MW,0)</f>
        <v>0</v>
      </c>
      <c r="E26" s="65">
        <f t="shared" si="21"/>
        <v>1314644.1351809502</v>
      </c>
      <c r="F26" s="50">
        <v>20489.900000000001</v>
      </c>
      <c r="G26" s="69">
        <f t="shared" si="16"/>
        <v>64.160593032711247</v>
      </c>
      <c r="I26" s="70">
        <f t="shared" ref="I26:I89" si="22">I14+13</f>
        <v>15</v>
      </c>
      <c r="J26" s="67">
        <f t="shared" si="4"/>
        <v>2024</v>
      </c>
      <c r="K26" s="71">
        <f t="shared" ref="K26:K89" si="23">IF(ISNUMBER(F26),IF(F26&lt;&gt;0,B26,""),"")</f>
        <v>45323</v>
      </c>
      <c r="L26" s="67">
        <f t="shared" si="14"/>
        <v>2033</v>
      </c>
      <c r="M26" s="50">
        <f t="shared" si="6"/>
        <v>-304418.59480632842</v>
      </c>
      <c r="N26" s="50">
        <f t="shared" si="7"/>
        <v>8171285.9301877208</v>
      </c>
      <c r="O26" s="50">
        <f t="shared" si="8"/>
        <v>206419.59999999998</v>
      </c>
      <c r="P26" s="100">
        <f>(M26+N26)/O26</f>
        <v>38.111048250172914</v>
      </c>
      <c r="Q26" s="143">
        <f t="shared" si="10"/>
        <v>-1.4747562479838565</v>
      </c>
      <c r="R26" s="143">
        <f t="shared" si="11"/>
        <v>39.585804498156776</v>
      </c>
    </row>
    <row r="27" spans="2:20" hidden="1" outlineLevel="1">
      <c r="B27" s="71">
        <f t="shared" si="3"/>
        <v>45352</v>
      </c>
      <c r="C27" s="50">
        <v>1180811.2220275104</v>
      </c>
      <c r="D27" s="65">
        <f>IF(F27&lt;&gt;0,VLOOKUP($J27,'Table 1'!$B$13:$C$33,2,FALSE)/12*1000*Study_MW,0)</f>
        <v>0</v>
      </c>
      <c r="E27" s="65">
        <f t="shared" si="21"/>
        <v>1180811.2220275104</v>
      </c>
      <c r="F27" s="50">
        <v>25268.5</v>
      </c>
      <c r="G27" s="69">
        <f t="shared" si="16"/>
        <v>46.730562638364383</v>
      </c>
      <c r="I27" s="70">
        <f t="shared" si="22"/>
        <v>16</v>
      </c>
      <c r="J27" s="67">
        <f t="shared" si="4"/>
        <v>2024</v>
      </c>
      <c r="K27" s="71">
        <f t="shared" si="23"/>
        <v>45352</v>
      </c>
      <c r="L27" s="67">
        <f t="shared" si="14"/>
        <v>2034</v>
      </c>
      <c r="M27" s="50">
        <f t="shared" si="6"/>
        <v>-398437.63207803667</v>
      </c>
      <c r="N27" s="50">
        <f t="shared" si="7"/>
        <v>8347628.761160207</v>
      </c>
      <c r="O27" s="50">
        <f t="shared" si="8"/>
        <v>206419.59999999998</v>
      </c>
      <c r="P27" s="100">
        <f t="shared" ref="P27:P31" si="24">(M27+N27)/O27</f>
        <v>38.509865967583366</v>
      </c>
      <c r="Q27" s="143">
        <f t="shared" si="10"/>
        <v>-1.9302315869134361</v>
      </c>
      <c r="R27" s="143">
        <f t="shared" si="11"/>
        <v>40.440097554496802</v>
      </c>
    </row>
    <row r="28" spans="2:20" hidden="1" outlineLevel="1">
      <c r="B28" s="71">
        <f t="shared" si="3"/>
        <v>45383</v>
      </c>
      <c r="C28" s="50">
        <v>615481.32438363135</v>
      </c>
      <c r="D28" s="65">
        <f>IF(F28&lt;&gt;0,VLOOKUP($J28,'Table 1'!$B$13:$C$33,2,FALSE)/12*1000*Study_MW,0)</f>
        <v>0</v>
      </c>
      <c r="E28" s="65">
        <f t="shared" si="21"/>
        <v>615481.32438363135</v>
      </c>
      <c r="F28" s="50">
        <v>20415.02</v>
      </c>
      <c r="G28" s="69">
        <f t="shared" si="16"/>
        <v>30.148455616679843</v>
      </c>
      <c r="I28" s="70">
        <f t="shared" si="22"/>
        <v>17</v>
      </c>
      <c r="J28" s="67">
        <f t="shared" si="4"/>
        <v>2024</v>
      </c>
      <c r="K28" s="71">
        <f t="shared" si="23"/>
        <v>45383</v>
      </c>
      <c r="L28" s="67">
        <f t="shared" si="14"/>
        <v>2035</v>
      </c>
      <c r="M28" s="50">
        <f t="shared" si="6"/>
        <v>-373220.17150858045</v>
      </c>
      <c r="N28" s="50">
        <f t="shared" si="7"/>
        <v>8527278.0202134382</v>
      </c>
      <c r="O28" s="50">
        <f t="shared" si="8"/>
        <v>206419.59999999998</v>
      </c>
      <c r="P28" s="100">
        <f t="shared" si="24"/>
        <v>39.50234303673129</v>
      </c>
      <c r="Q28" s="143">
        <f t="shared" si="10"/>
        <v>-1.8080655689119662</v>
      </c>
      <c r="R28" s="143">
        <f t="shared" si="11"/>
        <v>41.310408605643261</v>
      </c>
    </row>
    <row r="29" spans="2:20" hidden="1" outlineLevel="1">
      <c r="B29" s="71">
        <f t="shared" si="3"/>
        <v>45413</v>
      </c>
      <c r="C29" s="50">
        <v>609204.50360640883</v>
      </c>
      <c r="D29" s="65">
        <f>IF(F29&lt;&gt;0,VLOOKUP($J29,'Table 1'!$B$13:$C$33,2,FALSE)/12*1000*Study_MW,0)</f>
        <v>0</v>
      </c>
      <c r="E29" s="65">
        <f t="shared" si="21"/>
        <v>609204.50360640883</v>
      </c>
      <c r="F29" s="50">
        <v>20545.48</v>
      </c>
      <c r="G29" s="69">
        <f t="shared" si="16"/>
        <v>29.651509899326218</v>
      </c>
      <c r="I29" s="70">
        <f t="shared" si="22"/>
        <v>18</v>
      </c>
      <c r="J29" s="67">
        <f t="shared" si="4"/>
        <v>2024</v>
      </c>
      <c r="K29" s="71">
        <f t="shared" si="23"/>
        <v>45413</v>
      </c>
      <c r="L29" s="67">
        <f t="shared" si="14"/>
        <v>2036</v>
      </c>
      <c r="M29" s="50">
        <f t="shared" si="6"/>
        <v>2957972.3344365805</v>
      </c>
      <c r="N29" s="50">
        <f t="shared" si="7"/>
        <v>8710968.4691431131</v>
      </c>
      <c r="O29" s="50">
        <f t="shared" si="8"/>
        <v>207045.12</v>
      </c>
      <c r="P29" s="100">
        <f t="shared" si="24"/>
        <v>56.359409985512791</v>
      </c>
      <c r="Q29" s="143">
        <f t="shared" si="10"/>
        <v>14.286607356099871</v>
      </c>
      <c r="R29" s="143">
        <f t="shared" si="11"/>
        <v>42.072802629412919</v>
      </c>
    </row>
    <row r="30" spans="2:20" hidden="1" outlineLevel="1">
      <c r="B30" s="71">
        <f t="shared" si="3"/>
        <v>45444</v>
      </c>
      <c r="C30" s="50">
        <v>620482.06133280694</v>
      </c>
      <c r="D30" s="65">
        <f>IF(F30&lt;&gt;0,VLOOKUP($J30,'Table 1'!$B$13:$C$33,2,FALSE)/12*1000*Study_MW,0)</f>
        <v>0</v>
      </c>
      <c r="E30" s="65">
        <f t="shared" si="21"/>
        <v>620482.06133280694</v>
      </c>
      <c r="F30" s="50">
        <v>16657.03</v>
      </c>
      <c r="G30" s="69">
        <f t="shared" si="16"/>
        <v>37.250461897037283</v>
      </c>
      <c r="I30" s="70">
        <f t="shared" si="22"/>
        <v>19</v>
      </c>
      <c r="J30" s="67">
        <f t="shared" si="4"/>
        <v>2024</v>
      </c>
      <c r="K30" s="71">
        <f t="shared" si="23"/>
        <v>45444</v>
      </c>
      <c r="L30" s="67">
        <f t="shared" si="14"/>
        <v>2037</v>
      </c>
      <c r="M30" s="50">
        <f t="shared" si="6"/>
        <v>2919885.7278132141</v>
      </c>
      <c r="N30" s="50">
        <f t="shared" si="7"/>
        <v>8898700.1079492401</v>
      </c>
      <c r="O30" s="50">
        <f t="shared" si="8"/>
        <v>206419.59999999998</v>
      </c>
      <c r="P30" s="100">
        <f t="shared" si="24"/>
        <v>57.255153269178194</v>
      </c>
      <c r="Q30" s="143">
        <f t="shared" si="10"/>
        <v>14.145389913618738</v>
      </c>
      <c r="R30" s="143">
        <f t="shared" si="11"/>
        <v>43.109763355559458</v>
      </c>
    </row>
    <row r="31" spans="2:20" hidden="1" outlineLevel="1">
      <c r="B31" s="71">
        <f t="shared" si="3"/>
        <v>45474</v>
      </c>
      <c r="C31" s="50">
        <v>1837869.8138689995</v>
      </c>
      <c r="D31" s="65">
        <f>IF(F31&lt;&gt;0,VLOOKUP($J31,'Table 1'!$B$13:$C$33,2,FALSE)/12*1000*Study_MW,0)</f>
        <v>0</v>
      </c>
      <c r="E31" s="65">
        <f t="shared" si="21"/>
        <v>1837869.8138689995</v>
      </c>
      <c r="F31" s="50">
        <v>12237.55</v>
      </c>
      <c r="G31" s="69">
        <f t="shared" si="16"/>
        <v>150.18282367540886</v>
      </c>
      <c r="I31" s="70">
        <f t="shared" si="22"/>
        <v>20</v>
      </c>
      <c r="J31" s="67">
        <f t="shared" si="4"/>
        <v>2024</v>
      </c>
      <c r="K31" s="71">
        <f t="shared" si="23"/>
        <v>45474</v>
      </c>
      <c r="L31" s="67">
        <f t="shared" si="14"/>
        <v>2038</v>
      </c>
      <c r="M31" s="50">
        <f t="shared" si="6"/>
        <v>2863189.6986183077</v>
      </c>
      <c r="N31" s="50">
        <f t="shared" si="7"/>
        <v>9090472.9366318211</v>
      </c>
      <c r="O31" s="50">
        <f t="shared" si="8"/>
        <v>206419.59999999998</v>
      </c>
      <c r="P31" s="100">
        <f t="shared" si="24"/>
        <v>57.909532986451531</v>
      </c>
      <c r="Q31" s="143">
        <f t="shared" si="10"/>
        <v>13.87072593212228</v>
      </c>
      <c r="R31" s="143">
        <f t="shared" si="11"/>
        <v>44.038807054329247</v>
      </c>
    </row>
    <row r="32" spans="2:20" hidden="1" outlineLevel="1">
      <c r="B32" s="71">
        <f t="shared" si="3"/>
        <v>45505</v>
      </c>
      <c r="C32" s="50">
        <v>984638.91838121414</v>
      </c>
      <c r="D32" s="65">
        <f>IF(F32&lt;&gt;0,VLOOKUP($J32,'Table 1'!$B$13:$C$33,2,FALSE)/12*1000*Study_MW,0)</f>
        <v>0</v>
      </c>
      <c r="E32" s="65">
        <f t="shared" si="21"/>
        <v>984638.91838121414</v>
      </c>
      <c r="F32" s="50">
        <v>9817.59</v>
      </c>
      <c r="G32" s="69">
        <f t="shared" si="16"/>
        <v>100.29334270235508</v>
      </c>
      <c r="I32" s="70">
        <f t="shared" si="22"/>
        <v>21</v>
      </c>
      <c r="J32" s="67">
        <f t="shared" si="4"/>
        <v>2024</v>
      </c>
      <c r="K32" s="71">
        <f t="shared" si="23"/>
        <v>45505</v>
      </c>
      <c r="L32" s="67">
        <f t="shared" si="14"/>
        <v>2039</v>
      </c>
      <c r="M32" s="50">
        <f t="shared" si="6"/>
        <v>3025398.4831086397</v>
      </c>
      <c r="N32" s="50">
        <f t="shared" si="7"/>
        <v>9286286.9551908579</v>
      </c>
      <c r="O32" s="50">
        <f t="shared" si="8"/>
        <v>206419.59999999998</v>
      </c>
      <c r="P32" s="100">
        <f t="shared" ref="P32:P34" si="25">(M32+N32)/O32</f>
        <v>59.643974885618903</v>
      </c>
      <c r="Q32" s="143">
        <f t="shared" si="10"/>
        <v>14.65654658331205</v>
      </c>
      <c r="R32" s="143">
        <f t="shared" si="11"/>
        <v>44.987428302306853</v>
      </c>
    </row>
    <row r="33" spans="2:20" hidden="1" outlineLevel="1">
      <c r="B33" s="71">
        <f t="shared" si="3"/>
        <v>45536</v>
      </c>
      <c r="C33" s="50">
        <v>956108.61502197385</v>
      </c>
      <c r="D33" s="65">
        <f>IF(F33&lt;&gt;0,VLOOKUP($J33,'Table 1'!$B$13:$C$33,2,FALSE)/12*1000*Study_MW,0)</f>
        <v>0</v>
      </c>
      <c r="E33" s="65">
        <f t="shared" si="21"/>
        <v>956108.61502197385</v>
      </c>
      <c r="F33" s="50">
        <v>12664.17</v>
      </c>
      <c r="G33" s="69">
        <f t="shared" si="16"/>
        <v>75.497139964322486</v>
      </c>
      <c r="I33" s="70">
        <f t="shared" si="22"/>
        <v>22</v>
      </c>
      <c r="J33" s="67">
        <f t="shared" si="4"/>
        <v>2024</v>
      </c>
      <c r="K33" s="71">
        <f t="shared" si="23"/>
        <v>45536</v>
      </c>
      <c r="L33" s="67">
        <f t="shared" si="14"/>
        <v>2040</v>
      </c>
      <c r="M33" s="50">
        <f t="shared" si="6"/>
        <v>3176413.3238964677</v>
      </c>
      <c r="N33" s="50">
        <f t="shared" si="7"/>
        <v>9486142.1636263449</v>
      </c>
      <c r="O33" s="50">
        <f t="shared" si="8"/>
        <v>207045.12</v>
      </c>
      <c r="P33" s="100">
        <f t="shared" si="25"/>
        <v>61.158434874112523</v>
      </c>
      <c r="Q33" s="143">
        <f t="shared" si="10"/>
        <v>15.341647868331636</v>
      </c>
      <c r="R33" s="143">
        <f t="shared" si="11"/>
        <v>45.816787005780888</v>
      </c>
    </row>
    <row r="34" spans="2:20" hidden="1" outlineLevel="1">
      <c r="B34" s="71">
        <f t="shared" si="3"/>
        <v>45566</v>
      </c>
      <c r="C34" s="50">
        <v>1001714.5811615288</v>
      </c>
      <c r="D34" s="65">
        <f>IF(F34&lt;&gt;0,VLOOKUP($J34,'Table 1'!$B$13:$C$33,2,FALSE)/12*1000*Study_MW,0)</f>
        <v>0</v>
      </c>
      <c r="E34" s="65">
        <f t="shared" si="21"/>
        <v>1001714.5811615288</v>
      </c>
      <c r="F34" s="50">
        <v>17510.46</v>
      </c>
      <c r="G34" s="69">
        <f t="shared" si="16"/>
        <v>57.206639983274506</v>
      </c>
      <c r="I34" s="70">
        <f t="shared" si="22"/>
        <v>23</v>
      </c>
      <c r="J34" s="67">
        <f t="shared" si="4"/>
        <v>2024</v>
      </c>
      <c r="K34" s="71">
        <f t="shared" si="23"/>
        <v>45566</v>
      </c>
      <c r="L34" s="67">
        <f t="shared" si="14"/>
        <v>2041</v>
      </c>
      <c r="M34" s="50">
        <f t="shared" si="6"/>
        <v>0</v>
      </c>
      <c r="N34" s="50">
        <f t="shared" si="7"/>
        <v>0</v>
      </c>
      <c r="O34" s="50">
        <f t="shared" si="8"/>
        <v>0</v>
      </c>
      <c r="P34" s="100" t="e">
        <f t="shared" si="25"/>
        <v>#DIV/0!</v>
      </c>
      <c r="Q34" s="143" t="e">
        <f t="shared" ref="Q34" si="26">M34/O34</f>
        <v>#DIV/0!</v>
      </c>
      <c r="R34" s="143">
        <f t="shared" ref="R34" si="27">IFERROR(N34/O34,0)</f>
        <v>0</v>
      </c>
    </row>
    <row r="35" spans="2:20" hidden="1" outlineLevel="1">
      <c r="B35" s="71">
        <f t="shared" si="3"/>
        <v>45597</v>
      </c>
      <c r="C35" s="50">
        <v>844404.84542700648</v>
      </c>
      <c r="D35" s="65">
        <f>IF(F35&lt;&gt;0,VLOOKUP($J35,'Table 1'!$B$13:$C$33,2,FALSE)/12*1000*Study_MW,0)</f>
        <v>0</v>
      </c>
      <c r="E35" s="65">
        <f t="shared" si="21"/>
        <v>844404.84542700648</v>
      </c>
      <c r="F35" s="50">
        <v>15238.97</v>
      </c>
      <c r="G35" s="69">
        <f t="shared" si="16"/>
        <v>55.410887049912596</v>
      </c>
      <c r="I35" s="70">
        <f t="shared" si="22"/>
        <v>24</v>
      </c>
      <c r="J35" s="67">
        <f t="shared" si="4"/>
        <v>2024</v>
      </c>
      <c r="K35" s="71">
        <f t="shared" si="23"/>
        <v>45597</v>
      </c>
      <c r="L35" s="67">
        <f t="shared" si="14"/>
        <v>2042</v>
      </c>
      <c r="M35" s="50">
        <f t="shared" si="6"/>
        <v>0</v>
      </c>
      <c r="N35" s="50">
        <f t="shared" si="7"/>
        <v>0</v>
      </c>
      <c r="O35" s="50">
        <f t="shared" si="8"/>
        <v>0</v>
      </c>
      <c r="P35" s="100" t="e">
        <f t="shared" ref="P35" si="28">(M35+N35)/O35</f>
        <v>#DIV/0!</v>
      </c>
      <c r="Q35" s="143" t="e">
        <f t="shared" ref="Q35" si="29">M35/O35</f>
        <v>#DIV/0!</v>
      </c>
      <c r="R35" s="143">
        <f t="shared" ref="R35" si="30">IFERROR(N35/O35,0)</f>
        <v>0</v>
      </c>
    </row>
    <row r="36" spans="2:20" hidden="1" outlineLevel="1">
      <c r="B36" s="75">
        <f t="shared" si="3"/>
        <v>45627</v>
      </c>
      <c r="C36" s="72">
        <v>1220852.3119770586</v>
      </c>
      <c r="D36" s="73">
        <f>IF(F36&lt;&gt;0,VLOOKUP($J36,'Table 1'!$B$13:$C$33,2,FALSE)/12*1000*Study_MW,0)</f>
        <v>0</v>
      </c>
      <c r="E36" s="73">
        <f t="shared" si="21"/>
        <v>1220852.3119770586</v>
      </c>
      <c r="F36" s="72">
        <v>15292.21</v>
      </c>
      <c r="G36" s="74">
        <f t="shared" si="16"/>
        <v>79.834916730613742</v>
      </c>
      <c r="I36" s="58">
        <f t="shared" si="22"/>
        <v>25</v>
      </c>
      <c r="J36" s="67">
        <f t="shared" si="4"/>
        <v>2024</v>
      </c>
      <c r="K36" s="75">
        <f t="shared" si="23"/>
        <v>45627</v>
      </c>
      <c r="L36" s="67">
        <f t="shared" si="14"/>
        <v>2043</v>
      </c>
      <c r="M36" s="50">
        <f t="shared" si="6"/>
        <v>0</v>
      </c>
      <c r="N36" s="50">
        <f t="shared" si="7"/>
        <v>0</v>
      </c>
      <c r="O36" s="50">
        <f t="shared" si="8"/>
        <v>0</v>
      </c>
      <c r="P36" s="100" t="e">
        <f t="shared" ref="P36" si="31">(M36+N36)/O36</f>
        <v>#DIV/0!</v>
      </c>
      <c r="Q36" s="143" t="e">
        <f t="shared" ref="Q36" si="32">M36/O36</f>
        <v>#DIV/0!</v>
      </c>
      <c r="R36" s="143">
        <f t="shared" ref="R36" si="33">IFERROR(N36/O36,0)</f>
        <v>0</v>
      </c>
    </row>
    <row r="37" spans="2:20" hidden="1" outlineLevel="1">
      <c r="B37" s="68">
        <f t="shared" si="3"/>
        <v>45658</v>
      </c>
      <c r="C37" s="63">
        <v>721609.6420892179</v>
      </c>
      <c r="D37" s="64">
        <f>IF(F37&lt;&gt;0,VLOOKUP($J37,'Table 1'!$B$13:$C$33,2,FALSE)/12*1000*Study_MW,0)</f>
        <v>0</v>
      </c>
      <c r="E37" s="64">
        <f t="shared" si="21"/>
        <v>721609.6420892179</v>
      </c>
      <c r="F37" s="63">
        <v>20908.240000000002</v>
      </c>
      <c r="G37" s="66">
        <f t="shared" si="16"/>
        <v>34.513170027186305</v>
      </c>
      <c r="I37" s="54">
        <f>I25+13</f>
        <v>27</v>
      </c>
      <c r="J37" s="67">
        <f t="shared" si="4"/>
        <v>2025</v>
      </c>
      <c r="K37" s="68">
        <f t="shared" si="23"/>
        <v>45658</v>
      </c>
      <c r="L37" s="67">
        <f t="shared" si="14"/>
        <v>2044</v>
      </c>
      <c r="M37" s="50">
        <f t="shared" si="6"/>
        <v>0</v>
      </c>
      <c r="N37" s="50">
        <f t="shared" si="7"/>
        <v>0</v>
      </c>
      <c r="O37" s="50">
        <f t="shared" si="8"/>
        <v>0</v>
      </c>
      <c r="P37" s="100" t="e">
        <f t="shared" ref="P37" si="34">(M37+N37)/O37</f>
        <v>#DIV/0!</v>
      </c>
      <c r="Q37" s="143" t="e">
        <f t="shared" ref="Q37" si="35">M37/O37</f>
        <v>#DIV/0!</v>
      </c>
      <c r="R37" s="143">
        <f t="shared" ref="R37" si="36">IFERROR(N37/O37,0)</f>
        <v>0</v>
      </c>
    </row>
    <row r="38" spans="2:20" hidden="1" outlineLevel="1">
      <c r="B38" s="71">
        <f t="shared" si="3"/>
        <v>45689</v>
      </c>
      <c r="C38" s="50">
        <v>851249.72940295935</v>
      </c>
      <c r="D38" s="65">
        <f>IF(F38&lt;&gt;0,VLOOKUP($J38,'Table 1'!$B$13:$C$33,2,FALSE)/12*1000*Study_MW,0)</f>
        <v>0</v>
      </c>
      <c r="E38" s="65">
        <f t="shared" si="21"/>
        <v>851249.72940295935</v>
      </c>
      <c r="F38" s="50">
        <v>19864.38</v>
      </c>
      <c r="G38" s="69">
        <f t="shared" si="16"/>
        <v>42.853073159240779</v>
      </c>
      <c r="I38" s="70">
        <f t="shared" si="22"/>
        <v>28</v>
      </c>
      <c r="J38" s="67">
        <f t="shared" si="4"/>
        <v>2025</v>
      </c>
      <c r="K38" s="71">
        <f t="shared" si="23"/>
        <v>45689</v>
      </c>
      <c r="L38" s="67">
        <f t="shared" si="14"/>
        <v>2045</v>
      </c>
      <c r="M38" s="50">
        <f t="shared" si="6"/>
        <v>0</v>
      </c>
      <c r="N38" s="50">
        <f t="shared" si="7"/>
        <v>0</v>
      </c>
      <c r="O38" s="50">
        <f t="shared" si="8"/>
        <v>0</v>
      </c>
      <c r="P38" s="100" t="e">
        <f t="shared" ref="P38:P41" si="37">(M38+N38)/O38</f>
        <v>#DIV/0!</v>
      </c>
      <c r="Q38" s="143" t="e">
        <f t="shared" ref="Q38:Q41" si="38">M38/O38</f>
        <v>#DIV/0!</v>
      </c>
      <c r="R38" s="143">
        <f t="shared" ref="R38:R41" si="39">IFERROR(N38/O38,0)</f>
        <v>0</v>
      </c>
    </row>
    <row r="39" spans="2:20" hidden="1" outlineLevel="1">
      <c r="B39" s="71">
        <f t="shared" si="3"/>
        <v>45717</v>
      </c>
      <c r="C39" s="50">
        <v>960001.32245385647</v>
      </c>
      <c r="D39" s="65">
        <f>IF(F39&lt;&gt;0,VLOOKUP($J39,'Table 1'!$B$13:$C$33,2,FALSE)/12*1000*Study_MW,0)</f>
        <v>0</v>
      </c>
      <c r="E39" s="65">
        <f t="shared" si="21"/>
        <v>960001.32245385647</v>
      </c>
      <c r="F39" s="50">
        <v>25268.5</v>
      </c>
      <c r="G39" s="69">
        <f t="shared" si="16"/>
        <v>37.992018618194848</v>
      </c>
      <c r="I39" s="70">
        <f t="shared" si="22"/>
        <v>29</v>
      </c>
      <c r="J39" s="67">
        <f t="shared" si="4"/>
        <v>2025</v>
      </c>
      <c r="K39" s="71">
        <f t="shared" si="23"/>
        <v>45717</v>
      </c>
      <c r="L39" s="67">
        <f t="shared" si="14"/>
        <v>2046</v>
      </c>
      <c r="M39" s="50">
        <f>SUMIF($J$13:$J$316,L39,$C$13:$C$316)</f>
        <v>0</v>
      </c>
      <c r="N39" s="50">
        <f>SUMIF($J$13:$J$316,L39,$D$13:$D$316)</f>
        <v>0</v>
      </c>
      <c r="O39" s="50">
        <f>SUMIF($J$13:$J$316,L39,$F$13:$F$316)</f>
        <v>0</v>
      </c>
      <c r="P39" s="100" t="e">
        <f t="shared" si="37"/>
        <v>#DIV/0!</v>
      </c>
      <c r="Q39" s="143" t="e">
        <f t="shared" si="38"/>
        <v>#DIV/0!</v>
      </c>
      <c r="R39" s="143">
        <f t="shared" si="39"/>
        <v>0</v>
      </c>
    </row>
    <row r="40" spans="2:20" hidden="1" outlineLevel="1">
      <c r="B40" s="71">
        <f t="shared" si="3"/>
        <v>45748</v>
      </c>
      <c r="C40" s="50">
        <v>374612.6949108541</v>
      </c>
      <c r="D40" s="65">
        <f>IF(F40&lt;&gt;0,VLOOKUP($J40,'Table 1'!$B$13:$C$33,2,FALSE)/12*1000*Study_MW,0)</f>
        <v>0</v>
      </c>
      <c r="E40" s="65">
        <f t="shared" si="21"/>
        <v>374612.6949108541</v>
      </c>
      <c r="F40" s="50">
        <v>20415.02</v>
      </c>
      <c r="G40" s="69">
        <f t="shared" si="16"/>
        <v>18.349856865722106</v>
      </c>
      <c r="I40" s="70">
        <f t="shared" si="22"/>
        <v>30</v>
      </c>
      <c r="J40" s="67">
        <f t="shared" si="4"/>
        <v>2025</v>
      </c>
      <c r="K40" s="71">
        <f t="shared" si="23"/>
        <v>45748</v>
      </c>
      <c r="L40" s="67">
        <f t="shared" si="14"/>
        <v>2047</v>
      </c>
      <c r="M40" s="50">
        <f>SUMIF($J$13:$J$316,L40,$C$13:$C$316)</f>
        <v>0</v>
      </c>
      <c r="N40" s="50">
        <f>SUMIF($J$13:$J$316,L40,$D$13:$D$316)</f>
        <v>0</v>
      </c>
      <c r="O40" s="50">
        <f>SUMIF($J$13:$J$316,L40,$F$13:$F$316)</f>
        <v>0</v>
      </c>
      <c r="P40" s="100" t="e">
        <f t="shared" si="37"/>
        <v>#DIV/0!</v>
      </c>
      <c r="Q40" s="143" t="e">
        <f t="shared" si="38"/>
        <v>#DIV/0!</v>
      </c>
      <c r="R40" s="143">
        <f t="shared" si="39"/>
        <v>0</v>
      </c>
      <c r="S40" s="52"/>
      <c r="T40" s="82"/>
    </row>
    <row r="41" spans="2:20" hidden="1" outlineLevel="1">
      <c r="B41" s="71">
        <f t="shared" si="3"/>
        <v>45778</v>
      </c>
      <c r="C41" s="50">
        <v>512853.9174144119</v>
      </c>
      <c r="D41" s="65">
        <f>IF(F41&lt;&gt;0,VLOOKUP($J41,'Table 1'!$B$13:$C$33,2,FALSE)/12*1000*Study_MW,0)</f>
        <v>0</v>
      </c>
      <c r="E41" s="65">
        <f t="shared" si="21"/>
        <v>512853.9174144119</v>
      </c>
      <c r="F41" s="50">
        <v>20545.48</v>
      </c>
      <c r="G41" s="69">
        <f t="shared" si="16"/>
        <v>24.961885408100073</v>
      </c>
      <c r="I41" s="70">
        <f t="shared" si="22"/>
        <v>31</v>
      </c>
      <c r="J41" s="67">
        <f t="shared" si="4"/>
        <v>2025</v>
      </c>
      <c r="K41" s="71">
        <f t="shared" si="23"/>
        <v>45778</v>
      </c>
      <c r="L41" s="67">
        <f t="shared" si="14"/>
        <v>2048</v>
      </c>
      <c r="M41" s="50">
        <f>SUMIF($J$13:$J$316,L41,$C$13:$C$316)</f>
        <v>0</v>
      </c>
      <c r="N41" s="50">
        <f>SUMIF($J$13:$J$316,L41,$D$13:$D$316)</f>
        <v>0</v>
      </c>
      <c r="O41" s="50">
        <f>SUMIF($J$13:$J$316,L41,$F$13:$F$316)</f>
        <v>0</v>
      </c>
      <c r="P41" s="100" t="e">
        <f t="shared" si="37"/>
        <v>#DIV/0!</v>
      </c>
      <c r="Q41" s="143" t="e">
        <f t="shared" si="38"/>
        <v>#DIV/0!</v>
      </c>
      <c r="R41" s="143">
        <f t="shared" si="39"/>
        <v>0</v>
      </c>
      <c r="S41" s="52"/>
      <c r="T41" s="82"/>
    </row>
    <row r="42" spans="2:20" hidden="1" outlineLevel="1">
      <c r="B42" s="71">
        <f t="shared" si="3"/>
        <v>45809</v>
      </c>
      <c r="C42" s="50">
        <v>497766.3559897244</v>
      </c>
      <c r="D42" s="65">
        <f>IF(F42&lt;&gt;0,VLOOKUP($J42,'Table 1'!$B$13:$C$33,2,FALSE)/12*1000*Study_MW,0)</f>
        <v>0</v>
      </c>
      <c r="E42" s="65">
        <f t="shared" si="21"/>
        <v>497766.3559897244</v>
      </c>
      <c r="F42" s="50">
        <v>16657.03</v>
      </c>
      <c r="G42" s="69">
        <f t="shared" si="16"/>
        <v>29.883259860234652</v>
      </c>
      <c r="I42" s="70">
        <f t="shared" si="22"/>
        <v>32</v>
      </c>
      <c r="J42" s="67">
        <f t="shared" si="4"/>
        <v>2025</v>
      </c>
      <c r="K42" s="71">
        <f t="shared" si="23"/>
        <v>45809</v>
      </c>
      <c r="L42" s="67">
        <f t="shared" si="14"/>
        <v>2049</v>
      </c>
      <c r="P42" s="100"/>
      <c r="Q42" s="143"/>
      <c r="R42" s="143"/>
    </row>
    <row r="43" spans="2:20" hidden="1" outlineLevel="1">
      <c r="B43" s="71">
        <f t="shared" si="3"/>
        <v>45839</v>
      </c>
      <c r="C43" s="50">
        <v>1792435.0103115141</v>
      </c>
      <c r="D43" s="65">
        <f>IF(F43&lt;&gt;0,VLOOKUP($J43,'Table 1'!$B$13:$C$33,2,FALSE)/12*1000*Study_MW,0)</f>
        <v>0</v>
      </c>
      <c r="E43" s="65">
        <f t="shared" si="21"/>
        <v>1792435.0103115141</v>
      </c>
      <c r="F43" s="50">
        <v>12237.55</v>
      </c>
      <c r="G43" s="69">
        <f t="shared" si="16"/>
        <v>146.47008676667423</v>
      </c>
      <c r="I43" s="70">
        <f t="shared" si="22"/>
        <v>33</v>
      </c>
      <c r="J43" s="67">
        <f t="shared" si="4"/>
        <v>2025</v>
      </c>
      <c r="K43" s="71">
        <f t="shared" si="23"/>
        <v>45839</v>
      </c>
    </row>
    <row r="44" spans="2:20" hidden="1" outlineLevel="1">
      <c r="B44" s="71">
        <f t="shared" si="3"/>
        <v>45870</v>
      </c>
      <c r="C44" s="50">
        <v>810903.61309960485</v>
      </c>
      <c r="D44" s="65">
        <f>IF(F44&lt;&gt;0,VLOOKUP($J44,'Table 1'!$B$13:$C$33,2,FALSE)/12*1000*Study_MW,0)</f>
        <v>0</v>
      </c>
      <c r="E44" s="65">
        <f t="shared" si="21"/>
        <v>810903.61309960485</v>
      </c>
      <c r="F44" s="50">
        <v>9817.59</v>
      </c>
      <c r="G44" s="69">
        <f t="shared" si="16"/>
        <v>82.59701343197311</v>
      </c>
      <c r="I44" s="70">
        <f t="shared" si="22"/>
        <v>34</v>
      </c>
      <c r="J44" s="67">
        <f t="shared" si="4"/>
        <v>2025</v>
      </c>
      <c r="K44" s="71">
        <f t="shared" si="23"/>
        <v>45870</v>
      </c>
    </row>
    <row r="45" spans="2:20" hidden="1" outlineLevel="1">
      <c r="B45" s="71">
        <f t="shared" si="3"/>
        <v>45901</v>
      </c>
      <c r="C45" s="50">
        <v>908008.54564478993</v>
      </c>
      <c r="D45" s="65">
        <f>IF(F45&lt;&gt;0,VLOOKUP($J45,'Table 1'!$B$13:$C$33,2,FALSE)/12*1000*Study_MW,0)</f>
        <v>0</v>
      </c>
      <c r="E45" s="65">
        <f t="shared" si="21"/>
        <v>908008.54564478993</v>
      </c>
      <c r="F45" s="50">
        <v>12664.17</v>
      </c>
      <c r="G45" s="69">
        <f t="shared" si="16"/>
        <v>71.69901743618334</v>
      </c>
      <c r="I45" s="70">
        <f t="shared" si="22"/>
        <v>35</v>
      </c>
      <c r="J45" s="67">
        <f t="shared" si="4"/>
        <v>2025</v>
      </c>
      <c r="K45" s="71">
        <f t="shared" si="23"/>
        <v>45901</v>
      </c>
    </row>
    <row r="46" spans="2:20" hidden="1" outlineLevel="1">
      <c r="B46" s="71">
        <f t="shared" si="3"/>
        <v>45931</v>
      </c>
      <c r="C46" s="50">
        <v>770176.6064093709</v>
      </c>
      <c r="D46" s="65">
        <f>IF(F46&lt;&gt;0,VLOOKUP($J46,'Table 1'!$B$13:$C$33,2,FALSE)/12*1000*Study_MW,0)</f>
        <v>0</v>
      </c>
      <c r="E46" s="65">
        <f t="shared" si="21"/>
        <v>770176.6064093709</v>
      </c>
      <c r="F46" s="50">
        <v>17510.46</v>
      </c>
      <c r="G46" s="69">
        <f t="shared" si="16"/>
        <v>43.983802047997081</v>
      </c>
      <c r="I46" s="70">
        <f t="shared" si="22"/>
        <v>36</v>
      </c>
      <c r="J46" s="67">
        <f t="shared" si="4"/>
        <v>2025</v>
      </c>
      <c r="K46" s="71">
        <f t="shared" si="23"/>
        <v>45931</v>
      </c>
    </row>
    <row r="47" spans="2:20" hidden="1" outlineLevel="1">
      <c r="B47" s="71">
        <f t="shared" si="3"/>
        <v>45962</v>
      </c>
      <c r="C47" s="50">
        <v>569250.3876183331</v>
      </c>
      <c r="D47" s="65">
        <f>IF(F47&lt;&gt;0,VLOOKUP($J47,'Table 1'!$B$13:$C$33,2,FALSE)/12*1000*Study_MW,0)</f>
        <v>0</v>
      </c>
      <c r="E47" s="65">
        <f t="shared" si="21"/>
        <v>569250.3876183331</v>
      </c>
      <c r="F47" s="50">
        <v>15238.97</v>
      </c>
      <c r="G47" s="69">
        <f t="shared" si="16"/>
        <v>37.354912282019924</v>
      </c>
      <c r="I47" s="70">
        <f t="shared" si="22"/>
        <v>37</v>
      </c>
      <c r="J47" s="67">
        <f t="shared" si="4"/>
        <v>2025</v>
      </c>
      <c r="K47" s="71">
        <f t="shared" si="23"/>
        <v>45962</v>
      </c>
    </row>
    <row r="48" spans="2:20" hidden="1" outlineLevel="1">
      <c r="B48" s="75">
        <f t="shared" si="3"/>
        <v>45992</v>
      </c>
      <c r="C48" s="72">
        <v>904930.942040205</v>
      </c>
      <c r="D48" s="73">
        <f>IF(F48&lt;&gt;0,VLOOKUP($J48,'Table 1'!$B$13:$C$33,2,FALSE)/12*1000*Study_MW,0)</f>
        <v>0</v>
      </c>
      <c r="E48" s="73">
        <f t="shared" si="21"/>
        <v>904930.942040205</v>
      </c>
      <c r="F48" s="72">
        <v>15292.21</v>
      </c>
      <c r="G48" s="74">
        <f t="shared" si="16"/>
        <v>59.175942655783899</v>
      </c>
      <c r="I48" s="58">
        <f t="shared" si="22"/>
        <v>38</v>
      </c>
      <c r="J48" s="67">
        <f t="shared" si="4"/>
        <v>2025</v>
      </c>
      <c r="K48" s="75">
        <f t="shared" si="23"/>
        <v>45992</v>
      </c>
    </row>
    <row r="49" spans="2:11" hidden="1" outlineLevel="1">
      <c r="B49" s="68">
        <f t="shared" si="3"/>
        <v>46023</v>
      </c>
      <c r="C49" s="63">
        <v>638906.4187270999</v>
      </c>
      <c r="D49" s="64">
        <f>IF(F49&lt;&gt;0,VLOOKUP($J49,'Table 1'!$B$13:$C$33,2,FALSE)/12*1000*Study_MW,0)</f>
        <v>586558.6414080949</v>
      </c>
      <c r="E49" s="64">
        <f t="shared" si="21"/>
        <v>1225465.0601351948</v>
      </c>
      <c r="F49" s="63">
        <v>20908.240000000002</v>
      </c>
      <c r="G49" s="66">
        <f t="shared" si="16"/>
        <v>58.611583764831217</v>
      </c>
      <c r="I49" s="54">
        <f>I37+13</f>
        <v>40</v>
      </c>
      <c r="J49" s="67">
        <f t="shared" si="4"/>
        <v>2026</v>
      </c>
      <c r="K49" s="68">
        <f t="shared" si="23"/>
        <v>46023</v>
      </c>
    </row>
    <row r="50" spans="2:11" hidden="1" outlineLevel="1">
      <c r="B50" s="71">
        <f t="shared" si="3"/>
        <v>46054</v>
      </c>
      <c r="C50" s="50">
        <v>506557.68758705258</v>
      </c>
      <c r="D50" s="65">
        <f>IF(F50&lt;&gt;0,VLOOKUP($J50,'Table 1'!$B$13:$C$33,2,FALSE)/12*1000*Study_MW,0)</f>
        <v>586558.6414080949</v>
      </c>
      <c r="E50" s="65">
        <f t="shared" si="21"/>
        <v>1093116.3289951475</v>
      </c>
      <c r="F50" s="50">
        <v>19864.38</v>
      </c>
      <c r="G50" s="69">
        <f t="shared" si="16"/>
        <v>55.028967880958149</v>
      </c>
      <c r="I50" s="70">
        <f t="shared" si="22"/>
        <v>41</v>
      </c>
      <c r="J50" s="67">
        <f t="shared" si="4"/>
        <v>2026</v>
      </c>
      <c r="K50" s="71">
        <f t="shared" si="23"/>
        <v>46054</v>
      </c>
    </row>
    <row r="51" spans="2:11" hidden="1" outlineLevel="1">
      <c r="B51" s="71">
        <f t="shared" si="3"/>
        <v>46082</v>
      </c>
      <c r="C51" s="50">
        <v>289352.32380226254</v>
      </c>
      <c r="D51" s="65">
        <f>IF(F51&lt;&gt;0,VLOOKUP($J51,'Table 1'!$B$13:$C$33,2,FALSE)/12*1000*Study_MW,0)</f>
        <v>586558.6414080949</v>
      </c>
      <c r="E51" s="65">
        <f t="shared" si="21"/>
        <v>875910.96521035745</v>
      </c>
      <c r="F51" s="50">
        <v>25268.5</v>
      </c>
      <c r="G51" s="69">
        <f t="shared" si="16"/>
        <v>34.664145683770599</v>
      </c>
      <c r="I51" s="70">
        <f t="shared" si="22"/>
        <v>42</v>
      </c>
      <c r="J51" s="67">
        <f t="shared" si="4"/>
        <v>2026</v>
      </c>
      <c r="K51" s="71">
        <f t="shared" si="23"/>
        <v>46082</v>
      </c>
    </row>
    <row r="52" spans="2:11" hidden="1" outlineLevel="1">
      <c r="B52" s="71">
        <f t="shared" si="3"/>
        <v>46113</v>
      </c>
      <c r="C52" s="50">
        <v>-26564.014060899615</v>
      </c>
      <c r="D52" s="65">
        <f>IF(F52&lt;&gt;0,VLOOKUP($J52,'Table 1'!$B$13:$C$33,2,FALSE)/12*1000*Study_MW,0)</f>
        <v>586558.6414080949</v>
      </c>
      <c r="E52" s="65">
        <f t="shared" si="21"/>
        <v>559994.62734719529</v>
      </c>
      <c r="F52" s="50">
        <v>20415.02</v>
      </c>
      <c r="G52" s="69">
        <f t="shared" si="16"/>
        <v>27.430520633690062</v>
      </c>
      <c r="I52" s="70">
        <f t="shared" si="22"/>
        <v>43</v>
      </c>
      <c r="J52" s="67">
        <f t="shared" si="4"/>
        <v>2026</v>
      </c>
      <c r="K52" s="71">
        <f t="shared" si="23"/>
        <v>46113</v>
      </c>
    </row>
    <row r="53" spans="2:11" hidden="1" outlineLevel="1">
      <c r="B53" s="71">
        <f t="shared" si="3"/>
        <v>46143</v>
      </c>
      <c r="C53" s="50">
        <v>-105333.34761156142</v>
      </c>
      <c r="D53" s="65">
        <f>IF(F53&lt;&gt;0,VLOOKUP($J53,'Table 1'!$B$13:$C$33,2,FALSE)/12*1000*Study_MW,0)</f>
        <v>586558.6414080949</v>
      </c>
      <c r="E53" s="65">
        <f t="shared" si="21"/>
        <v>481225.29379653349</v>
      </c>
      <c r="F53" s="50">
        <v>20545.48</v>
      </c>
      <c r="G53" s="69">
        <f t="shared" si="16"/>
        <v>23.422441033090173</v>
      </c>
      <c r="I53" s="70">
        <f t="shared" si="22"/>
        <v>44</v>
      </c>
      <c r="J53" s="67">
        <f t="shared" si="4"/>
        <v>2026</v>
      </c>
      <c r="K53" s="71">
        <f t="shared" si="23"/>
        <v>46143</v>
      </c>
    </row>
    <row r="54" spans="2:11" hidden="1" outlineLevel="1">
      <c r="B54" s="71">
        <f t="shared" si="3"/>
        <v>46174</v>
      </c>
      <c r="C54" s="50">
        <v>-278106.26099020243</v>
      </c>
      <c r="D54" s="65">
        <f>IF(F54&lt;&gt;0,VLOOKUP($J54,'Table 1'!$B$13:$C$33,2,FALSE)/12*1000*Study_MW,0)</f>
        <v>586558.6414080949</v>
      </c>
      <c r="E54" s="65">
        <f t="shared" si="21"/>
        <v>308452.38041789248</v>
      </c>
      <c r="F54" s="50">
        <v>16657.03</v>
      </c>
      <c r="G54" s="69">
        <f t="shared" si="16"/>
        <v>18.517849845854421</v>
      </c>
      <c r="I54" s="70">
        <f t="shared" si="22"/>
        <v>45</v>
      </c>
      <c r="J54" s="67">
        <f t="shared" si="4"/>
        <v>2026</v>
      </c>
      <c r="K54" s="71">
        <f t="shared" si="23"/>
        <v>46174</v>
      </c>
    </row>
    <row r="55" spans="2:11" hidden="1" outlineLevel="1">
      <c r="B55" s="71">
        <f t="shared" si="3"/>
        <v>46204</v>
      </c>
      <c r="C55" s="50">
        <v>-467117.68269076943</v>
      </c>
      <c r="D55" s="65">
        <f>IF(F55&lt;&gt;0,VLOOKUP($J55,'Table 1'!$B$13:$C$33,2,FALSE)/12*1000*Study_MW,0)</f>
        <v>586558.6414080949</v>
      </c>
      <c r="E55" s="65">
        <f t="shared" si="21"/>
        <v>119440.95871732547</v>
      </c>
      <c r="F55" s="50">
        <v>12237.55</v>
      </c>
      <c r="G55" s="69">
        <f t="shared" si="16"/>
        <v>9.7602018964029131</v>
      </c>
      <c r="I55" s="70">
        <f t="shared" si="22"/>
        <v>46</v>
      </c>
      <c r="J55" s="67">
        <f t="shared" si="4"/>
        <v>2026</v>
      </c>
      <c r="K55" s="71">
        <f t="shared" si="23"/>
        <v>46204</v>
      </c>
    </row>
    <row r="56" spans="2:11" hidden="1" outlineLevel="1">
      <c r="B56" s="71">
        <f t="shared" si="3"/>
        <v>46235</v>
      </c>
      <c r="C56" s="50">
        <v>-552263.97534376383</v>
      </c>
      <c r="D56" s="65">
        <f>IF(F56&lt;&gt;0,VLOOKUP($J56,'Table 1'!$B$13:$C$33,2,FALSE)/12*1000*Study_MW,0)</f>
        <v>586558.6414080949</v>
      </c>
      <c r="E56" s="65">
        <f t="shared" si="21"/>
        <v>34294.666064331075</v>
      </c>
      <c r="F56" s="50">
        <v>9817.59</v>
      </c>
      <c r="G56" s="69">
        <f t="shared" si="16"/>
        <v>3.4931858087708973</v>
      </c>
      <c r="I56" s="70">
        <f t="shared" si="22"/>
        <v>47</v>
      </c>
      <c r="J56" s="67">
        <f t="shared" si="4"/>
        <v>2026</v>
      </c>
      <c r="K56" s="71">
        <f t="shared" si="23"/>
        <v>46235</v>
      </c>
    </row>
    <row r="57" spans="2:11" hidden="1" outlineLevel="1">
      <c r="B57" s="71">
        <f t="shared" si="3"/>
        <v>46266</v>
      </c>
      <c r="C57" s="50">
        <v>-109013.72685115039</v>
      </c>
      <c r="D57" s="65">
        <f>IF(F57&lt;&gt;0,VLOOKUP($J57,'Table 1'!$B$13:$C$33,2,FALSE)/12*1000*Study_MW,0)</f>
        <v>586558.6414080949</v>
      </c>
      <c r="E57" s="65">
        <f t="shared" si="21"/>
        <v>477544.91455694451</v>
      </c>
      <c r="F57" s="50">
        <v>12664.17</v>
      </c>
      <c r="G57" s="69">
        <f t="shared" si="16"/>
        <v>37.708346820750549</v>
      </c>
      <c r="I57" s="70">
        <f t="shared" si="22"/>
        <v>48</v>
      </c>
      <c r="J57" s="67">
        <f t="shared" si="4"/>
        <v>2026</v>
      </c>
      <c r="K57" s="71">
        <f t="shared" si="23"/>
        <v>46266</v>
      </c>
    </row>
    <row r="58" spans="2:11" hidden="1" outlineLevel="1">
      <c r="B58" s="71">
        <f t="shared" si="3"/>
        <v>46296</v>
      </c>
      <c r="C58" s="50">
        <v>201182.98940846324</v>
      </c>
      <c r="D58" s="65">
        <f>IF(F58&lt;&gt;0,VLOOKUP($J58,'Table 1'!$B$13:$C$33,2,FALSE)/12*1000*Study_MW,0)</f>
        <v>586558.6414080949</v>
      </c>
      <c r="E58" s="65">
        <f t="shared" si="21"/>
        <v>787741.63081655814</v>
      </c>
      <c r="F58" s="50">
        <v>17510.46</v>
      </c>
      <c r="G58" s="69">
        <f t="shared" si="16"/>
        <v>44.986918151582437</v>
      </c>
      <c r="I58" s="70">
        <f t="shared" si="22"/>
        <v>49</v>
      </c>
      <c r="J58" s="67">
        <f t="shared" si="4"/>
        <v>2026</v>
      </c>
      <c r="K58" s="71">
        <f t="shared" si="23"/>
        <v>46296</v>
      </c>
    </row>
    <row r="59" spans="2:11" hidden="1" outlineLevel="1">
      <c r="B59" s="71">
        <f t="shared" si="3"/>
        <v>46327</v>
      </c>
      <c r="C59" s="50">
        <v>162144.00294002891</v>
      </c>
      <c r="D59" s="65">
        <f>IF(F59&lt;&gt;0,VLOOKUP($J59,'Table 1'!$B$13:$C$33,2,FALSE)/12*1000*Study_MW,0)</f>
        <v>586558.6414080949</v>
      </c>
      <c r="E59" s="65">
        <f t="shared" si="21"/>
        <v>748702.64434812381</v>
      </c>
      <c r="F59" s="50">
        <v>15238.97</v>
      </c>
      <c r="G59" s="69">
        <f t="shared" si="16"/>
        <v>49.130790620896548</v>
      </c>
      <c r="I59" s="70">
        <f t="shared" si="22"/>
        <v>50</v>
      </c>
      <c r="J59" s="67">
        <f t="shared" si="4"/>
        <v>2026</v>
      </c>
      <c r="K59" s="71">
        <f t="shared" si="23"/>
        <v>46327</v>
      </c>
    </row>
    <row r="60" spans="2:11" hidden="1" outlineLevel="1">
      <c r="B60" s="75">
        <f t="shared" si="3"/>
        <v>46357</v>
      </c>
      <c r="C60" s="72">
        <v>277947.33684396744</v>
      </c>
      <c r="D60" s="73">
        <f>IF(F60&lt;&gt;0,VLOOKUP($J60,'Table 1'!$B$13:$C$33,2,FALSE)/12*1000*Study_MW,0)</f>
        <v>586558.6414080949</v>
      </c>
      <c r="E60" s="73">
        <f t="shared" si="21"/>
        <v>864505.97825206234</v>
      </c>
      <c r="F60" s="72">
        <v>15292.21</v>
      </c>
      <c r="G60" s="74">
        <f t="shared" si="16"/>
        <v>56.532442220716455</v>
      </c>
      <c r="I60" s="58">
        <f t="shared" si="22"/>
        <v>51</v>
      </c>
      <c r="J60" s="67">
        <f t="shared" si="4"/>
        <v>2026</v>
      </c>
      <c r="K60" s="75">
        <f t="shared" si="23"/>
        <v>46357</v>
      </c>
    </row>
    <row r="61" spans="2:11" hidden="1" outlineLevel="1">
      <c r="B61" s="68">
        <f t="shared" si="3"/>
        <v>46388</v>
      </c>
      <c r="C61" s="63">
        <v>540779.04675957561</v>
      </c>
      <c r="D61" s="64">
        <f>IF(F61&lt;&gt;0,VLOOKUP($J61,'Table 1'!$B$13:$C$33,2,FALSE)/12*1000*Study_MW,0)</f>
        <v>599198.24440860411</v>
      </c>
      <c r="E61" s="64">
        <f t="shared" si="21"/>
        <v>1139977.2911681798</v>
      </c>
      <c r="F61" s="63">
        <v>20908.240000000002</v>
      </c>
      <c r="G61" s="66">
        <f t="shared" si="16"/>
        <v>54.522871899699815</v>
      </c>
      <c r="I61" s="54">
        <f>I49+13</f>
        <v>53</v>
      </c>
      <c r="J61" s="67">
        <f t="shared" si="4"/>
        <v>2027</v>
      </c>
      <c r="K61" s="68">
        <f t="shared" si="23"/>
        <v>46388</v>
      </c>
    </row>
    <row r="62" spans="2:11" hidden="1" outlineLevel="1">
      <c r="B62" s="71">
        <f t="shared" si="3"/>
        <v>46419</v>
      </c>
      <c r="C62" s="50">
        <v>416226.35870629549</v>
      </c>
      <c r="D62" s="65">
        <f>IF(F62&lt;&gt;0,VLOOKUP($J62,'Table 1'!$B$13:$C$33,2,FALSE)/12*1000*Study_MW,0)</f>
        <v>599198.24440860411</v>
      </c>
      <c r="E62" s="65">
        <f t="shared" si="21"/>
        <v>1015424.6031148996</v>
      </c>
      <c r="F62" s="50">
        <v>19864.38</v>
      </c>
      <c r="G62" s="69">
        <f t="shared" si="16"/>
        <v>51.117860366892877</v>
      </c>
      <c r="I62" s="70">
        <f t="shared" si="22"/>
        <v>54</v>
      </c>
      <c r="J62" s="67">
        <f t="shared" si="4"/>
        <v>2027</v>
      </c>
      <c r="K62" s="71">
        <f t="shared" si="23"/>
        <v>46419</v>
      </c>
    </row>
    <row r="63" spans="2:11" hidden="1" outlineLevel="1">
      <c r="B63" s="71">
        <f t="shared" si="3"/>
        <v>46447</v>
      </c>
      <c r="C63" s="50">
        <v>171011.84675495327</v>
      </c>
      <c r="D63" s="65">
        <f>IF(F63&lt;&gt;0,VLOOKUP($J63,'Table 1'!$B$13:$C$33,2,FALSE)/12*1000*Study_MW,0)</f>
        <v>599198.24440860411</v>
      </c>
      <c r="E63" s="65">
        <f t="shared" si="21"/>
        <v>770210.09116355737</v>
      </c>
      <c r="F63" s="50">
        <v>25268.5</v>
      </c>
      <c r="G63" s="69">
        <f t="shared" si="16"/>
        <v>30.481037305877173</v>
      </c>
      <c r="I63" s="70">
        <f t="shared" si="22"/>
        <v>55</v>
      </c>
      <c r="J63" s="67">
        <f t="shared" si="4"/>
        <v>2027</v>
      </c>
      <c r="K63" s="71">
        <f t="shared" si="23"/>
        <v>46447</v>
      </c>
    </row>
    <row r="64" spans="2:11" hidden="1" outlineLevel="1">
      <c r="B64" s="71">
        <f t="shared" si="3"/>
        <v>46478</v>
      </c>
      <c r="C64" s="50">
        <v>-18697.07255281508</v>
      </c>
      <c r="D64" s="65">
        <f>IF(F64&lt;&gt;0,VLOOKUP($J64,'Table 1'!$B$13:$C$33,2,FALSE)/12*1000*Study_MW,0)</f>
        <v>599198.24440860411</v>
      </c>
      <c r="E64" s="65">
        <f t="shared" si="21"/>
        <v>580501.17185578903</v>
      </c>
      <c r="F64" s="50">
        <v>20415.02</v>
      </c>
      <c r="G64" s="69">
        <f t="shared" si="16"/>
        <v>28.435003828347412</v>
      </c>
      <c r="I64" s="70">
        <f t="shared" si="22"/>
        <v>56</v>
      </c>
      <c r="J64" s="67">
        <f t="shared" si="4"/>
        <v>2027</v>
      </c>
      <c r="K64" s="71">
        <f t="shared" si="23"/>
        <v>46478</v>
      </c>
    </row>
    <row r="65" spans="2:11" hidden="1" outlineLevel="1">
      <c r="B65" s="71">
        <f t="shared" si="3"/>
        <v>46508</v>
      </c>
      <c r="C65" s="50">
        <v>-141111.57165712118</v>
      </c>
      <c r="D65" s="65">
        <f>IF(F65&lt;&gt;0,VLOOKUP($J65,'Table 1'!$B$13:$C$33,2,FALSE)/12*1000*Study_MW,0)</f>
        <v>599198.24440860411</v>
      </c>
      <c r="E65" s="65">
        <f t="shared" si="21"/>
        <v>458086.67275148293</v>
      </c>
      <c r="F65" s="50">
        <v>20545.48</v>
      </c>
      <c r="G65" s="69">
        <f t="shared" si="16"/>
        <v>22.29622635983598</v>
      </c>
      <c r="I65" s="70">
        <f t="shared" si="22"/>
        <v>57</v>
      </c>
      <c r="J65" s="67">
        <f t="shared" si="4"/>
        <v>2027</v>
      </c>
      <c r="K65" s="71">
        <f t="shared" si="23"/>
        <v>46508</v>
      </c>
    </row>
    <row r="66" spans="2:11" hidden="1" outlineLevel="1">
      <c r="B66" s="71">
        <f t="shared" si="3"/>
        <v>46539</v>
      </c>
      <c r="C66" s="50">
        <v>-267464.18701976538</v>
      </c>
      <c r="D66" s="65">
        <f>IF(F66&lt;&gt;0,VLOOKUP($J66,'Table 1'!$B$13:$C$33,2,FALSE)/12*1000*Study_MW,0)</f>
        <v>599198.24440860411</v>
      </c>
      <c r="E66" s="65">
        <f t="shared" si="21"/>
        <v>331734.05738883873</v>
      </c>
      <c r="F66" s="50">
        <v>16657.03</v>
      </c>
      <c r="G66" s="69">
        <f t="shared" si="16"/>
        <v>19.915558619324017</v>
      </c>
      <c r="I66" s="70">
        <f t="shared" si="22"/>
        <v>58</v>
      </c>
      <c r="J66" s="67">
        <f t="shared" si="4"/>
        <v>2027</v>
      </c>
      <c r="K66" s="71">
        <f t="shared" si="23"/>
        <v>46539</v>
      </c>
    </row>
    <row r="67" spans="2:11" hidden="1" outlineLevel="1">
      <c r="B67" s="71">
        <f t="shared" si="3"/>
        <v>46569</v>
      </c>
      <c r="C67" s="50">
        <v>-457803.44644448161</v>
      </c>
      <c r="D67" s="65">
        <f>IF(F67&lt;&gt;0,VLOOKUP($J67,'Table 1'!$B$13:$C$33,2,FALSE)/12*1000*Study_MW,0)</f>
        <v>599198.24440860411</v>
      </c>
      <c r="E67" s="65">
        <f t="shared" si="21"/>
        <v>141394.7979641225</v>
      </c>
      <c r="F67" s="50">
        <v>12237.55</v>
      </c>
      <c r="G67" s="69">
        <f t="shared" si="16"/>
        <v>11.554175301765673</v>
      </c>
      <c r="I67" s="70">
        <f t="shared" si="22"/>
        <v>59</v>
      </c>
      <c r="J67" s="67">
        <f t="shared" si="4"/>
        <v>2027</v>
      </c>
      <c r="K67" s="71">
        <f t="shared" si="23"/>
        <v>46569</v>
      </c>
    </row>
    <row r="68" spans="2:11" hidden="1" outlineLevel="1">
      <c r="B68" s="71">
        <f t="shared" si="3"/>
        <v>46600</v>
      </c>
      <c r="C68" s="50">
        <v>-503980.63480576873</v>
      </c>
      <c r="D68" s="65">
        <f>IF(F68&lt;&gt;0,VLOOKUP($J68,'Table 1'!$B$13:$C$33,2,FALSE)/12*1000*Study_MW,0)</f>
        <v>599198.24440860411</v>
      </c>
      <c r="E68" s="65">
        <f t="shared" si="21"/>
        <v>95217.609602835379</v>
      </c>
      <c r="F68" s="50">
        <v>9817.59</v>
      </c>
      <c r="G68" s="69">
        <f t="shared" si="16"/>
        <v>9.6986744815005892</v>
      </c>
      <c r="I68" s="70">
        <f t="shared" si="22"/>
        <v>60</v>
      </c>
      <c r="J68" s="67">
        <f t="shared" si="4"/>
        <v>2027</v>
      </c>
      <c r="K68" s="71">
        <f t="shared" si="23"/>
        <v>46600</v>
      </c>
    </row>
    <row r="69" spans="2:11" hidden="1" outlineLevel="1">
      <c r="B69" s="71">
        <f t="shared" si="3"/>
        <v>46631</v>
      </c>
      <c r="C69" s="50">
        <v>-160126.07671257854</v>
      </c>
      <c r="D69" s="65">
        <f>IF(F69&lt;&gt;0,VLOOKUP($J69,'Table 1'!$B$13:$C$33,2,FALSE)/12*1000*Study_MW,0)</f>
        <v>599198.24440860411</v>
      </c>
      <c r="E69" s="65">
        <f t="shared" si="21"/>
        <v>439072.16769602557</v>
      </c>
      <c r="F69" s="50">
        <v>12664.17</v>
      </c>
      <c r="G69" s="69">
        <f t="shared" si="16"/>
        <v>34.670425909951113</v>
      </c>
      <c r="I69" s="70">
        <f t="shared" si="22"/>
        <v>61</v>
      </c>
      <c r="J69" s="67">
        <f t="shared" si="4"/>
        <v>2027</v>
      </c>
      <c r="K69" s="71">
        <f t="shared" si="23"/>
        <v>46631</v>
      </c>
    </row>
    <row r="70" spans="2:11" hidden="1" outlineLevel="1">
      <c r="B70" s="71">
        <f t="shared" si="3"/>
        <v>46661</v>
      </c>
      <c r="C70" s="50">
        <v>143307.6695740819</v>
      </c>
      <c r="D70" s="65">
        <f>IF(F70&lt;&gt;0,VLOOKUP($J70,'Table 1'!$B$13:$C$33,2,FALSE)/12*1000*Study_MW,0)</f>
        <v>599198.24440860411</v>
      </c>
      <c r="E70" s="65">
        <f t="shared" si="21"/>
        <v>742505.913982686</v>
      </c>
      <c r="F70" s="50">
        <v>17510.46</v>
      </c>
      <c r="G70" s="69">
        <f t="shared" si="16"/>
        <v>42.403564154378927</v>
      </c>
      <c r="I70" s="70">
        <f t="shared" si="22"/>
        <v>62</v>
      </c>
      <c r="J70" s="67">
        <f t="shared" si="4"/>
        <v>2027</v>
      </c>
      <c r="K70" s="71">
        <f t="shared" si="23"/>
        <v>46661</v>
      </c>
    </row>
    <row r="71" spans="2:11" hidden="1" outlineLevel="1">
      <c r="B71" s="71">
        <f t="shared" si="3"/>
        <v>46692</v>
      </c>
      <c r="C71" s="50">
        <v>120967.17898190022</v>
      </c>
      <c r="D71" s="65">
        <f>IF(F71&lt;&gt;0,VLOOKUP($J71,'Table 1'!$B$13:$C$33,2,FALSE)/12*1000*Study_MW,0)</f>
        <v>599198.24440860411</v>
      </c>
      <c r="E71" s="65">
        <f t="shared" si="21"/>
        <v>720165.42339050432</v>
      </c>
      <c r="F71" s="50">
        <v>15238.97</v>
      </c>
      <c r="G71" s="69">
        <f t="shared" si="16"/>
        <v>47.258142997230415</v>
      </c>
      <c r="I71" s="70">
        <f t="shared" si="22"/>
        <v>63</v>
      </c>
      <c r="J71" s="67">
        <f t="shared" si="4"/>
        <v>2027</v>
      </c>
      <c r="K71" s="71">
        <f t="shared" si="23"/>
        <v>46692</v>
      </c>
    </row>
    <row r="72" spans="2:11" hidden="1" outlineLevel="1">
      <c r="B72" s="75">
        <f t="shared" si="3"/>
        <v>46722</v>
      </c>
      <c r="C72" s="72">
        <v>222005.68000435829</v>
      </c>
      <c r="D72" s="73">
        <f>IF(F72&lt;&gt;0,VLOOKUP($J72,'Table 1'!$B$13:$C$33,2,FALSE)/12*1000*Study_MW,0)</f>
        <v>599198.24440860411</v>
      </c>
      <c r="E72" s="73">
        <f t="shared" si="21"/>
        <v>821203.9244129624</v>
      </c>
      <c r="F72" s="72">
        <v>15292.21</v>
      </c>
      <c r="G72" s="74">
        <f t="shared" si="16"/>
        <v>53.700800892281919</v>
      </c>
      <c r="I72" s="58">
        <f t="shared" si="22"/>
        <v>64</v>
      </c>
      <c r="J72" s="67">
        <f t="shared" si="4"/>
        <v>2027</v>
      </c>
      <c r="K72" s="75">
        <f t="shared" si="23"/>
        <v>46722</v>
      </c>
    </row>
    <row r="73" spans="2:11" hidden="1" outlineLevel="1">
      <c r="B73" s="68">
        <f t="shared" si="3"/>
        <v>46753</v>
      </c>
      <c r="C73" s="63">
        <v>601223.92523768544</v>
      </c>
      <c r="D73" s="64">
        <f>IF(F73&lt;&gt;0,VLOOKUP($J73,'Table 1'!$B$13:$C$33,2,FALSE)/12*1000*Study_MW,0)</f>
        <v>612087.19090850314</v>
      </c>
      <c r="E73" s="64">
        <f t="shared" si="21"/>
        <v>1213311.1161461887</v>
      </c>
      <c r="F73" s="63">
        <v>20908.240000000002</v>
      </c>
      <c r="G73" s="66">
        <f t="shared" si="16"/>
        <v>58.030284526396706</v>
      </c>
      <c r="I73" s="54">
        <f>I61+13</f>
        <v>66</v>
      </c>
      <c r="J73" s="67">
        <f t="shared" si="4"/>
        <v>2028</v>
      </c>
      <c r="K73" s="68">
        <f t="shared" si="23"/>
        <v>46753</v>
      </c>
    </row>
    <row r="74" spans="2:11" hidden="1" outlineLevel="1">
      <c r="B74" s="71">
        <f t="shared" si="3"/>
        <v>46784</v>
      </c>
      <c r="C74" s="50">
        <v>363200.84719842672</v>
      </c>
      <c r="D74" s="65">
        <f>IF(F74&lt;&gt;0,VLOOKUP($J74,'Table 1'!$B$13:$C$33,2,FALSE)/12*1000*Study_MW,0)</f>
        <v>612087.19090850314</v>
      </c>
      <c r="E74" s="65">
        <f t="shared" si="21"/>
        <v>975288.03810692986</v>
      </c>
      <c r="F74" s="50">
        <v>20489.900000000001</v>
      </c>
      <c r="G74" s="69">
        <f t="shared" si="16"/>
        <v>47.598477206181087</v>
      </c>
      <c r="I74" s="70">
        <f t="shared" si="22"/>
        <v>67</v>
      </c>
      <c r="J74" s="67">
        <f t="shared" si="4"/>
        <v>2028</v>
      </c>
      <c r="K74" s="71">
        <f t="shared" si="23"/>
        <v>46784</v>
      </c>
    </row>
    <row r="75" spans="2:11" hidden="1" outlineLevel="1">
      <c r="B75" s="71">
        <f t="shared" si="3"/>
        <v>46813</v>
      </c>
      <c r="C75" s="50">
        <v>151383.60191506147</v>
      </c>
      <c r="D75" s="65">
        <f>IF(F75&lt;&gt;0,VLOOKUP($J75,'Table 1'!$B$13:$C$33,2,FALSE)/12*1000*Study_MW,0)</f>
        <v>612087.19090850314</v>
      </c>
      <c r="E75" s="65">
        <f t="shared" si="21"/>
        <v>763470.79282356461</v>
      </c>
      <c r="F75" s="50">
        <v>25268.5</v>
      </c>
      <c r="G75" s="69">
        <f t="shared" si="16"/>
        <v>30.214329810774863</v>
      </c>
      <c r="I75" s="70">
        <f t="shared" si="22"/>
        <v>68</v>
      </c>
      <c r="J75" s="67">
        <f t="shared" si="4"/>
        <v>2028</v>
      </c>
      <c r="K75" s="71">
        <f t="shared" si="23"/>
        <v>46813</v>
      </c>
    </row>
    <row r="76" spans="2:11" hidden="1" outlineLevel="1">
      <c r="B76" s="71">
        <f t="shared" si="3"/>
        <v>46844</v>
      </c>
      <c r="C76" s="50">
        <v>-30212.577396631241</v>
      </c>
      <c r="D76" s="65">
        <f>IF(F76&lt;&gt;0,VLOOKUP($J76,'Table 1'!$B$13:$C$33,2,FALSE)/12*1000*Study_MW,0)</f>
        <v>612087.19090850314</v>
      </c>
      <c r="E76" s="65">
        <f t="shared" si="21"/>
        <v>581874.6135118719</v>
      </c>
      <c r="F76" s="50">
        <v>20415.02</v>
      </c>
      <c r="G76" s="69">
        <f t="shared" si="16"/>
        <v>28.502279866092312</v>
      </c>
      <c r="I76" s="70">
        <f t="shared" si="22"/>
        <v>69</v>
      </c>
      <c r="J76" s="67">
        <f t="shared" si="4"/>
        <v>2028</v>
      </c>
      <c r="K76" s="71">
        <f t="shared" si="23"/>
        <v>46844</v>
      </c>
    </row>
    <row r="77" spans="2:11" hidden="1" outlineLevel="1">
      <c r="B77" s="71">
        <f t="shared" si="3"/>
        <v>46874</v>
      </c>
      <c r="C77" s="50">
        <v>-134567.68671250343</v>
      </c>
      <c r="D77" s="65">
        <f>IF(F77&lt;&gt;0,VLOOKUP($J77,'Table 1'!$B$13:$C$33,2,FALSE)/12*1000*Study_MW,0)</f>
        <v>612087.19090850314</v>
      </c>
      <c r="E77" s="65">
        <f t="shared" si="21"/>
        <v>477519.5041959997</v>
      </c>
      <c r="F77" s="50">
        <v>20545.48</v>
      </c>
      <c r="G77" s="69">
        <f t="shared" si="16"/>
        <v>23.242070966266045</v>
      </c>
      <c r="I77" s="70">
        <f t="shared" si="22"/>
        <v>70</v>
      </c>
      <c r="J77" s="67">
        <f t="shared" si="4"/>
        <v>2028</v>
      </c>
      <c r="K77" s="71">
        <f t="shared" si="23"/>
        <v>46874</v>
      </c>
    </row>
    <row r="78" spans="2:11" hidden="1" outlineLevel="1">
      <c r="B78" s="71">
        <f t="shared" ref="B78:B141" si="40">EDATE(B77,1)</f>
        <v>46905</v>
      </c>
      <c r="C78" s="50">
        <v>-266690.42794410884</v>
      </c>
      <c r="D78" s="65">
        <f>IF(F78&lt;&gt;0,VLOOKUP($J78,'Table 1'!$B$13:$C$33,2,FALSE)/12*1000*Study_MW,0)</f>
        <v>612087.19090850314</v>
      </c>
      <c r="E78" s="65">
        <f t="shared" ref="E78:E141" si="41">C78+D78</f>
        <v>345396.76296439429</v>
      </c>
      <c r="F78" s="50">
        <v>16657.03</v>
      </c>
      <c r="G78" s="69">
        <f t="shared" ref="G78:G141" si="42">IF(ISNUMBER($F78),E78/$F78,"")</f>
        <v>20.735795214656772</v>
      </c>
      <c r="I78" s="70">
        <f t="shared" si="22"/>
        <v>71</v>
      </c>
      <c r="J78" s="67">
        <f t="shared" ref="J78:J141" si="43">YEAR(B78)</f>
        <v>2028</v>
      </c>
      <c r="K78" s="71">
        <f t="shared" si="23"/>
        <v>46905</v>
      </c>
    </row>
    <row r="79" spans="2:11" hidden="1" outlineLevel="1">
      <c r="B79" s="71">
        <f t="shared" si="40"/>
        <v>46935</v>
      </c>
      <c r="C79" s="50">
        <v>-445733.61297553778</v>
      </c>
      <c r="D79" s="65">
        <f>IF(F79&lt;&gt;0,VLOOKUP($J79,'Table 1'!$B$13:$C$33,2,FALSE)/12*1000*Study_MW,0)</f>
        <v>612087.19090850314</v>
      </c>
      <c r="E79" s="65">
        <f t="shared" si="41"/>
        <v>166353.57793296536</v>
      </c>
      <c r="F79" s="50">
        <v>12237.55</v>
      </c>
      <c r="G79" s="69">
        <f t="shared" si="42"/>
        <v>13.593699550397373</v>
      </c>
      <c r="I79" s="70">
        <f t="shared" si="22"/>
        <v>72</v>
      </c>
      <c r="J79" s="67">
        <f t="shared" si="43"/>
        <v>2028</v>
      </c>
      <c r="K79" s="71">
        <f t="shared" si="23"/>
        <v>46935</v>
      </c>
    </row>
    <row r="80" spans="2:11" hidden="1" outlineLevel="1">
      <c r="B80" s="71">
        <f t="shared" si="40"/>
        <v>46966</v>
      </c>
      <c r="C80" s="50">
        <v>-480297.10652473569</v>
      </c>
      <c r="D80" s="65">
        <f>IF(F80&lt;&gt;0,VLOOKUP($J80,'Table 1'!$B$13:$C$33,2,FALSE)/12*1000*Study_MW,0)</f>
        <v>612087.19090850314</v>
      </c>
      <c r="E80" s="65">
        <f t="shared" si="41"/>
        <v>131790.08438376745</v>
      </c>
      <c r="F80" s="50">
        <v>9817.59</v>
      </c>
      <c r="G80" s="69">
        <f t="shared" si="42"/>
        <v>13.423873311450921</v>
      </c>
      <c r="I80" s="70">
        <f t="shared" si="22"/>
        <v>73</v>
      </c>
      <c r="J80" s="67">
        <f t="shared" si="43"/>
        <v>2028</v>
      </c>
      <c r="K80" s="71">
        <f t="shared" si="23"/>
        <v>46966</v>
      </c>
    </row>
    <row r="81" spans="2:11" hidden="1" outlineLevel="1">
      <c r="B81" s="71">
        <f t="shared" si="40"/>
        <v>46997</v>
      </c>
      <c r="C81" s="50">
        <v>-164621.0236427784</v>
      </c>
      <c r="D81" s="65">
        <f>IF(F81&lt;&gt;0,VLOOKUP($J81,'Table 1'!$B$13:$C$33,2,FALSE)/12*1000*Study_MW,0)</f>
        <v>612087.19090850314</v>
      </c>
      <c r="E81" s="65">
        <f t="shared" si="41"/>
        <v>447466.16726572474</v>
      </c>
      <c r="F81" s="50">
        <v>12664.17</v>
      </c>
      <c r="G81" s="69">
        <f t="shared" si="42"/>
        <v>35.333240730796</v>
      </c>
      <c r="I81" s="70">
        <f t="shared" si="22"/>
        <v>74</v>
      </c>
      <c r="J81" s="67">
        <f t="shared" si="43"/>
        <v>2028</v>
      </c>
      <c r="K81" s="71">
        <f t="shared" si="23"/>
        <v>46997</v>
      </c>
    </row>
    <row r="82" spans="2:11" hidden="1" outlineLevel="1">
      <c r="B82" s="71">
        <f t="shared" si="40"/>
        <v>47027</v>
      </c>
      <c r="C82" s="50">
        <v>133845.24914768338</v>
      </c>
      <c r="D82" s="65">
        <f>IF(F82&lt;&gt;0,VLOOKUP($J82,'Table 1'!$B$13:$C$33,2,FALSE)/12*1000*Study_MW,0)</f>
        <v>612087.19090850314</v>
      </c>
      <c r="E82" s="65">
        <f t="shared" si="41"/>
        <v>745932.44005618652</v>
      </c>
      <c r="F82" s="50">
        <v>17510.46</v>
      </c>
      <c r="G82" s="69">
        <f t="shared" si="42"/>
        <v>42.599248680856277</v>
      </c>
      <c r="I82" s="70">
        <f t="shared" si="22"/>
        <v>75</v>
      </c>
      <c r="J82" s="67">
        <f t="shared" si="43"/>
        <v>2028</v>
      </c>
      <c r="K82" s="71">
        <f t="shared" si="23"/>
        <v>47027</v>
      </c>
    </row>
    <row r="83" spans="2:11" hidden="1" outlineLevel="1">
      <c r="B83" s="71">
        <f t="shared" si="40"/>
        <v>47058</v>
      </c>
      <c r="C83" s="50">
        <v>88535.791383206844</v>
      </c>
      <c r="D83" s="65">
        <f>IF(F83&lt;&gt;0,VLOOKUP($J83,'Table 1'!$B$13:$C$33,2,FALSE)/12*1000*Study_MW,0)</f>
        <v>612087.19090850314</v>
      </c>
      <c r="E83" s="65">
        <f t="shared" si="41"/>
        <v>700622.98229170998</v>
      </c>
      <c r="F83" s="50">
        <v>15238.97</v>
      </c>
      <c r="G83" s="69">
        <f t="shared" si="42"/>
        <v>45.975743917844184</v>
      </c>
      <c r="I83" s="70">
        <f t="shared" si="22"/>
        <v>76</v>
      </c>
      <c r="J83" s="67">
        <f t="shared" si="43"/>
        <v>2028</v>
      </c>
      <c r="K83" s="71">
        <f t="shared" si="23"/>
        <v>47058</v>
      </c>
    </row>
    <row r="84" spans="2:11" hidden="1" outlineLevel="1">
      <c r="B84" s="75">
        <f t="shared" si="40"/>
        <v>47088</v>
      </c>
      <c r="C84" s="72">
        <v>189145.22306874394</v>
      </c>
      <c r="D84" s="73">
        <f>IF(F84&lt;&gt;0,VLOOKUP($J84,'Table 1'!$B$13:$C$33,2,FALSE)/12*1000*Study_MW,0)</f>
        <v>612087.19090850314</v>
      </c>
      <c r="E84" s="73">
        <f t="shared" si="41"/>
        <v>801232.41397724708</v>
      </c>
      <c r="F84" s="72">
        <v>15292.21</v>
      </c>
      <c r="G84" s="74">
        <f t="shared" si="42"/>
        <v>52.394808466352941</v>
      </c>
      <c r="I84" s="58">
        <f t="shared" si="22"/>
        <v>77</v>
      </c>
      <c r="J84" s="67">
        <f t="shared" si="43"/>
        <v>2028</v>
      </c>
      <c r="K84" s="75">
        <f t="shared" si="23"/>
        <v>47088</v>
      </c>
    </row>
    <row r="85" spans="2:11" hidden="1" outlineLevel="1">
      <c r="B85" s="68">
        <f t="shared" si="40"/>
        <v>47119</v>
      </c>
      <c r="C85" s="63">
        <v>608965.38183072209</v>
      </c>
      <c r="D85" s="64">
        <f>IF(F85&lt;&gt;0,VLOOKUP($J85,'Table 1'!$B$13:$C$33,2,FALSE)/12*1000*Study_MW,0)</f>
        <v>625312.90323143988</v>
      </c>
      <c r="E85" s="64">
        <f t="shared" si="41"/>
        <v>1234278.285062162</v>
      </c>
      <c r="F85" s="63">
        <v>20908.240000000002</v>
      </c>
      <c r="G85" s="66">
        <f t="shared" si="42"/>
        <v>59.033102980555121</v>
      </c>
      <c r="I85" s="54">
        <f>I73+13</f>
        <v>79</v>
      </c>
      <c r="J85" s="67">
        <f t="shared" si="43"/>
        <v>2029</v>
      </c>
      <c r="K85" s="68">
        <f t="shared" si="23"/>
        <v>47119</v>
      </c>
    </row>
    <row r="86" spans="2:11" hidden="1" outlineLevel="1">
      <c r="B86" s="71">
        <f t="shared" si="40"/>
        <v>47150</v>
      </c>
      <c r="C86" s="50">
        <v>373547.1978225112</v>
      </c>
      <c r="D86" s="65">
        <f>IF(F86&lt;&gt;0,VLOOKUP($J86,'Table 1'!$B$13:$C$33,2,FALSE)/12*1000*Study_MW,0)</f>
        <v>625312.90323143988</v>
      </c>
      <c r="E86" s="65">
        <f t="shared" si="41"/>
        <v>998860.10105395108</v>
      </c>
      <c r="F86" s="50">
        <v>19864.38</v>
      </c>
      <c r="G86" s="69">
        <f t="shared" si="42"/>
        <v>50.283980726000564</v>
      </c>
      <c r="I86" s="70">
        <f t="shared" si="22"/>
        <v>80</v>
      </c>
      <c r="J86" s="67">
        <f t="shared" si="43"/>
        <v>2029</v>
      </c>
      <c r="K86" s="71">
        <f t="shared" si="23"/>
        <v>47150</v>
      </c>
    </row>
    <row r="87" spans="2:11" hidden="1" outlineLevel="1">
      <c r="B87" s="71">
        <f t="shared" si="40"/>
        <v>47178</v>
      </c>
      <c r="C87" s="50">
        <v>179566.88510864973</v>
      </c>
      <c r="D87" s="65">
        <f>IF(F87&lt;&gt;0,VLOOKUP($J87,'Table 1'!$B$13:$C$33,2,FALSE)/12*1000*Study_MW,0)</f>
        <v>625312.90323143988</v>
      </c>
      <c r="E87" s="65">
        <f t="shared" si="41"/>
        <v>804879.78834008961</v>
      </c>
      <c r="F87" s="50">
        <v>25268.5</v>
      </c>
      <c r="G87" s="69">
        <f t="shared" si="42"/>
        <v>31.853089353942245</v>
      </c>
      <c r="I87" s="70">
        <f t="shared" si="22"/>
        <v>81</v>
      </c>
      <c r="J87" s="67">
        <f t="shared" si="43"/>
        <v>2029</v>
      </c>
      <c r="K87" s="71">
        <f t="shared" si="23"/>
        <v>47178</v>
      </c>
    </row>
    <row r="88" spans="2:11" hidden="1" outlineLevel="1">
      <c r="B88" s="71">
        <f t="shared" si="40"/>
        <v>47209</v>
      </c>
      <c r="C88" s="50">
        <v>-34872.52364988625</v>
      </c>
      <c r="D88" s="65">
        <f>IF(F88&lt;&gt;0,VLOOKUP($J88,'Table 1'!$B$13:$C$33,2,FALSE)/12*1000*Study_MW,0)</f>
        <v>625312.90323143988</v>
      </c>
      <c r="E88" s="65">
        <f t="shared" si="41"/>
        <v>590440.37958155363</v>
      </c>
      <c r="F88" s="50">
        <v>20415.02</v>
      </c>
      <c r="G88" s="69">
        <f t="shared" si="42"/>
        <v>28.92186143249204</v>
      </c>
      <c r="I88" s="70">
        <f t="shared" si="22"/>
        <v>82</v>
      </c>
      <c r="J88" s="67">
        <f t="shared" si="43"/>
        <v>2029</v>
      </c>
      <c r="K88" s="71">
        <f t="shared" si="23"/>
        <v>47209</v>
      </c>
    </row>
    <row r="89" spans="2:11" hidden="1" outlineLevel="1">
      <c r="B89" s="71">
        <f t="shared" si="40"/>
        <v>47239</v>
      </c>
      <c r="C89" s="50">
        <v>-149680.43885941803</v>
      </c>
      <c r="D89" s="65">
        <f>IF(F89&lt;&gt;0,VLOOKUP($J89,'Table 1'!$B$13:$C$33,2,FALSE)/12*1000*Study_MW,0)</f>
        <v>625312.90323143988</v>
      </c>
      <c r="E89" s="65">
        <f t="shared" si="41"/>
        <v>475632.46437202184</v>
      </c>
      <c r="F89" s="50">
        <v>20545.48</v>
      </c>
      <c r="G89" s="69">
        <f t="shared" si="42"/>
        <v>23.150224008980167</v>
      </c>
      <c r="I89" s="70">
        <f t="shared" si="22"/>
        <v>83</v>
      </c>
      <c r="J89" s="67">
        <f t="shared" si="43"/>
        <v>2029</v>
      </c>
      <c r="K89" s="71">
        <f t="shared" si="23"/>
        <v>47239</v>
      </c>
    </row>
    <row r="90" spans="2:11" hidden="1" outlineLevel="1">
      <c r="B90" s="71">
        <f t="shared" si="40"/>
        <v>47270</v>
      </c>
      <c r="C90" s="50">
        <v>-259609.83993677795</v>
      </c>
      <c r="D90" s="65">
        <f>IF(F90&lt;&gt;0,VLOOKUP($J90,'Table 1'!$B$13:$C$33,2,FALSE)/12*1000*Study_MW,0)</f>
        <v>625312.90323143988</v>
      </c>
      <c r="E90" s="65">
        <f t="shared" si="41"/>
        <v>365703.06329466193</v>
      </c>
      <c r="F90" s="50">
        <v>16657.03</v>
      </c>
      <c r="G90" s="69">
        <f t="shared" si="42"/>
        <v>21.954878108201878</v>
      </c>
      <c r="I90" s="70">
        <f t="shared" ref="I90:I96" si="44">I78+13</f>
        <v>84</v>
      </c>
      <c r="J90" s="67">
        <f t="shared" si="43"/>
        <v>2029</v>
      </c>
      <c r="K90" s="71">
        <f t="shared" ref="K90:K153" si="45">IF(ISNUMBER(F90),IF(F90&lt;&gt;0,B90,""),"")</f>
        <v>47270</v>
      </c>
    </row>
    <row r="91" spans="2:11" hidden="1" outlineLevel="1">
      <c r="B91" s="71">
        <f t="shared" si="40"/>
        <v>47300</v>
      </c>
      <c r="C91" s="50">
        <v>-458199.92837741971</v>
      </c>
      <c r="D91" s="65">
        <f>IF(F91&lt;&gt;0,VLOOKUP($J91,'Table 1'!$B$13:$C$33,2,FALSE)/12*1000*Study_MW,0)</f>
        <v>625312.90323143988</v>
      </c>
      <c r="E91" s="65">
        <f t="shared" si="41"/>
        <v>167112.97485402017</v>
      </c>
      <c r="F91" s="50">
        <v>12237.55</v>
      </c>
      <c r="G91" s="69">
        <f t="shared" si="42"/>
        <v>13.655754203579979</v>
      </c>
      <c r="I91" s="70">
        <f t="shared" si="44"/>
        <v>85</v>
      </c>
      <c r="J91" s="67">
        <f t="shared" si="43"/>
        <v>2029</v>
      </c>
      <c r="K91" s="71">
        <f t="shared" si="45"/>
        <v>47300</v>
      </c>
    </row>
    <row r="92" spans="2:11" hidden="1" outlineLevel="1">
      <c r="B92" s="71">
        <f t="shared" si="40"/>
        <v>47331</v>
      </c>
      <c r="C92" s="50">
        <v>-458845.34007820487</v>
      </c>
      <c r="D92" s="65">
        <f>IF(F92&lt;&gt;0,VLOOKUP($J92,'Table 1'!$B$13:$C$33,2,FALSE)/12*1000*Study_MW,0)</f>
        <v>625312.90323143988</v>
      </c>
      <c r="E92" s="65">
        <f t="shared" si="41"/>
        <v>166467.56315323501</v>
      </c>
      <c r="F92" s="50">
        <v>9817.59</v>
      </c>
      <c r="G92" s="69">
        <f t="shared" si="42"/>
        <v>16.956051653535646</v>
      </c>
      <c r="I92" s="70">
        <f t="shared" si="44"/>
        <v>86</v>
      </c>
      <c r="J92" s="67">
        <f t="shared" si="43"/>
        <v>2029</v>
      </c>
      <c r="K92" s="71">
        <f t="shared" si="45"/>
        <v>47331</v>
      </c>
    </row>
    <row r="93" spans="2:11" hidden="1" outlineLevel="1">
      <c r="B93" s="71">
        <f t="shared" si="40"/>
        <v>47362</v>
      </c>
      <c r="C93" s="50">
        <v>-199512.06748911738</v>
      </c>
      <c r="D93" s="65">
        <f>IF(F93&lt;&gt;0,VLOOKUP($J93,'Table 1'!$B$13:$C$33,2,FALSE)/12*1000*Study_MW,0)</f>
        <v>625312.90323143988</v>
      </c>
      <c r="E93" s="65">
        <f t="shared" si="41"/>
        <v>425800.8357423225</v>
      </c>
      <c r="F93" s="50">
        <v>12664.17</v>
      </c>
      <c r="G93" s="69">
        <f t="shared" si="42"/>
        <v>33.622482621626403</v>
      </c>
      <c r="I93" s="70">
        <f t="shared" si="44"/>
        <v>87</v>
      </c>
      <c r="J93" s="67">
        <f t="shared" si="43"/>
        <v>2029</v>
      </c>
      <c r="K93" s="71">
        <f t="shared" si="45"/>
        <v>47362</v>
      </c>
    </row>
    <row r="94" spans="2:11" hidden="1" outlineLevel="1">
      <c r="B94" s="71">
        <f t="shared" si="40"/>
        <v>47392</v>
      </c>
      <c r="C94" s="50">
        <v>126454.9931460917</v>
      </c>
      <c r="D94" s="65">
        <f>IF(F94&lt;&gt;0,VLOOKUP($J94,'Table 1'!$B$13:$C$33,2,FALSE)/12*1000*Study_MW,0)</f>
        <v>625312.90323143988</v>
      </c>
      <c r="E94" s="65">
        <f t="shared" si="41"/>
        <v>751767.89637753158</v>
      </c>
      <c r="F94" s="50">
        <v>17510.46</v>
      </c>
      <c r="G94" s="69">
        <f t="shared" si="42"/>
        <v>42.9325041362438</v>
      </c>
      <c r="I94" s="70">
        <f t="shared" si="44"/>
        <v>88</v>
      </c>
      <c r="J94" s="67">
        <f t="shared" si="43"/>
        <v>2029</v>
      </c>
      <c r="K94" s="71">
        <f t="shared" si="45"/>
        <v>47392</v>
      </c>
    </row>
    <row r="95" spans="2:11" hidden="1" outlineLevel="1">
      <c r="B95" s="71">
        <f t="shared" si="40"/>
        <v>47423</v>
      </c>
      <c r="C95" s="50">
        <v>103464.28218790889</v>
      </c>
      <c r="D95" s="65">
        <f>IF(F95&lt;&gt;0,VLOOKUP($J95,'Table 1'!$B$13:$C$33,2,FALSE)/12*1000*Study_MW,0)</f>
        <v>625312.90323143988</v>
      </c>
      <c r="E95" s="65">
        <f t="shared" si="41"/>
        <v>728777.18541934877</v>
      </c>
      <c r="F95" s="50">
        <v>15238.97</v>
      </c>
      <c r="G95" s="69">
        <f t="shared" si="42"/>
        <v>47.823257439272389</v>
      </c>
      <c r="I95" s="70">
        <f t="shared" si="44"/>
        <v>89</v>
      </c>
      <c r="J95" s="67">
        <f t="shared" si="43"/>
        <v>2029</v>
      </c>
      <c r="K95" s="71">
        <f t="shared" si="45"/>
        <v>47423</v>
      </c>
    </row>
    <row r="96" spans="2:11" hidden="1" outlineLevel="1">
      <c r="B96" s="75">
        <f t="shared" si="40"/>
        <v>47453</v>
      </c>
      <c r="C96" s="72">
        <v>206193.998282969</v>
      </c>
      <c r="D96" s="73">
        <f>IF(F96&lt;&gt;0,VLOOKUP($J96,'Table 1'!$B$13:$C$33,2,FALSE)/12*1000*Study_MW,0)</f>
        <v>625312.90323143988</v>
      </c>
      <c r="E96" s="73">
        <f t="shared" si="41"/>
        <v>831506.90151440888</v>
      </c>
      <c r="F96" s="72">
        <v>15292.21</v>
      </c>
      <c r="G96" s="74">
        <f t="shared" si="42"/>
        <v>54.374541123513794</v>
      </c>
      <c r="I96" s="58">
        <f t="shared" si="44"/>
        <v>90</v>
      </c>
      <c r="J96" s="67">
        <f t="shared" si="43"/>
        <v>2029</v>
      </c>
      <c r="K96" s="75">
        <f t="shared" si="45"/>
        <v>47453</v>
      </c>
    </row>
    <row r="97" spans="2:11" hidden="1" outlineLevel="1">
      <c r="B97" s="68">
        <f t="shared" si="40"/>
        <v>47484</v>
      </c>
      <c r="C97" s="63">
        <v>612804.21400734782</v>
      </c>
      <c r="D97" s="64">
        <f>IF(F97&lt;&gt;0,VLOOKUP($J97,'Table 1'!$B$13:$C$33,2,FALSE)/12*1000*Study_MW,0)</f>
        <v>638783.53615294944</v>
      </c>
      <c r="E97" s="64">
        <f t="shared" si="41"/>
        <v>1251587.7501602974</v>
      </c>
      <c r="F97" s="63">
        <v>20908.240000000002</v>
      </c>
      <c r="G97" s="66">
        <f t="shared" si="42"/>
        <v>59.860980654531289</v>
      </c>
      <c r="I97" s="54">
        <f>I85+13</f>
        <v>92</v>
      </c>
      <c r="J97" s="67">
        <f t="shared" si="43"/>
        <v>2030</v>
      </c>
      <c r="K97" s="68">
        <f t="shared" si="45"/>
        <v>47484</v>
      </c>
    </row>
    <row r="98" spans="2:11" hidden="1" outlineLevel="1">
      <c r="B98" s="71">
        <f t="shared" si="40"/>
        <v>47515</v>
      </c>
      <c r="C98" s="50">
        <v>449499.49388030171</v>
      </c>
      <c r="D98" s="65">
        <f>IF(F98&lt;&gt;0,VLOOKUP($J98,'Table 1'!$B$13:$C$33,2,FALSE)/12*1000*Study_MW,0)</f>
        <v>638783.53615294944</v>
      </c>
      <c r="E98" s="65">
        <f t="shared" si="41"/>
        <v>1088283.0300332513</v>
      </c>
      <c r="F98" s="50">
        <v>19864.38</v>
      </c>
      <c r="G98" s="69">
        <f t="shared" si="42"/>
        <v>54.785653014755617</v>
      </c>
      <c r="I98" s="70">
        <f t="shared" ref="I98:I120" si="46">I86+13</f>
        <v>93</v>
      </c>
      <c r="J98" s="67">
        <f t="shared" si="43"/>
        <v>2030</v>
      </c>
      <c r="K98" s="71">
        <f t="shared" si="45"/>
        <v>47515</v>
      </c>
    </row>
    <row r="99" spans="2:11" hidden="1" outlineLevel="1">
      <c r="B99" s="71">
        <f t="shared" si="40"/>
        <v>47543</v>
      </c>
      <c r="C99" s="50">
        <v>133361.41960506141</v>
      </c>
      <c r="D99" s="65">
        <f>IF(F99&lt;&gt;0,VLOOKUP($J99,'Table 1'!$B$13:$C$33,2,FALSE)/12*1000*Study_MW,0)</f>
        <v>638783.53615294944</v>
      </c>
      <c r="E99" s="65">
        <f t="shared" si="41"/>
        <v>772144.95575801085</v>
      </c>
      <c r="F99" s="50">
        <v>25268.5</v>
      </c>
      <c r="G99" s="69">
        <f t="shared" si="42"/>
        <v>30.557609504244844</v>
      </c>
      <c r="I99" s="70">
        <f t="shared" si="46"/>
        <v>94</v>
      </c>
      <c r="J99" s="67">
        <f t="shared" si="43"/>
        <v>2030</v>
      </c>
      <c r="K99" s="71">
        <f t="shared" si="45"/>
        <v>47543</v>
      </c>
    </row>
    <row r="100" spans="2:11" hidden="1" outlineLevel="1">
      <c r="B100" s="71">
        <f t="shared" si="40"/>
        <v>47574</v>
      </c>
      <c r="C100" s="50">
        <v>-38796.165004268289</v>
      </c>
      <c r="D100" s="65">
        <f>IF(F100&lt;&gt;0,VLOOKUP($J100,'Table 1'!$B$13:$C$33,2,FALSE)/12*1000*Study_MW,0)</f>
        <v>638783.53615294944</v>
      </c>
      <c r="E100" s="65">
        <f t="shared" si="41"/>
        <v>599987.37114868115</v>
      </c>
      <c r="F100" s="50">
        <v>20415.02</v>
      </c>
      <c r="G100" s="69">
        <f t="shared" si="42"/>
        <v>29.389506899757194</v>
      </c>
      <c r="I100" s="70">
        <f t="shared" si="46"/>
        <v>95</v>
      </c>
      <c r="J100" s="67">
        <f t="shared" si="43"/>
        <v>2030</v>
      </c>
      <c r="K100" s="71">
        <f t="shared" si="45"/>
        <v>47574</v>
      </c>
    </row>
    <row r="101" spans="2:11" hidden="1" outlineLevel="1">
      <c r="B101" s="71">
        <f t="shared" si="40"/>
        <v>47604</v>
      </c>
      <c r="C101" s="50">
        <v>-132160.55239184201</v>
      </c>
      <c r="D101" s="65">
        <f>IF(F101&lt;&gt;0,VLOOKUP($J101,'Table 1'!$B$13:$C$33,2,FALSE)/12*1000*Study_MW,0)</f>
        <v>638783.53615294944</v>
      </c>
      <c r="E101" s="65">
        <f t="shared" si="41"/>
        <v>506622.98376110743</v>
      </c>
      <c r="F101" s="50">
        <v>20545.48</v>
      </c>
      <c r="G101" s="69">
        <f t="shared" si="42"/>
        <v>24.6586102520412</v>
      </c>
      <c r="I101" s="70">
        <f t="shared" si="46"/>
        <v>96</v>
      </c>
      <c r="J101" s="67">
        <f t="shared" si="43"/>
        <v>2030</v>
      </c>
      <c r="K101" s="71">
        <f t="shared" si="45"/>
        <v>47604</v>
      </c>
    </row>
    <row r="102" spans="2:11" hidden="1" outlineLevel="1">
      <c r="B102" s="71">
        <f t="shared" si="40"/>
        <v>47635</v>
      </c>
      <c r="C102" s="50">
        <v>-256228.01514475048</v>
      </c>
      <c r="D102" s="65">
        <f>IF(F102&lt;&gt;0,VLOOKUP($J102,'Table 1'!$B$13:$C$33,2,FALSE)/12*1000*Study_MW,0)</f>
        <v>638783.53615294944</v>
      </c>
      <c r="E102" s="65">
        <f t="shared" si="41"/>
        <v>382555.52100819896</v>
      </c>
      <c r="F102" s="50">
        <v>16657.03</v>
      </c>
      <c r="G102" s="69">
        <f t="shared" si="42"/>
        <v>22.966610554714677</v>
      </c>
      <c r="I102" s="70">
        <f t="shared" si="46"/>
        <v>97</v>
      </c>
      <c r="J102" s="67">
        <f t="shared" si="43"/>
        <v>2030</v>
      </c>
      <c r="K102" s="71">
        <f t="shared" si="45"/>
        <v>47635</v>
      </c>
    </row>
    <row r="103" spans="2:11" hidden="1" outlineLevel="1">
      <c r="B103" s="71">
        <f t="shared" si="40"/>
        <v>47665</v>
      </c>
      <c r="C103" s="50">
        <v>-440268.55053728819</v>
      </c>
      <c r="D103" s="65">
        <f>IF(F103&lt;&gt;0,VLOOKUP($J103,'Table 1'!$B$13:$C$33,2,FALSE)/12*1000*Study_MW,0)</f>
        <v>638783.53615294944</v>
      </c>
      <c r="E103" s="65">
        <f t="shared" si="41"/>
        <v>198514.98561566125</v>
      </c>
      <c r="F103" s="50">
        <v>12237.55</v>
      </c>
      <c r="G103" s="69">
        <f t="shared" si="42"/>
        <v>16.221791585379531</v>
      </c>
      <c r="I103" s="70">
        <f t="shared" si="46"/>
        <v>98</v>
      </c>
      <c r="J103" s="67">
        <f t="shared" si="43"/>
        <v>2030</v>
      </c>
      <c r="K103" s="71">
        <f t="shared" si="45"/>
        <v>47665</v>
      </c>
    </row>
    <row r="104" spans="2:11" hidden="1" outlineLevel="1">
      <c r="B104" s="71">
        <f t="shared" si="40"/>
        <v>47696</v>
      </c>
      <c r="C104" s="50">
        <v>-451477.31377729774</v>
      </c>
      <c r="D104" s="65">
        <f>IF(F104&lt;&gt;0,VLOOKUP($J104,'Table 1'!$B$13:$C$33,2,FALSE)/12*1000*Study_MW,0)</f>
        <v>638783.53615294944</v>
      </c>
      <c r="E104" s="65">
        <f t="shared" si="41"/>
        <v>187306.22237565171</v>
      </c>
      <c r="F104" s="50">
        <v>9817.59</v>
      </c>
      <c r="G104" s="69">
        <f t="shared" si="42"/>
        <v>19.078635630093711</v>
      </c>
      <c r="I104" s="70">
        <f t="shared" si="46"/>
        <v>99</v>
      </c>
      <c r="J104" s="67">
        <f t="shared" si="43"/>
        <v>2030</v>
      </c>
      <c r="K104" s="71">
        <f t="shared" si="45"/>
        <v>47696</v>
      </c>
    </row>
    <row r="105" spans="2:11" hidden="1" outlineLevel="1">
      <c r="B105" s="71">
        <f t="shared" si="40"/>
        <v>47727</v>
      </c>
      <c r="C105" s="50">
        <v>-176926.80713057518</v>
      </c>
      <c r="D105" s="65">
        <f>IF(F105&lt;&gt;0,VLOOKUP($J105,'Table 1'!$B$13:$C$33,2,FALSE)/12*1000*Study_MW,0)</f>
        <v>638783.53615294944</v>
      </c>
      <c r="E105" s="65">
        <f t="shared" si="41"/>
        <v>461856.72902237426</v>
      </c>
      <c r="F105" s="50">
        <v>12664.17</v>
      </c>
      <c r="G105" s="69">
        <f t="shared" si="42"/>
        <v>36.469561686425109</v>
      </c>
      <c r="I105" s="70">
        <f t="shared" si="46"/>
        <v>100</v>
      </c>
      <c r="J105" s="67">
        <f t="shared" si="43"/>
        <v>2030</v>
      </c>
      <c r="K105" s="71">
        <f t="shared" si="45"/>
        <v>47727</v>
      </c>
    </row>
    <row r="106" spans="2:11" hidden="1" outlineLevel="1">
      <c r="B106" s="71">
        <f t="shared" si="40"/>
        <v>47757</v>
      </c>
      <c r="C106" s="50">
        <v>133435.74359998107</v>
      </c>
      <c r="D106" s="65">
        <f>IF(F106&lt;&gt;0,VLOOKUP($J106,'Table 1'!$B$13:$C$33,2,FALSE)/12*1000*Study_MW,0)</f>
        <v>638783.53615294944</v>
      </c>
      <c r="E106" s="65">
        <f t="shared" si="41"/>
        <v>772219.27975293051</v>
      </c>
      <c r="F106" s="50">
        <v>17510.46</v>
      </c>
      <c r="G106" s="69">
        <f t="shared" si="42"/>
        <v>44.100456513017392</v>
      </c>
      <c r="I106" s="70">
        <f t="shared" si="46"/>
        <v>101</v>
      </c>
      <c r="J106" s="67">
        <f t="shared" si="43"/>
        <v>2030</v>
      </c>
      <c r="K106" s="71">
        <f t="shared" si="45"/>
        <v>47757</v>
      </c>
    </row>
    <row r="107" spans="2:11" hidden="1" outlineLevel="1">
      <c r="B107" s="71">
        <f t="shared" si="40"/>
        <v>47788</v>
      </c>
      <c r="C107" s="50">
        <v>154021.63913080096</v>
      </c>
      <c r="D107" s="65">
        <f>IF(F107&lt;&gt;0,VLOOKUP($J107,'Table 1'!$B$13:$C$33,2,FALSE)/12*1000*Study_MW,0)</f>
        <v>638783.53615294944</v>
      </c>
      <c r="E107" s="65">
        <f t="shared" si="41"/>
        <v>792805.1752837504</v>
      </c>
      <c r="F107" s="50">
        <v>15238.97</v>
      </c>
      <c r="G107" s="69">
        <f t="shared" si="42"/>
        <v>52.024853076274212</v>
      </c>
      <c r="I107" s="70">
        <f t="shared" si="46"/>
        <v>102</v>
      </c>
      <c r="J107" s="67">
        <f t="shared" si="43"/>
        <v>2030</v>
      </c>
      <c r="K107" s="71">
        <f t="shared" si="45"/>
        <v>47788</v>
      </c>
    </row>
    <row r="108" spans="2:11" hidden="1" outlineLevel="1">
      <c r="B108" s="75">
        <f t="shared" si="40"/>
        <v>47818</v>
      </c>
      <c r="C108" s="72">
        <v>241957.60308611393</v>
      </c>
      <c r="D108" s="73">
        <f>IF(F108&lt;&gt;0,VLOOKUP($J108,'Table 1'!$B$13:$C$33,2,FALSE)/12*1000*Study_MW,0)</f>
        <v>638783.53615294944</v>
      </c>
      <c r="E108" s="73">
        <f t="shared" si="41"/>
        <v>880741.13923906337</v>
      </c>
      <c r="F108" s="72">
        <v>15292.21</v>
      </c>
      <c r="G108" s="74">
        <f t="shared" si="42"/>
        <v>57.594104399499052</v>
      </c>
      <c r="I108" s="58">
        <f t="shared" si="46"/>
        <v>103</v>
      </c>
      <c r="J108" s="67">
        <f t="shared" si="43"/>
        <v>2030</v>
      </c>
      <c r="K108" s="75">
        <f t="shared" si="45"/>
        <v>47818</v>
      </c>
    </row>
    <row r="109" spans="2:11" hidden="1" outlineLevel="1">
      <c r="B109" s="68">
        <f t="shared" si="40"/>
        <v>47849</v>
      </c>
      <c r="C109" s="63">
        <v>564764.19711428881</v>
      </c>
      <c r="D109" s="64">
        <f>IF(F109&lt;&gt;0,VLOOKUP($J109,'Table 1'!$B$13:$C$33,2,FALSE)/12*1000*Study_MW,0)</f>
        <v>652529.70474785357</v>
      </c>
      <c r="E109" s="64">
        <f t="shared" si="41"/>
        <v>1217293.9018621424</v>
      </c>
      <c r="F109" s="63">
        <v>20908.240000000002</v>
      </c>
      <c r="G109" s="66">
        <f t="shared" si="42"/>
        <v>58.220773334443372</v>
      </c>
      <c r="I109" s="54">
        <f>I97+13</f>
        <v>105</v>
      </c>
      <c r="J109" s="67">
        <f t="shared" si="43"/>
        <v>2031</v>
      </c>
      <c r="K109" s="68">
        <f t="shared" si="45"/>
        <v>47849</v>
      </c>
    </row>
    <row r="110" spans="2:11" hidden="1" outlineLevel="1">
      <c r="B110" s="71">
        <f t="shared" si="40"/>
        <v>47880</v>
      </c>
      <c r="C110" s="50">
        <v>399632.98771491647</v>
      </c>
      <c r="D110" s="65">
        <f>IF(F110&lt;&gt;0,VLOOKUP($J110,'Table 1'!$B$13:$C$33,2,FALSE)/12*1000*Study_MW,0)</f>
        <v>652529.70474785357</v>
      </c>
      <c r="E110" s="65">
        <f t="shared" si="41"/>
        <v>1052162.69246277</v>
      </c>
      <c r="F110" s="50">
        <v>19864.38</v>
      </c>
      <c r="G110" s="69">
        <f t="shared" si="42"/>
        <v>52.967305924613299</v>
      </c>
      <c r="I110" s="70">
        <f t="shared" si="46"/>
        <v>106</v>
      </c>
      <c r="J110" s="67">
        <f t="shared" si="43"/>
        <v>2031</v>
      </c>
      <c r="K110" s="71">
        <f t="shared" si="45"/>
        <v>47880</v>
      </c>
    </row>
    <row r="111" spans="2:11" hidden="1" outlineLevel="1">
      <c r="B111" s="71">
        <f t="shared" si="40"/>
        <v>47908</v>
      </c>
      <c r="C111" s="50">
        <v>149598.2466969192</v>
      </c>
      <c r="D111" s="65">
        <f>IF(F111&lt;&gt;0,VLOOKUP($J111,'Table 1'!$B$13:$C$33,2,FALSE)/12*1000*Study_MW,0)</f>
        <v>652529.70474785357</v>
      </c>
      <c r="E111" s="65">
        <f t="shared" si="41"/>
        <v>802127.95144477277</v>
      </c>
      <c r="F111" s="50">
        <v>25268.5</v>
      </c>
      <c r="G111" s="69">
        <f t="shared" si="42"/>
        <v>31.744185505462248</v>
      </c>
      <c r="I111" s="70">
        <f t="shared" si="46"/>
        <v>107</v>
      </c>
      <c r="J111" s="67">
        <f t="shared" si="43"/>
        <v>2031</v>
      </c>
      <c r="K111" s="71">
        <f t="shared" si="45"/>
        <v>47908</v>
      </c>
    </row>
    <row r="112" spans="2:11" hidden="1" outlineLevel="1">
      <c r="B112" s="71">
        <f t="shared" si="40"/>
        <v>47939</v>
      </c>
      <c r="C112" s="50">
        <v>-34820.937319323421</v>
      </c>
      <c r="D112" s="65">
        <f>IF(F112&lt;&gt;0,VLOOKUP($J112,'Table 1'!$B$13:$C$33,2,FALSE)/12*1000*Study_MW,0)</f>
        <v>652529.70474785357</v>
      </c>
      <c r="E112" s="65">
        <f t="shared" si="41"/>
        <v>617708.76742853015</v>
      </c>
      <c r="F112" s="50">
        <v>20415.02</v>
      </c>
      <c r="G112" s="69">
        <f t="shared" si="42"/>
        <v>30.257563667756884</v>
      </c>
      <c r="I112" s="70">
        <f t="shared" si="46"/>
        <v>108</v>
      </c>
      <c r="J112" s="67">
        <f t="shared" si="43"/>
        <v>2031</v>
      </c>
      <c r="K112" s="71">
        <f t="shared" si="45"/>
        <v>47939</v>
      </c>
    </row>
    <row r="113" spans="2:11" hidden="1" outlineLevel="1">
      <c r="B113" s="71">
        <f t="shared" si="40"/>
        <v>47969</v>
      </c>
      <c r="C113" s="50">
        <v>-148440.20281745493</v>
      </c>
      <c r="D113" s="65">
        <f>IF(F113&lt;&gt;0,VLOOKUP($J113,'Table 1'!$B$13:$C$33,2,FALSE)/12*1000*Study_MW,0)</f>
        <v>652529.70474785357</v>
      </c>
      <c r="E113" s="65">
        <f t="shared" si="41"/>
        <v>504089.50193039863</v>
      </c>
      <c r="F113" s="50">
        <v>20545.48</v>
      </c>
      <c r="G113" s="69">
        <f t="shared" si="42"/>
        <v>24.535299342259155</v>
      </c>
      <c r="I113" s="70">
        <f t="shared" si="46"/>
        <v>109</v>
      </c>
      <c r="J113" s="67">
        <f t="shared" si="43"/>
        <v>2031</v>
      </c>
      <c r="K113" s="71">
        <f t="shared" si="45"/>
        <v>47969</v>
      </c>
    </row>
    <row r="114" spans="2:11" hidden="1" outlineLevel="1">
      <c r="B114" s="71">
        <f t="shared" si="40"/>
        <v>48000</v>
      </c>
      <c r="C114" s="50">
        <v>-262786.2475861907</v>
      </c>
      <c r="D114" s="65">
        <f>IF(F114&lt;&gt;0,VLOOKUP($J114,'Table 1'!$B$13:$C$33,2,FALSE)/12*1000*Study_MW,0)</f>
        <v>652529.70474785357</v>
      </c>
      <c r="E114" s="65">
        <f t="shared" si="41"/>
        <v>389743.45716166287</v>
      </c>
      <c r="F114" s="50">
        <v>16657.03</v>
      </c>
      <c r="G114" s="69">
        <f t="shared" si="42"/>
        <v>23.398136232069156</v>
      </c>
      <c r="I114" s="70">
        <f t="shared" si="46"/>
        <v>110</v>
      </c>
      <c r="J114" s="67">
        <f t="shared" si="43"/>
        <v>2031</v>
      </c>
      <c r="K114" s="71">
        <f t="shared" si="45"/>
        <v>48000</v>
      </c>
    </row>
    <row r="115" spans="2:11" hidden="1" outlineLevel="1">
      <c r="B115" s="71">
        <f t="shared" si="40"/>
        <v>48030</v>
      </c>
      <c r="C115" s="50">
        <v>-440897.11854341626</v>
      </c>
      <c r="D115" s="65">
        <f>IF(F115&lt;&gt;0,VLOOKUP($J115,'Table 1'!$B$13:$C$33,2,FALSE)/12*1000*Study_MW,0)</f>
        <v>652529.70474785357</v>
      </c>
      <c r="E115" s="65">
        <f t="shared" si="41"/>
        <v>211632.58620443731</v>
      </c>
      <c r="F115" s="50">
        <v>12237.55</v>
      </c>
      <c r="G115" s="69">
        <f t="shared" si="42"/>
        <v>17.293705537827204</v>
      </c>
      <c r="I115" s="70">
        <f t="shared" si="46"/>
        <v>111</v>
      </c>
      <c r="J115" s="67">
        <f t="shared" si="43"/>
        <v>2031</v>
      </c>
      <c r="K115" s="71">
        <f t="shared" si="45"/>
        <v>48030</v>
      </c>
    </row>
    <row r="116" spans="2:11" hidden="1" outlineLevel="1">
      <c r="B116" s="71">
        <f t="shared" si="40"/>
        <v>48061</v>
      </c>
      <c r="C116" s="50">
        <v>-466826.65639743209</v>
      </c>
      <c r="D116" s="65">
        <f>IF(F116&lt;&gt;0,VLOOKUP($J116,'Table 1'!$B$13:$C$33,2,FALSE)/12*1000*Study_MW,0)</f>
        <v>652529.70474785357</v>
      </c>
      <c r="E116" s="65">
        <f t="shared" si="41"/>
        <v>185703.04835042148</v>
      </c>
      <c r="F116" s="50">
        <v>9817.59</v>
      </c>
      <c r="G116" s="69">
        <f t="shared" si="42"/>
        <v>18.915339543658014</v>
      </c>
      <c r="I116" s="70">
        <f t="shared" si="46"/>
        <v>112</v>
      </c>
      <c r="J116" s="67">
        <f t="shared" si="43"/>
        <v>2031</v>
      </c>
      <c r="K116" s="71">
        <f t="shared" si="45"/>
        <v>48061</v>
      </c>
    </row>
    <row r="117" spans="2:11" hidden="1" outlineLevel="1">
      <c r="B117" s="71">
        <f t="shared" si="40"/>
        <v>48092</v>
      </c>
      <c r="C117" s="50">
        <v>-166125.43864411116</v>
      </c>
      <c r="D117" s="65">
        <f>IF(F117&lt;&gt;0,VLOOKUP($J117,'Table 1'!$B$13:$C$33,2,FALSE)/12*1000*Study_MW,0)</f>
        <v>652529.70474785357</v>
      </c>
      <c r="E117" s="65">
        <f t="shared" si="41"/>
        <v>486404.26610374241</v>
      </c>
      <c r="F117" s="50">
        <v>12664.17</v>
      </c>
      <c r="G117" s="69">
        <f t="shared" si="42"/>
        <v>38.407907198319542</v>
      </c>
      <c r="I117" s="70">
        <f t="shared" si="46"/>
        <v>113</v>
      </c>
      <c r="J117" s="67">
        <f t="shared" si="43"/>
        <v>2031</v>
      </c>
      <c r="K117" s="71">
        <f t="shared" si="45"/>
        <v>48092</v>
      </c>
    </row>
    <row r="118" spans="2:11" hidden="1" outlineLevel="1">
      <c r="B118" s="71">
        <f t="shared" si="40"/>
        <v>48122</v>
      </c>
      <c r="C118" s="50">
        <v>114059.10808414221</v>
      </c>
      <c r="D118" s="65">
        <f>IF(F118&lt;&gt;0,VLOOKUP($J118,'Table 1'!$B$13:$C$33,2,FALSE)/12*1000*Study_MW,0)</f>
        <v>652529.70474785357</v>
      </c>
      <c r="E118" s="65">
        <f t="shared" si="41"/>
        <v>766588.81283199578</v>
      </c>
      <c r="F118" s="50">
        <v>17510.46</v>
      </c>
      <c r="G118" s="69">
        <f t="shared" si="42"/>
        <v>43.778907740401785</v>
      </c>
      <c r="I118" s="70">
        <f t="shared" si="46"/>
        <v>114</v>
      </c>
      <c r="J118" s="67">
        <f t="shared" si="43"/>
        <v>2031</v>
      </c>
      <c r="K118" s="71">
        <f t="shared" si="45"/>
        <v>48122</v>
      </c>
    </row>
    <row r="119" spans="2:11" hidden="1" outlineLevel="1">
      <c r="B119" s="71">
        <f t="shared" si="40"/>
        <v>48153</v>
      </c>
      <c r="C119" s="50">
        <v>167262.06610122323</v>
      </c>
      <c r="D119" s="65">
        <f>IF(F119&lt;&gt;0,VLOOKUP($J119,'Table 1'!$B$13:$C$33,2,FALSE)/12*1000*Study_MW,0)</f>
        <v>652529.70474785357</v>
      </c>
      <c r="E119" s="65">
        <f t="shared" si="41"/>
        <v>819791.7708490768</v>
      </c>
      <c r="F119" s="50">
        <v>15238.97</v>
      </c>
      <c r="G119" s="69">
        <f t="shared" si="42"/>
        <v>53.795746749883804</v>
      </c>
      <c r="I119" s="70">
        <f t="shared" si="46"/>
        <v>115</v>
      </c>
      <c r="J119" s="67">
        <f t="shared" si="43"/>
        <v>2031</v>
      </c>
      <c r="K119" s="71">
        <f t="shared" si="45"/>
        <v>48153</v>
      </c>
    </row>
    <row r="120" spans="2:11" hidden="1" outlineLevel="1">
      <c r="B120" s="75">
        <f t="shared" si="40"/>
        <v>48183</v>
      </c>
      <c r="C120" s="72">
        <v>229754.10791632533</v>
      </c>
      <c r="D120" s="73">
        <f>IF(F120&lt;&gt;0,VLOOKUP($J120,'Table 1'!$B$13:$C$33,2,FALSE)/12*1000*Study_MW,0)</f>
        <v>652529.70474785357</v>
      </c>
      <c r="E120" s="73">
        <f t="shared" si="41"/>
        <v>882283.8126641789</v>
      </c>
      <c r="F120" s="72">
        <v>15292.21</v>
      </c>
      <c r="G120" s="74">
        <f t="shared" si="42"/>
        <v>57.694984090865802</v>
      </c>
      <c r="I120" s="58">
        <f t="shared" si="46"/>
        <v>116</v>
      </c>
      <c r="J120" s="67">
        <f t="shared" si="43"/>
        <v>2031</v>
      </c>
      <c r="K120" s="75">
        <f t="shared" si="45"/>
        <v>48183</v>
      </c>
    </row>
    <row r="121" spans="2:11" hidden="1" outlineLevel="1">
      <c r="B121" s="68">
        <f t="shared" si="40"/>
        <v>48214</v>
      </c>
      <c r="C121" s="63">
        <v>505420.12369945645</v>
      </c>
      <c r="D121" s="64">
        <f>IF(F121&lt;&gt;0,VLOOKUP($J121,'Table 1'!$B$13:$C$33,2,FALSE)/12*1000*Study_MW,0)</f>
        <v>666582.02409097389</v>
      </c>
      <c r="E121" s="64">
        <f t="shared" si="41"/>
        <v>1172002.1477904303</v>
      </c>
      <c r="F121" s="63">
        <v>20908.240000000002</v>
      </c>
      <c r="G121" s="66">
        <f t="shared" si="42"/>
        <v>56.05455781024277</v>
      </c>
      <c r="I121" s="54">
        <f>I109+13</f>
        <v>118</v>
      </c>
      <c r="J121" s="67">
        <f t="shared" si="43"/>
        <v>2032</v>
      </c>
      <c r="K121" s="68">
        <f t="shared" si="45"/>
        <v>48214</v>
      </c>
    </row>
    <row r="122" spans="2:11" hidden="1" outlineLevel="1">
      <c r="B122" s="71">
        <f t="shared" si="40"/>
        <v>48245</v>
      </c>
      <c r="C122" s="50">
        <v>370529.03284543753</v>
      </c>
      <c r="D122" s="65">
        <f>IF(F122&lt;&gt;0,VLOOKUP($J122,'Table 1'!$B$13:$C$33,2,FALSE)/12*1000*Study_MW,0)</f>
        <v>666582.02409097389</v>
      </c>
      <c r="E122" s="65">
        <f t="shared" si="41"/>
        <v>1037111.0569364114</v>
      </c>
      <c r="F122" s="50">
        <v>20489.900000000001</v>
      </c>
      <c r="G122" s="69">
        <f t="shared" si="42"/>
        <v>50.61572076664168</v>
      </c>
      <c r="I122" s="70">
        <f t="shared" ref="I122:I132" si="47">I110+13</f>
        <v>119</v>
      </c>
      <c r="J122" s="67">
        <f t="shared" si="43"/>
        <v>2032</v>
      </c>
      <c r="K122" s="71">
        <f t="shared" si="45"/>
        <v>48245</v>
      </c>
    </row>
    <row r="123" spans="2:11" hidden="1" outlineLevel="1">
      <c r="B123" s="71">
        <f t="shared" si="40"/>
        <v>48274</v>
      </c>
      <c r="C123" s="50">
        <v>55521.446773171425</v>
      </c>
      <c r="D123" s="65">
        <f>IF(F123&lt;&gt;0,VLOOKUP($J123,'Table 1'!$B$13:$C$33,2,FALSE)/12*1000*Study_MW,0)</f>
        <v>666582.02409097389</v>
      </c>
      <c r="E123" s="65">
        <f t="shared" si="41"/>
        <v>722103.47086414532</v>
      </c>
      <c r="F123" s="50">
        <v>25268.5</v>
      </c>
      <c r="G123" s="69">
        <f t="shared" si="42"/>
        <v>28.577219497166247</v>
      </c>
      <c r="I123" s="70">
        <f t="shared" si="47"/>
        <v>120</v>
      </c>
      <c r="J123" s="67">
        <f t="shared" si="43"/>
        <v>2032</v>
      </c>
      <c r="K123" s="71">
        <f t="shared" si="45"/>
        <v>48274</v>
      </c>
    </row>
    <row r="124" spans="2:11" hidden="1" outlineLevel="1">
      <c r="B124" s="71">
        <f t="shared" si="40"/>
        <v>48305</v>
      </c>
      <c r="C124" s="50">
        <v>-81876.139960184693</v>
      </c>
      <c r="D124" s="65">
        <f>IF(F124&lt;&gt;0,VLOOKUP($J124,'Table 1'!$B$13:$C$33,2,FALSE)/12*1000*Study_MW,0)</f>
        <v>666582.02409097389</v>
      </c>
      <c r="E124" s="65">
        <f t="shared" si="41"/>
        <v>584705.8841307892</v>
      </c>
      <c r="F124" s="50">
        <v>20415.02</v>
      </c>
      <c r="G124" s="69">
        <f t="shared" si="42"/>
        <v>28.64096553080963</v>
      </c>
      <c r="I124" s="70">
        <f t="shared" si="47"/>
        <v>121</v>
      </c>
      <c r="J124" s="67">
        <f t="shared" si="43"/>
        <v>2032</v>
      </c>
      <c r="K124" s="71">
        <f t="shared" si="45"/>
        <v>48305</v>
      </c>
    </row>
    <row r="125" spans="2:11" hidden="1" outlineLevel="1">
      <c r="B125" s="71">
        <f t="shared" si="40"/>
        <v>48335</v>
      </c>
      <c r="C125" s="50">
        <v>-196793.91612201929</v>
      </c>
      <c r="D125" s="65">
        <f>IF(F125&lt;&gt;0,VLOOKUP($J125,'Table 1'!$B$13:$C$33,2,FALSE)/12*1000*Study_MW,0)</f>
        <v>666582.02409097389</v>
      </c>
      <c r="E125" s="65">
        <f t="shared" si="41"/>
        <v>469788.1079689546</v>
      </c>
      <c r="F125" s="50">
        <v>20545.48</v>
      </c>
      <c r="G125" s="69">
        <f t="shared" si="42"/>
        <v>22.86576453647978</v>
      </c>
      <c r="I125" s="70">
        <f t="shared" si="47"/>
        <v>122</v>
      </c>
      <c r="J125" s="67">
        <f t="shared" si="43"/>
        <v>2032</v>
      </c>
      <c r="K125" s="71">
        <f t="shared" si="45"/>
        <v>48335</v>
      </c>
    </row>
    <row r="126" spans="2:11" hidden="1" outlineLevel="1">
      <c r="B126" s="71">
        <f t="shared" si="40"/>
        <v>48366</v>
      </c>
      <c r="C126" s="50">
        <v>-289756.07957980037</v>
      </c>
      <c r="D126" s="65">
        <f>IF(F126&lt;&gt;0,VLOOKUP($J126,'Table 1'!$B$13:$C$33,2,FALSE)/12*1000*Study_MW,0)</f>
        <v>666582.02409097389</v>
      </c>
      <c r="E126" s="65">
        <f t="shared" si="41"/>
        <v>376825.94451117353</v>
      </c>
      <c r="F126" s="50">
        <v>16657.03</v>
      </c>
      <c r="G126" s="69">
        <f t="shared" si="42"/>
        <v>22.62263707942974</v>
      </c>
      <c r="I126" s="70">
        <f t="shared" si="47"/>
        <v>123</v>
      </c>
      <c r="J126" s="67">
        <f t="shared" si="43"/>
        <v>2032</v>
      </c>
      <c r="K126" s="71">
        <f t="shared" si="45"/>
        <v>48366</v>
      </c>
    </row>
    <row r="127" spans="2:11" hidden="1" outlineLevel="1">
      <c r="B127" s="71">
        <f t="shared" si="40"/>
        <v>48396</v>
      </c>
      <c r="C127" s="50">
        <v>-431351.41997718811</v>
      </c>
      <c r="D127" s="65">
        <f>IF(F127&lt;&gt;0,VLOOKUP($J127,'Table 1'!$B$13:$C$33,2,FALSE)/12*1000*Study_MW,0)</f>
        <v>666582.02409097389</v>
      </c>
      <c r="E127" s="65">
        <f t="shared" si="41"/>
        <v>235230.60411378578</v>
      </c>
      <c r="F127" s="50">
        <v>12237.55</v>
      </c>
      <c r="G127" s="69">
        <f t="shared" si="42"/>
        <v>19.222034158290327</v>
      </c>
      <c r="I127" s="70">
        <f t="shared" si="47"/>
        <v>124</v>
      </c>
      <c r="J127" s="67">
        <f t="shared" si="43"/>
        <v>2032</v>
      </c>
      <c r="K127" s="71">
        <f t="shared" si="45"/>
        <v>48396</v>
      </c>
    </row>
    <row r="128" spans="2:11" hidden="1" outlineLevel="1">
      <c r="B128" s="71">
        <f t="shared" si="40"/>
        <v>48427</v>
      </c>
      <c r="C128" s="50">
        <v>-518534.69419628382</v>
      </c>
      <c r="D128" s="65">
        <f>IF(F128&lt;&gt;0,VLOOKUP($J128,'Table 1'!$B$13:$C$33,2,FALSE)/12*1000*Study_MW,0)</f>
        <v>666582.02409097389</v>
      </c>
      <c r="E128" s="65">
        <f t="shared" si="41"/>
        <v>148047.32989469008</v>
      </c>
      <c r="F128" s="50">
        <v>9817.59</v>
      </c>
      <c r="G128" s="69">
        <f t="shared" si="42"/>
        <v>15.079803688551882</v>
      </c>
      <c r="I128" s="70">
        <f t="shared" si="47"/>
        <v>125</v>
      </c>
      <c r="J128" s="67">
        <f t="shared" si="43"/>
        <v>2032</v>
      </c>
      <c r="K128" s="71">
        <f t="shared" si="45"/>
        <v>48427</v>
      </c>
    </row>
    <row r="129" spans="2:11" hidden="1" outlineLevel="1">
      <c r="B129" s="71">
        <f t="shared" si="40"/>
        <v>48458</v>
      </c>
      <c r="C129" s="50">
        <v>-205742.30116716027</v>
      </c>
      <c r="D129" s="65">
        <f>IF(F129&lt;&gt;0,VLOOKUP($J129,'Table 1'!$B$13:$C$33,2,FALSE)/12*1000*Study_MW,0)</f>
        <v>666582.02409097389</v>
      </c>
      <c r="E129" s="65">
        <f t="shared" si="41"/>
        <v>460839.72292381362</v>
      </c>
      <c r="F129" s="50">
        <v>12664.17</v>
      </c>
      <c r="G129" s="69">
        <f t="shared" si="42"/>
        <v>36.389255902582924</v>
      </c>
      <c r="I129" s="70">
        <f t="shared" si="47"/>
        <v>126</v>
      </c>
      <c r="J129" s="67">
        <f t="shared" si="43"/>
        <v>2032</v>
      </c>
      <c r="K129" s="71">
        <f t="shared" si="45"/>
        <v>48458</v>
      </c>
    </row>
    <row r="130" spans="2:11" hidden="1" outlineLevel="1">
      <c r="B130" s="71">
        <f t="shared" si="40"/>
        <v>48488</v>
      </c>
      <c r="C130" s="50">
        <v>35156.258138656616</v>
      </c>
      <c r="D130" s="65">
        <f>IF(F130&lt;&gt;0,VLOOKUP($J130,'Table 1'!$B$13:$C$33,2,FALSE)/12*1000*Study_MW,0)</f>
        <v>666582.02409097389</v>
      </c>
      <c r="E130" s="65">
        <f t="shared" si="41"/>
        <v>701738.28222963051</v>
      </c>
      <c r="F130" s="50">
        <v>17510.46</v>
      </c>
      <c r="G130" s="69">
        <f t="shared" si="42"/>
        <v>40.07537678791023</v>
      </c>
      <c r="I130" s="70">
        <f t="shared" si="47"/>
        <v>127</v>
      </c>
      <c r="J130" s="67">
        <f t="shared" si="43"/>
        <v>2032</v>
      </c>
      <c r="K130" s="71">
        <f t="shared" si="45"/>
        <v>48488</v>
      </c>
    </row>
    <row r="131" spans="2:11" hidden="1" outlineLevel="1">
      <c r="B131" s="71">
        <f t="shared" si="40"/>
        <v>48519</v>
      </c>
      <c r="C131" s="50">
        <v>137855.88072580099</v>
      </c>
      <c r="D131" s="65">
        <f>IF(F131&lt;&gt;0,VLOOKUP($J131,'Table 1'!$B$13:$C$33,2,FALSE)/12*1000*Study_MW,0)</f>
        <v>666582.02409097389</v>
      </c>
      <c r="E131" s="65">
        <f t="shared" si="41"/>
        <v>804437.90481677488</v>
      </c>
      <c r="F131" s="50">
        <v>15238.97</v>
      </c>
      <c r="G131" s="69">
        <f t="shared" si="42"/>
        <v>52.788207130585263</v>
      </c>
      <c r="I131" s="70">
        <f t="shared" si="47"/>
        <v>128</v>
      </c>
      <c r="J131" s="67">
        <f t="shared" si="43"/>
        <v>2032</v>
      </c>
      <c r="K131" s="71">
        <f t="shared" si="45"/>
        <v>48519</v>
      </c>
    </row>
    <row r="132" spans="2:11" hidden="1" outlineLevel="1">
      <c r="B132" s="75">
        <f t="shared" si="40"/>
        <v>48549</v>
      </c>
      <c r="C132" s="72">
        <v>218512.86030417681</v>
      </c>
      <c r="D132" s="73">
        <f>IF(F132&lt;&gt;0,VLOOKUP($J132,'Table 1'!$B$13:$C$33,2,FALSE)/12*1000*Study_MW,0)</f>
        <v>666582.02409097389</v>
      </c>
      <c r="E132" s="73">
        <f t="shared" si="41"/>
        <v>885094.8843951507</v>
      </c>
      <c r="F132" s="72">
        <v>15292.21</v>
      </c>
      <c r="G132" s="74">
        <f t="shared" si="42"/>
        <v>57.878807863294497</v>
      </c>
      <c r="I132" s="58">
        <f t="shared" si="47"/>
        <v>129</v>
      </c>
      <c r="J132" s="67">
        <f t="shared" si="43"/>
        <v>2032</v>
      </c>
      <c r="K132" s="75">
        <f t="shared" si="45"/>
        <v>48549</v>
      </c>
    </row>
    <row r="133" spans="2:11" hidden="1" outlineLevel="1">
      <c r="B133" s="68">
        <f t="shared" si="40"/>
        <v>48580</v>
      </c>
      <c r="C133" s="63">
        <v>472149.18030548096</v>
      </c>
      <c r="D133" s="64">
        <f>IF(F133&lt;&gt;0,VLOOKUP($J133,'Table 1'!$B$13:$C$33,2,FALSE)/12*1000*Study_MW,0)</f>
        <v>680940.49418231007</v>
      </c>
      <c r="E133" s="64">
        <f t="shared" si="41"/>
        <v>1153089.674487791</v>
      </c>
      <c r="F133" s="63">
        <v>20908.240000000002</v>
      </c>
      <c r="G133" s="66">
        <f t="shared" si="42"/>
        <v>55.150011406402015</v>
      </c>
      <c r="I133" s="54">
        <f>I13</f>
        <v>1</v>
      </c>
      <c r="J133" s="67">
        <f t="shared" si="43"/>
        <v>2033</v>
      </c>
      <c r="K133" s="68">
        <f t="shared" si="45"/>
        <v>48580</v>
      </c>
    </row>
    <row r="134" spans="2:11" hidden="1" outlineLevel="1">
      <c r="B134" s="71">
        <f t="shared" si="40"/>
        <v>48611</v>
      </c>
      <c r="C134" s="50">
        <v>402122.38193196058</v>
      </c>
      <c r="D134" s="65">
        <f>IF(F134&lt;&gt;0,VLOOKUP($J134,'Table 1'!$B$13:$C$33,2,FALSE)/12*1000*Study_MW,0)</f>
        <v>680940.49418231007</v>
      </c>
      <c r="E134" s="65">
        <f t="shared" si="41"/>
        <v>1083062.8761142706</v>
      </c>
      <c r="F134" s="50">
        <v>19864.38</v>
      </c>
      <c r="G134" s="69">
        <f t="shared" si="42"/>
        <v>54.522863342035876</v>
      </c>
      <c r="I134" s="70">
        <f t="shared" ref="I134:I197" si="48">I14</f>
        <v>2</v>
      </c>
      <c r="J134" s="67">
        <f t="shared" si="43"/>
        <v>2033</v>
      </c>
      <c r="K134" s="71">
        <f t="shared" si="45"/>
        <v>48611</v>
      </c>
    </row>
    <row r="135" spans="2:11" hidden="1" outlineLevel="1">
      <c r="B135" s="71">
        <f t="shared" si="40"/>
        <v>48639</v>
      </c>
      <c r="C135" s="50">
        <v>52382.426149591804</v>
      </c>
      <c r="D135" s="65">
        <f>IF(F135&lt;&gt;0,VLOOKUP($J135,'Table 1'!$B$13:$C$33,2,FALSE)/12*1000*Study_MW,0)</f>
        <v>680940.49418231007</v>
      </c>
      <c r="E135" s="65">
        <f t="shared" si="41"/>
        <v>733322.92033190187</v>
      </c>
      <c r="F135" s="50">
        <v>25268.5</v>
      </c>
      <c r="G135" s="69">
        <f t="shared" si="42"/>
        <v>29.021228815794444</v>
      </c>
      <c r="I135" s="70">
        <f t="shared" si="48"/>
        <v>3</v>
      </c>
      <c r="J135" s="67">
        <f t="shared" si="43"/>
        <v>2033</v>
      </c>
      <c r="K135" s="71">
        <f t="shared" si="45"/>
        <v>48639</v>
      </c>
    </row>
    <row r="136" spans="2:11" hidden="1" outlineLevel="1">
      <c r="B136" s="71">
        <f t="shared" si="40"/>
        <v>48670</v>
      </c>
      <c r="C136" s="50">
        <v>-73806.395920291543</v>
      </c>
      <c r="D136" s="65">
        <f>IF(F136&lt;&gt;0,VLOOKUP($J136,'Table 1'!$B$13:$C$33,2,FALSE)/12*1000*Study_MW,0)</f>
        <v>680940.49418231007</v>
      </c>
      <c r="E136" s="65">
        <f t="shared" si="41"/>
        <v>607134.09826201852</v>
      </c>
      <c r="F136" s="50">
        <v>20415.02</v>
      </c>
      <c r="G136" s="69">
        <f t="shared" si="42"/>
        <v>29.73957891111635</v>
      </c>
      <c r="I136" s="70">
        <f t="shared" si="48"/>
        <v>4</v>
      </c>
      <c r="J136" s="67">
        <f t="shared" si="43"/>
        <v>2033</v>
      </c>
      <c r="K136" s="71">
        <f t="shared" si="45"/>
        <v>48670</v>
      </c>
    </row>
    <row r="137" spans="2:11" hidden="1" outlineLevel="1">
      <c r="B137" s="71">
        <f t="shared" si="40"/>
        <v>48700</v>
      </c>
      <c r="C137" s="50">
        <v>-187382.08161757886</v>
      </c>
      <c r="D137" s="65">
        <f>IF(F137&lt;&gt;0,VLOOKUP($J137,'Table 1'!$B$13:$C$33,2,FALSE)/12*1000*Study_MW,0)</f>
        <v>680940.49418231007</v>
      </c>
      <c r="E137" s="65">
        <f t="shared" si="41"/>
        <v>493558.4125647312</v>
      </c>
      <c r="F137" s="50">
        <v>20545.48</v>
      </c>
      <c r="G137" s="69">
        <f t="shared" si="42"/>
        <v>24.022724831190665</v>
      </c>
      <c r="I137" s="70">
        <f t="shared" si="48"/>
        <v>5</v>
      </c>
      <c r="J137" s="67">
        <f t="shared" si="43"/>
        <v>2033</v>
      </c>
      <c r="K137" s="71">
        <f t="shared" si="45"/>
        <v>48700</v>
      </c>
    </row>
    <row r="138" spans="2:11" hidden="1" outlineLevel="1">
      <c r="B138" s="71">
        <f t="shared" si="40"/>
        <v>48731</v>
      </c>
      <c r="C138" s="50">
        <v>-291335.7431910634</v>
      </c>
      <c r="D138" s="65">
        <f>IF(F138&lt;&gt;0,VLOOKUP($J138,'Table 1'!$B$13:$C$33,2,FALSE)/12*1000*Study_MW,0)</f>
        <v>680940.49418231007</v>
      </c>
      <c r="E138" s="65">
        <f t="shared" si="41"/>
        <v>389604.75099124666</v>
      </c>
      <c r="F138" s="50">
        <v>16657.03</v>
      </c>
      <c r="G138" s="69">
        <f t="shared" si="42"/>
        <v>23.389809047065814</v>
      </c>
      <c r="I138" s="70">
        <f t="shared" si="48"/>
        <v>6</v>
      </c>
      <c r="J138" s="67">
        <f t="shared" si="43"/>
        <v>2033</v>
      </c>
      <c r="K138" s="71">
        <f t="shared" si="45"/>
        <v>48731</v>
      </c>
    </row>
    <row r="139" spans="2:11" hidden="1" outlineLevel="1">
      <c r="B139" s="71">
        <f t="shared" si="40"/>
        <v>48761</v>
      </c>
      <c r="C139" s="50">
        <v>-431882.31468573213</v>
      </c>
      <c r="D139" s="65">
        <f>IF(F139&lt;&gt;0,VLOOKUP($J139,'Table 1'!$B$13:$C$33,2,FALSE)/12*1000*Study_MW,0)</f>
        <v>680940.49418231007</v>
      </c>
      <c r="E139" s="65">
        <f t="shared" si="41"/>
        <v>249058.17949657794</v>
      </c>
      <c r="F139" s="50">
        <v>12237.55</v>
      </c>
      <c r="G139" s="69">
        <f t="shared" si="42"/>
        <v>20.351964200070924</v>
      </c>
      <c r="I139" s="70">
        <f t="shared" si="48"/>
        <v>7</v>
      </c>
      <c r="J139" s="67">
        <f t="shared" si="43"/>
        <v>2033</v>
      </c>
      <c r="K139" s="71">
        <f t="shared" si="45"/>
        <v>48761</v>
      </c>
    </row>
    <row r="140" spans="2:11" hidden="1" outlineLevel="1">
      <c r="B140" s="71">
        <f t="shared" si="40"/>
        <v>48792</v>
      </c>
      <c r="C140" s="50">
        <v>-506391.07801756263</v>
      </c>
      <c r="D140" s="65">
        <f>IF(F140&lt;&gt;0,VLOOKUP($J140,'Table 1'!$B$13:$C$33,2,FALSE)/12*1000*Study_MW,0)</f>
        <v>680940.49418231007</v>
      </c>
      <c r="E140" s="65">
        <f t="shared" si="41"/>
        <v>174549.41616474744</v>
      </c>
      <c r="F140" s="50">
        <v>9817.59</v>
      </c>
      <c r="G140" s="69">
        <f t="shared" si="42"/>
        <v>17.779252969898664</v>
      </c>
      <c r="I140" s="70">
        <f t="shared" si="48"/>
        <v>8</v>
      </c>
      <c r="J140" s="67">
        <f t="shared" si="43"/>
        <v>2033</v>
      </c>
      <c r="K140" s="71">
        <f t="shared" si="45"/>
        <v>48792</v>
      </c>
    </row>
    <row r="141" spans="2:11" hidden="1" outlineLevel="1">
      <c r="B141" s="71">
        <f t="shared" si="40"/>
        <v>48823</v>
      </c>
      <c r="C141" s="50">
        <v>-186380.86918643117</v>
      </c>
      <c r="D141" s="65">
        <f>IF(F141&lt;&gt;0,VLOOKUP($J141,'Table 1'!$B$13:$C$33,2,FALSE)/12*1000*Study_MW,0)</f>
        <v>680940.49418231007</v>
      </c>
      <c r="E141" s="65">
        <f t="shared" si="41"/>
        <v>494559.6249958789</v>
      </c>
      <c r="F141" s="50">
        <v>12664.17</v>
      </c>
      <c r="G141" s="69">
        <f t="shared" si="42"/>
        <v>39.051878251466846</v>
      </c>
      <c r="I141" s="70">
        <f t="shared" si="48"/>
        <v>9</v>
      </c>
      <c r="J141" s="67">
        <f t="shared" si="43"/>
        <v>2033</v>
      </c>
      <c r="K141" s="71">
        <f t="shared" si="45"/>
        <v>48823</v>
      </c>
    </row>
    <row r="142" spans="2:11" hidden="1" outlineLevel="1">
      <c r="B142" s="71">
        <f t="shared" ref="B142:B205" si="49">EDATE(B141,1)</f>
        <v>48853</v>
      </c>
      <c r="C142" s="50">
        <v>78332.466180354357</v>
      </c>
      <c r="D142" s="65">
        <f>IF(F142&lt;&gt;0,VLOOKUP($J142,'Table 1'!$B$13:$C$33,2,FALSE)/12*1000*Study_MW,0)</f>
        <v>680940.49418231007</v>
      </c>
      <c r="E142" s="65">
        <f t="shared" ref="E142:E192" si="50">C142+D142</f>
        <v>759272.96036266442</v>
      </c>
      <c r="F142" s="50">
        <v>17510.46</v>
      </c>
      <c r="G142" s="69">
        <f t="shared" ref="G142:G192" si="51">IF(ISNUMBER($F142),E142/$F142,"")</f>
        <v>43.36110875229231</v>
      </c>
      <c r="I142" s="70">
        <f t="shared" si="48"/>
        <v>10</v>
      </c>
      <c r="J142" s="67">
        <f t="shared" ref="J142:J192" si="52">YEAR(B142)</f>
        <v>2033</v>
      </c>
      <c r="K142" s="71">
        <f t="shared" si="45"/>
        <v>48853</v>
      </c>
    </row>
    <row r="143" spans="2:11" hidden="1" outlineLevel="1">
      <c r="B143" s="71">
        <f t="shared" si="49"/>
        <v>48884</v>
      </c>
      <c r="C143" s="50">
        <v>143483.25433960557</v>
      </c>
      <c r="D143" s="65">
        <f>IF(F143&lt;&gt;0,VLOOKUP($J143,'Table 1'!$B$13:$C$33,2,FALSE)/12*1000*Study_MW,0)</f>
        <v>680940.49418231007</v>
      </c>
      <c r="E143" s="65">
        <f t="shared" si="50"/>
        <v>824423.74852191564</v>
      </c>
      <c r="F143" s="50">
        <v>15238.97</v>
      </c>
      <c r="G143" s="69">
        <f t="shared" si="51"/>
        <v>54.099702835684802</v>
      </c>
      <c r="I143" s="70">
        <f t="shared" si="48"/>
        <v>11</v>
      </c>
      <c r="J143" s="67">
        <f t="shared" si="52"/>
        <v>2033</v>
      </c>
      <c r="K143" s="71">
        <f t="shared" si="45"/>
        <v>48884</v>
      </c>
    </row>
    <row r="144" spans="2:11" hidden="1" outlineLevel="1">
      <c r="B144" s="75">
        <f t="shared" si="49"/>
        <v>48914</v>
      </c>
      <c r="C144" s="72">
        <v>224290.17890533805</v>
      </c>
      <c r="D144" s="73">
        <f>IF(F144&lt;&gt;0,VLOOKUP($J144,'Table 1'!$B$13:$C$33,2,FALSE)/12*1000*Study_MW,0)</f>
        <v>680940.49418231007</v>
      </c>
      <c r="E144" s="73">
        <f t="shared" si="50"/>
        <v>905230.67308764812</v>
      </c>
      <c r="F144" s="72">
        <v>15292.21</v>
      </c>
      <c r="G144" s="74">
        <f t="shared" si="51"/>
        <v>59.195542899793303</v>
      </c>
      <c r="I144" s="58">
        <f t="shared" si="48"/>
        <v>12</v>
      </c>
      <c r="J144" s="67">
        <f t="shared" si="52"/>
        <v>2033</v>
      </c>
      <c r="K144" s="75">
        <f t="shared" si="45"/>
        <v>48914</v>
      </c>
    </row>
    <row r="145" spans="2:11" hidden="1" outlineLevel="1">
      <c r="B145" s="68">
        <f t="shared" si="49"/>
        <v>48945</v>
      </c>
      <c r="C145" s="63">
        <v>421320.29126021266</v>
      </c>
      <c r="D145" s="64">
        <f>IF(F145&lt;&gt;0,VLOOKUP($J145,'Table 1'!$B$13:$C$33,2,FALSE)/12*1000*Study_MW,0)</f>
        <v>695635.73009668407</v>
      </c>
      <c r="E145" s="64">
        <f t="shared" si="50"/>
        <v>1116956.0213568967</v>
      </c>
      <c r="F145" s="63">
        <v>20908.240000000002</v>
      </c>
      <c r="G145" s="66">
        <f t="shared" si="51"/>
        <v>53.421809839417215</v>
      </c>
      <c r="I145" s="54">
        <f>I25</f>
        <v>14</v>
      </c>
      <c r="J145" s="67">
        <f t="shared" si="52"/>
        <v>2034</v>
      </c>
      <c r="K145" s="68">
        <f t="shared" si="45"/>
        <v>48945</v>
      </c>
    </row>
    <row r="146" spans="2:11" hidden="1" outlineLevel="1">
      <c r="B146" s="71">
        <f t="shared" si="49"/>
        <v>48976</v>
      </c>
      <c r="C146" s="50">
        <v>373469.1659501791</v>
      </c>
      <c r="D146" s="65">
        <f>IF(F146&lt;&gt;0,VLOOKUP($J146,'Table 1'!$B$13:$C$33,2,FALSE)/12*1000*Study_MW,0)</f>
        <v>695635.73009668407</v>
      </c>
      <c r="E146" s="65">
        <f t="shared" si="50"/>
        <v>1069104.8960468632</v>
      </c>
      <c r="F146" s="50">
        <v>19864.38</v>
      </c>
      <c r="G146" s="69">
        <f t="shared" si="51"/>
        <v>53.820199575665747</v>
      </c>
      <c r="I146" s="70">
        <f t="shared" si="48"/>
        <v>15</v>
      </c>
      <c r="J146" s="67">
        <f t="shared" si="52"/>
        <v>2034</v>
      </c>
      <c r="K146" s="71">
        <f t="shared" si="45"/>
        <v>48976</v>
      </c>
    </row>
    <row r="147" spans="2:11" hidden="1" outlineLevel="1">
      <c r="B147" s="71">
        <f t="shared" si="49"/>
        <v>49004</v>
      </c>
      <c r="C147" s="50">
        <v>36759.37123221159</v>
      </c>
      <c r="D147" s="65">
        <f>IF(F147&lt;&gt;0,VLOOKUP($J147,'Table 1'!$B$13:$C$33,2,FALSE)/12*1000*Study_MW,0)</f>
        <v>695635.73009668407</v>
      </c>
      <c r="E147" s="65">
        <f t="shared" si="50"/>
        <v>732395.10132889566</v>
      </c>
      <c r="F147" s="50">
        <v>25268.5</v>
      </c>
      <c r="G147" s="69">
        <f t="shared" si="51"/>
        <v>28.984510411338057</v>
      </c>
      <c r="I147" s="70">
        <f t="shared" si="48"/>
        <v>16</v>
      </c>
      <c r="J147" s="67">
        <f t="shared" si="52"/>
        <v>2034</v>
      </c>
      <c r="K147" s="71">
        <f t="shared" si="45"/>
        <v>49004</v>
      </c>
    </row>
    <row r="148" spans="2:11" hidden="1" outlineLevel="1">
      <c r="B148" s="71">
        <f t="shared" si="49"/>
        <v>49035</v>
      </c>
      <c r="C148" s="50">
        <v>-83038.824891805649</v>
      </c>
      <c r="D148" s="65">
        <f>IF(F148&lt;&gt;0,VLOOKUP($J148,'Table 1'!$B$13:$C$33,2,FALSE)/12*1000*Study_MW,0)</f>
        <v>695635.73009668407</v>
      </c>
      <c r="E148" s="65">
        <f t="shared" si="50"/>
        <v>612596.90520487842</v>
      </c>
      <c r="F148" s="50">
        <v>20415.02</v>
      </c>
      <c r="G148" s="69">
        <f t="shared" si="51"/>
        <v>30.007166547222507</v>
      </c>
      <c r="I148" s="70">
        <f t="shared" si="48"/>
        <v>17</v>
      </c>
      <c r="J148" s="67">
        <f t="shared" si="52"/>
        <v>2034</v>
      </c>
      <c r="K148" s="71">
        <f t="shared" si="45"/>
        <v>49035</v>
      </c>
    </row>
    <row r="149" spans="2:11" hidden="1" outlineLevel="1">
      <c r="B149" s="71">
        <f t="shared" si="49"/>
        <v>49065</v>
      </c>
      <c r="C149" s="50">
        <v>-165066.37289723754</v>
      </c>
      <c r="D149" s="65">
        <f>IF(F149&lt;&gt;0,VLOOKUP($J149,'Table 1'!$B$13:$C$33,2,FALSE)/12*1000*Study_MW,0)</f>
        <v>695635.73009668407</v>
      </c>
      <c r="E149" s="65">
        <f t="shared" si="50"/>
        <v>530569.35719944653</v>
      </c>
      <c r="F149" s="50">
        <v>20545.48</v>
      </c>
      <c r="G149" s="69">
        <f t="shared" si="51"/>
        <v>25.824140258560352</v>
      </c>
      <c r="I149" s="70">
        <f t="shared" si="48"/>
        <v>18</v>
      </c>
      <c r="J149" s="67">
        <f t="shared" si="52"/>
        <v>2034</v>
      </c>
      <c r="K149" s="71">
        <f t="shared" si="45"/>
        <v>49065</v>
      </c>
    </row>
    <row r="150" spans="2:11" hidden="1" outlineLevel="1">
      <c r="B150" s="71">
        <f t="shared" si="49"/>
        <v>49096</v>
      </c>
      <c r="C150" s="50">
        <v>-263555.20232737064</v>
      </c>
      <c r="D150" s="65">
        <f>IF(F150&lt;&gt;0,VLOOKUP($J150,'Table 1'!$B$13:$C$33,2,FALSE)/12*1000*Study_MW,0)</f>
        <v>695635.73009668407</v>
      </c>
      <c r="E150" s="65">
        <f t="shared" si="50"/>
        <v>432080.52776931343</v>
      </c>
      <c r="F150" s="50">
        <v>16657.03</v>
      </c>
      <c r="G150" s="69">
        <f t="shared" si="51"/>
        <v>25.939830075908699</v>
      </c>
      <c r="I150" s="70">
        <f t="shared" si="48"/>
        <v>19</v>
      </c>
      <c r="J150" s="67">
        <f t="shared" si="52"/>
        <v>2034</v>
      </c>
      <c r="K150" s="71">
        <f t="shared" si="45"/>
        <v>49096</v>
      </c>
    </row>
    <row r="151" spans="2:11" hidden="1" outlineLevel="1">
      <c r="B151" s="71">
        <f t="shared" si="49"/>
        <v>49126</v>
      </c>
      <c r="C151" s="50">
        <v>-434910.5712556839</v>
      </c>
      <c r="D151" s="65">
        <f>IF(F151&lt;&gt;0,VLOOKUP($J151,'Table 1'!$B$13:$C$33,2,FALSE)/12*1000*Study_MW,0)</f>
        <v>695635.73009668407</v>
      </c>
      <c r="E151" s="65">
        <f t="shared" si="50"/>
        <v>260725.15884100017</v>
      </c>
      <c r="F151" s="50">
        <v>12237.55</v>
      </c>
      <c r="G151" s="69">
        <f t="shared" si="51"/>
        <v>21.305339617897388</v>
      </c>
      <c r="I151" s="70">
        <f t="shared" si="48"/>
        <v>20</v>
      </c>
      <c r="J151" s="67">
        <f t="shared" si="52"/>
        <v>2034</v>
      </c>
      <c r="K151" s="71">
        <f t="shared" si="45"/>
        <v>49126</v>
      </c>
    </row>
    <row r="152" spans="2:11" hidden="1" outlineLevel="1">
      <c r="B152" s="71">
        <f t="shared" si="49"/>
        <v>49157</v>
      </c>
      <c r="C152" s="50">
        <v>-470969.91146910191</v>
      </c>
      <c r="D152" s="65">
        <f>IF(F152&lt;&gt;0,VLOOKUP($J152,'Table 1'!$B$13:$C$33,2,FALSE)/12*1000*Study_MW,0)</f>
        <v>695635.73009668407</v>
      </c>
      <c r="E152" s="65">
        <f t="shared" si="50"/>
        <v>224665.81862758216</v>
      </c>
      <c r="F152" s="50">
        <v>9817.59</v>
      </c>
      <c r="G152" s="69">
        <f t="shared" si="51"/>
        <v>22.884009072245039</v>
      </c>
      <c r="I152" s="70">
        <f t="shared" si="48"/>
        <v>21</v>
      </c>
      <c r="J152" s="67">
        <f t="shared" si="52"/>
        <v>2034</v>
      </c>
      <c r="K152" s="71">
        <f t="shared" si="45"/>
        <v>49157</v>
      </c>
    </row>
    <row r="153" spans="2:11" hidden="1" outlineLevel="1">
      <c r="B153" s="71">
        <f t="shared" si="49"/>
        <v>49188</v>
      </c>
      <c r="C153" s="50">
        <v>-177894.11379832029</v>
      </c>
      <c r="D153" s="65">
        <f>IF(F153&lt;&gt;0,VLOOKUP($J153,'Table 1'!$B$13:$C$33,2,FALSE)/12*1000*Study_MW,0)</f>
        <v>695635.73009668407</v>
      </c>
      <c r="E153" s="65">
        <f t="shared" si="50"/>
        <v>517741.61629836378</v>
      </c>
      <c r="F153" s="50">
        <v>12664.17</v>
      </c>
      <c r="G153" s="69">
        <f t="shared" si="51"/>
        <v>40.882396264292389</v>
      </c>
      <c r="I153" s="70">
        <f t="shared" si="48"/>
        <v>22</v>
      </c>
      <c r="J153" s="67">
        <f t="shared" si="52"/>
        <v>2034</v>
      </c>
      <c r="K153" s="71">
        <f t="shared" si="45"/>
        <v>49188</v>
      </c>
    </row>
    <row r="154" spans="2:11" hidden="1" outlineLevel="1">
      <c r="B154" s="71">
        <f t="shared" si="49"/>
        <v>49218</v>
      </c>
      <c r="C154" s="50">
        <v>43413.541348800063</v>
      </c>
      <c r="D154" s="65">
        <f>IF(F154&lt;&gt;0,VLOOKUP($J154,'Table 1'!$B$13:$C$33,2,FALSE)/12*1000*Study_MW,0)</f>
        <v>695635.73009668407</v>
      </c>
      <c r="E154" s="65">
        <f t="shared" si="50"/>
        <v>739049.27144548413</v>
      </c>
      <c r="F154" s="50">
        <v>17510.46</v>
      </c>
      <c r="G154" s="69">
        <f t="shared" si="51"/>
        <v>42.20615971513508</v>
      </c>
      <c r="I154" s="70">
        <f t="shared" si="48"/>
        <v>23</v>
      </c>
      <c r="J154" s="67">
        <f t="shared" si="52"/>
        <v>2034</v>
      </c>
      <c r="K154" s="71">
        <f t="shared" ref="K154:K192" si="53">IF(ISNUMBER(F154),IF(F154&lt;&gt;0,B154,""),"")</f>
        <v>49218</v>
      </c>
    </row>
    <row r="155" spans="2:11" hidden="1" outlineLevel="1">
      <c r="B155" s="71">
        <f t="shared" si="49"/>
        <v>49249</v>
      </c>
      <c r="C155" s="50">
        <v>121515.70327186584</v>
      </c>
      <c r="D155" s="65">
        <f>IF(F155&lt;&gt;0,VLOOKUP($J155,'Table 1'!$B$13:$C$33,2,FALSE)/12*1000*Study_MW,0)</f>
        <v>695635.73009668407</v>
      </c>
      <c r="E155" s="65">
        <f t="shared" si="50"/>
        <v>817151.43336854992</v>
      </c>
      <c r="F155" s="50">
        <v>15238.97</v>
      </c>
      <c r="G155" s="69">
        <f t="shared" si="51"/>
        <v>53.622484549057447</v>
      </c>
      <c r="I155" s="70">
        <f t="shared" si="48"/>
        <v>24</v>
      </c>
      <c r="J155" s="67">
        <f t="shared" si="52"/>
        <v>2034</v>
      </c>
      <c r="K155" s="71">
        <f t="shared" si="53"/>
        <v>49249</v>
      </c>
    </row>
    <row r="156" spans="2:11" hidden="1" outlineLevel="1">
      <c r="B156" s="75">
        <f t="shared" si="49"/>
        <v>49279</v>
      </c>
      <c r="C156" s="72">
        <v>200519.29149821401</v>
      </c>
      <c r="D156" s="73">
        <f>IF(F156&lt;&gt;0,VLOOKUP($J156,'Table 1'!$B$13:$C$33,2,FALSE)/12*1000*Study_MW,0)</f>
        <v>695635.73009668407</v>
      </c>
      <c r="E156" s="73">
        <f t="shared" si="50"/>
        <v>896155.02159489808</v>
      </c>
      <c r="F156" s="72">
        <v>15292.21</v>
      </c>
      <c r="G156" s="74">
        <f t="shared" si="51"/>
        <v>58.602060892107687</v>
      </c>
      <c r="I156" s="58">
        <f t="shared" si="48"/>
        <v>25</v>
      </c>
      <c r="J156" s="67">
        <f t="shared" si="52"/>
        <v>2034</v>
      </c>
      <c r="K156" s="75">
        <f t="shared" si="53"/>
        <v>49279</v>
      </c>
    </row>
    <row r="157" spans="2:11" hidden="1" outlineLevel="1">
      <c r="B157" s="68">
        <f t="shared" si="49"/>
        <v>49310</v>
      </c>
      <c r="C157" s="63">
        <v>491882.46589794755</v>
      </c>
      <c r="D157" s="64">
        <f>IF(F157&lt;&gt;0,VLOOKUP($J157,'Table 1'!$B$13:$C$33,2,FALSE)/12*1000*Study_MW,0)</f>
        <v>710606.50168445299</v>
      </c>
      <c r="E157" s="64">
        <f t="shared" si="50"/>
        <v>1202488.9675824004</v>
      </c>
      <c r="F157" s="63">
        <v>20908.240000000002</v>
      </c>
      <c r="G157" s="66">
        <f t="shared" si="51"/>
        <v>57.512682443974256</v>
      </c>
      <c r="I157" s="54">
        <f>I37</f>
        <v>27</v>
      </c>
      <c r="J157" s="67">
        <f t="shared" si="52"/>
        <v>2035</v>
      </c>
      <c r="K157" s="68">
        <f t="shared" si="53"/>
        <v>49310</v>
      </c>
    </row>
    <row r="158" spans="2:11" hidden="1" outlineLevel="1">
      <c r="B158" s="71">
        <f t="shared" si="49"/>
        <v>49341</v>
      </c>
      <c r="C158" s="50">
        <v>358492.89070796967</v>
      </c>
      <c r="D158" s="65">
        <f>IF(F158&lt;&gt;0,VLOOKUP($J158,'Table 1'!$B$13:$C$33,2,FALSE)/12*1000*Study_MW,0)</f>
        <v>710606.50168445299</v>
      </c>
      <c r="E158" s="65">
        <f t="shared" si="50"/>
        <v>1069099.3923924225</v>
      </c>
      <c r="F158" s="50">
        <v>19864.38</v>
      </c>
      <c r="G158" s="69">
        <f t="shared" si="51"/>
        <v>53.819922514189848</v>
      </c>
      <c r="I158" s="70">
        <f t="shared" si="48"/>
        <v>28</v>
      </c>
      <c r="J158" s="67">
        <f t="shared" si="52"/>
        <v>2035</v>
      </c>
      <c r="K158" s="71">
        <f t="shared" si="53"/>
        <v>49341</v>
      </c>
    </row>
    <row r="159" spans="2:11" hidden="1" outlineLevel="1">
      <c r="B159" s="71">
        <f t="shared" si="49"/>
        <v>49369</v>
      </c>
      <c r="C159" s="50">
        <v>65860.785073563457</v>
      </c>
      <c r="D159" s="65">
        <f>IF(F159&lt;&gt;0,VLOOKUP($J159,'Table 1'!$B$13:$C$33,2,FALSE)/12*1000*Study_MW,0)</f>
        <v>710606.50168445299</v>
      </c>
      <c r="E159" s="65">
        <f t="shared" si="50"/>
        <v>776467.28675801645</v>
      </c>
      <c r="F159" s="50">
        <v>25268.5</v>
      </c>
      <c r="G159" s="69">
        <f t="shared" si="51"/>
        <v>30.728665601757779</v>
      </c>
      <c r="I159" s="70">
        <f t="shared" si="48"/>
        <v>29</v>
      </c>
      <c r="J159" s="67">
        <f t="shared" si="52"/>
        <v>2035</v>
      </c>
      <c r="K159" s="71">
        <f t="shared" si="53"/>
        <v>49369</v>
      </c>
    </row>
    <row r="160" spans="2:11" hidden="1" outlineLevel="1">
      <c r="B160" s="71">
        <f t="shared" si="49"/>
        <v>49400</v>
      </c>
      <c r="C160" s="50">
        <v>-77732.877841353416</v>
      </c>
      <c r="D160" s="65">
        <f>IF(F160&lt;&gt;0,VLOOKUP($J160,'Table 1'!$B$13:$C$33,2,FALSE)/12*1000*Study_MW,0)</f>
        <v>710606.50168445299</v>
      </c>
      <c r="E160" s="65">
        <f t="shared" si="50"/>
        <v>632873.62384309957</v>
      </c>
      <c r="F160" s="50">
        <v>20415.02</v>
      </c>
      <c r="G160" s="69">
        <f t="shared" si="51"/>
        <v>31.000392056588705</v>
      </c>
      <c r="I160" s="70">
        <f t="shared" si="48"/>
        <v>30</v>
      </c>
      <c r="J160" s="67">
        <f t="shared" si="52"/>
        <v>2035</v>
      </c>
      <c r="K160" s="71">
        <f t="shared" si="53"/>
        <v>49400</v>
      </c>
    </row>
    <row r="161" spans="2:11" hidden="1" outlineLevel="1">
      <c r="B161" s="71">
        <f t="shared" si="49"/>
        <v>49430</v>
      </c>
      <c r="C161" s="50">
        <v>-171161.82038515806</v>
      </c>
      <c r="D161" s="65">
        <f>IF(F161&lt;&gt;0,VLOOKUP($J161,'Table 1'!$B$13:$C$33,2,FALSE)/12*1000*Study_MW,0)</f>
        <v>710606.50168445299</v>
      </c>
      <c r="E161" s="65">
        <f t="shared" si="50"/>
        <v>539444.68129929493</v>
      </c>
      <c r="F161" s="50">
        <v>20545.48</v>
      </c>
      <c r="G161" s="69">
        <f t="shared" si="51"/>
        <v>26.256124524678661</v>
      </c>
      <c r="I161" s="70">
        <f t="shared" si="48"/>
        <v>31</v>
      </c>
      <c r="J161" s="67">
        <f t="shared" si="52"/>
        <v>2035</v>
      </c>
      <c r="K161" s="71">
        <f t="shared" si="53"/>
        <v>49430</v>
      </c>
    </row>
    <row r="162" spans="2:11" hidden="1" outlineLevel="1">
      <c r="B162" s="71">
        <f t="shared" si="49"/>
        <v>49461</v>
      </c>
      <c r="C162" s="50">
        <v>-270541.69211229682</v>
      </c>
      <c r="D162" s="65">
        <f>IF(F162&lt;&gt;0,VLOOKUP($J162,'Table 1'!$B$13:$C$33,2,FALSE)/12*1000*Study_MW,0)</f>
        <v>710606.50168445299</v>
      </c>
      <c r="E162" s="65">
        <f t="shared" si="50"/>
        <v>440064.80957215617</v>
      </c>
      <c r="F162" s="50">
        <v>16657.03</v>
      </c>
      <c r="G162" s="69">
        <f t="shared" si="51"/>
        <v>26.419164135032247</v>
      </c>
      <c r="I162" s="70">
        <f t="shared" si="48"/>
        <v>32</v>
      </c>
      <c r="J162" s="67">
        <f t="shared" si="52"/>
        <v>2035</v>
      </c>
      <c r="K162" s="71">
        <f t="shared" si="53"/>
        <v>49461</v>
      </c>
    </row>
    <row r="163" spans="2:11" hidden="1" outlineLevel="1">
      <c r="B163" s="71">
        <f t="shared" si="49"/>
        <v>49491</v>
      </c>
      <c r="C163" s="50">
        <v>-458200.22434934974</v>
      </c>
      <c r="D163" s="65">
        <f>IF(F163&lt;&gt;0,VLOOKUP($J163,'Table 1'!$B$13:$C$33,2,FALSE)/12*1000*Study_MW,0)</f>
        <v>710606.50168445299</v>
      </c>
      <c r="E163" s="65">
        <f t="shared" si="50"/>
        <v>252406.27733510325</v>
      </c>
      <c r="F163" s="50">
        <v>12237.55</v>
      </c>
      <c r="G163" s="69">
        <f t="shared" si="51"/>
        <v>20.625556368317454</v>
      </c>
      <c r="I163" s="70">
        <f t="shared" si="48"/>
        <v>33</v>
      </c>
      <c r="J163" s="67">
        <f t="shared" si="52"/>
        <v>2035</v>
      </c>
      <c r="K163" s="71">
        <f t="shared" si="53"/>
        <v>49491</v>
      </c>
    </row>
    <row r="164" spans="2:11" hidden="1" outlineLevel="1">
      <c r="B164" s="71">
        <f t="shared" si="49"/>
        <v>49522</v>
      </c>
      <c r="C164" s="50">
        <v>-478558.17252373695</v>
      </c>
      <c r="D164" s="65">
        <f>IF(F164&lt;&gt;0,VLOOKUP($J164,'Table 1'!$B$13:$C$33,2,FALSE)/12*1000*Study_MW,0)</f>
        <v>710606.50168445299</v>
      </c>
      <c r="E164" s="65">
        <f t="shared" si="50"/>
        <v>232048.32916071604</v>
      </c>
      <c r="F164" s="50">
        <v>9817.59</v>
      </c>
      <c r="G164" s="69">
        <f t="shared" si="51"/>
        <v>23.635976768302204</v>
      </c>
      <c r="I164" s="70">
        <f t="shared" si="48"/>
        <v>34</v>
      </c>
      <c r="J164" s="67">
        <f t="shared" si="52"/>
        <v>2035</v>
      </c>
      <c r="K164" s="71">
        <f t="shared" si="53"/>
        <v>49522</v>
      </c>
    </row>
    <row r="165" spans="2:11" hidden="1" outlineLevel="1">
      <c r="B165" s="71">
        <f t="shared" si="49"/>
        <v>49553</v>
      </c>
      <c r="C165" s="50">
        <v>-197407.98574870825</v>
      </c>
      <c r="D165" s="65">
        <f>IF(F165&lt;&gt;0,VLOOKUP($J165,'Table 1'!$B$13:$C$33,2,FALSE)/12*1000*Study_MW,0)</f>
        <v>710606.50168445299</v>
      </c>
      <c r="E165" s="65">
        <f t="shared" si="50"/>
        <v>513198.51593574474</v>
      </c>
      <c r="F165" s="50">
        <v>12664.17</v>
      </c>
      <c r="G165" s="69">
        <f t="shared" si="51"/>
        <v>40.52365973733334</v>
      </c>
      <c r="I165" s="70">
        <f t="shared" si="48"/>
        <v>35</v>
      </c>
      <c r="J165" s="67">
        <f t="shared" si="52"/>
        <v>2035</v>
      </c>
      <c r="K165" s="71">
        <f t="shared" si="53"/>
        <v>49553</v>
      </c>
    </row>
    <row r="166" spans="2:11" hidden="1" outlineLevel="1">
      <c r="B166" s="71">
        <f t="shared" si="49"/>
        <v>49583</v>
      </c>
      <c r="C166" s="50">
        <v>40795.423147037625</v>
      </c>
      <c r="D166" s="65">
        <f>IF(F166&lt;&gt;0,VLOOKUP($J166,'Table 1'!$B$13:$C$33,2,FALSE)/12*1000*Study_MW,0)</f>
        <v>710606.50168445299</v>
      </c>
      <c r="E166" s="65">
        <f t="shared" si="50"/>
        <v>751401.92483149061</v>
      </c>
      <c r="F166" s="50">
        <v>17510.46</v>
      </c>
      <c r="G166" s="69">
        <f t="shared" si="51"/>
        <v>42.911603968798687</v>
      </c>
      <c r="I166" s="70">
        <f t="shared" si="48"/>
        <v>36</v>
      </c>
      <c r="J166" s="67">
        <f t="shared" si="52"/>
        <v>2035</v>
      </c>
      <c r="K166" s="71">
        <f t="shared" si="53"/>
        <v>49583</v>
      </c>
    </row>
    <row r="167" spans="2:11" hidden="1" outlineLevel="1">
      <c r="B167" s="71">
        <f t="shared" si="49"/>
        <v>49614</v>
      </c>
      <c r="C167" s="50">
        <v>126306.75087043643</v>
      </c>
      <c r="D167" s="65">
        <f>IF(F167&lt;&gt;0,VLOOKUP($J167,'Table 1'!$B$13:$C$33,2,FALSE)/12*1000*Study_MW,0)</f>
        <v>710606.50168445299</v>
      </c>
      <c r="E167" s="65">
        <f t="shared" si="50"/>
        <v>836913.25255488942</v>
      </c>
      <c r="F167" s="50">
        <v>15238.97</v>
      </c>
      <c r="G167" s="69">
        <f t="shared" si="51"/>
        <v>54.919279489026451</v>
      </c>
      <c r="I167" s="70">
        <f t="shared" si="48"/>
        <v>37</v>
      </c>
      <c r="J167" s="67">
        <f t="shared" si="52"/>
        <v>2035</v>
      </c>
      <c r="K167" s="71">
        <f t="shared" si="53"/>
        <v>49614</v>
      </c>
    </row>
    <row r="168" spans="2:11" hidden="1" outlineLevel="1">
      <c r="B168" s="75">
        <f t="shared" si="49"/>
        <v>49644</v>
      </c>
      <c r="C168" s="72">
        <v>197044.28575506806</v>
      </c>
      <c r="D168" s="73">
        <f>IF(F168&lt;&gt;0,VLOOKUP($J168,'Table 1'!$B$13:$C$33,2,FALSE)/12*1000*Study_MW,0)</f>
        <v>710606.50168445299</v>
      </c>
      <c r="E168" s="73">
        <f t="shared" si="50"/>
        <v>907650.78743952105</v>
      </c>
      <c r="F168" s="72">
        <v>15292.21</v>
      </c>
      <c r="G168" s="74">
        <f t="shared" si="51"/>
        <v>59.3538008855176</v>
      </c>
      <c r="I168" s="58">
        <f t="shared" si="48"/>
        <v>38</v>
      </c>
      <c r="J168" s="67">
        <f t="shared" si="52"/>
        <v>2035</v>
      </c>
      <c r="K168" s="75">
        <f t="shared" si="53"/>
        <v>49644</v>
      </c>
    </row>
    <row r="169" spans="2:11" hidden="1" outlineLevel="1">
      <c r="B169" s="68">
        <f t="shared" si="49"/>
        <v>49675</v>
      </c>
      <c r="C169" s="63">
        <v>656085.52526623011</v>
      </c>
      <c r="D169" s="64">
        <f>IF(F169&lt;&gt;0,VLOOKUP($J169,'Table 1'!$B$13:$C$33,2,FALSE)/12*1000*Study_MW,0)</f>
        <v>725914.03909525939</v>
      </c>
      <c r="E169" s="64">
        <f t="shared" si="50"/>
        <v>1381999.5643614894</v>
      </c>
      <c r="F169" s="63">
        <v>20908.240000000002</v>
      </c>
      <c r="G169" s="66">
        <f t="shared" si="51"/>
        <v>66.098321253318758</v>
      </c>
      <c r="I169" s="54">
        <f>I49</f>
        <v>40</v>
      </c>
      <c r="J169" s="67">
        <f t="shared" si="52"/>
        <v>2036</v>
      </c>
      <c r="K169" s="68">
        <f t="shared" si="53"/>
        <v>49675</v>
      </c>
    </row>
    <row r="170" spans="2:11" hidden="1" outlineLevel="1">
      <c r="B170" s="71">
        <f t="shared" si="49"/>
        <v>49706</v>
      </c>
      <c r="C170" s="50">
        <v>560694.59085890651</v>
      </c>
      <c r="D170" s="65">
        <f>IF(F170&lt;&gt;0,VLOOKUP($J170,'Table 1'!$B$13:$C$33,2,FALSE)/12*1000*Study_MW,0)</f>
        <v>725914.03909525939</v>
      </c>
      <c r="E170" s="65">
        <f t="shared" si="50"/>
        <v>1286608.6299541658</v>
      </c>
      <c r="F170" s="50">
        <v>20489.900000000001</v>
      </c>
      <c r="G170" s="69">
        <f t="shared" si="51"/>
        <v>62.792333293679604</v>
      </c>
      <c r="I170" s="70">
        <f t="shared" si="48"/>
        <v>41</v>
      </c>
      <c r="J170" s="67">
        <f t="shared" si="52"/>
        <v>2036</v>
      </c>
      <c r="K170" s="71">
        <f t="shared" si="53"/>
        <v>49706</v>
      </c>
    </row>
    <row r="171" spans="2:11" hidden="1" outlineLevel="1">
      <c r="B171" s="71">
        <f t="shared" si="49"/>
        <v>49735</v>
      </c>
      <c r="C171" s="50">
        <v>358432.46576787531</v>
      </c>
      <c r="D171" s="65">
        <f>IF(F171&lt;&gt;0,VLOOKUP($J171,'Table 1'!$B$13:$C$33,2,FALSE)/12*1000*Study_MW,0)</f>
        <v>725914.03909525939</v>
      </c>
      <c r="E171" s="65">
        <f t="shared" si="50"/>
        <v>1084346.5048631346</v>
      </c>
      <c r="F171" s="50">
        <v>25268.5</v>
      </c>
      <c r="G171" s="69">
        <f t="shared" si="51"/>
        <v>42.912974844693373</v>
      </c>
      <c r="I171" s="70">
        <f t="shared" si="48"/>
        <v>42</v>
      </c>
      <c r="J171" s="67">
        <f t="shared" si="52"/>
        <v>2036</v>
      </c>
      <c r="K171" s="71">
        <f t="shared" si="53"/>
        <v>49735</v>
      </c>
    </row>
    <row r="172" spans="2:11" hidden="1" outlineLevel="1">
      <c r="B172" s="71">
        <f t="shared" si="49"/>
        <v>49766</v>
      </c>
      <c r="C172" s="50">
        <v>215947.18776220083</v>
      </c>
      <c r="D172" s="65">
        <f>IF(F172&lt;&gt;0,VLOOKUP($J172,'Table 1'!$B$13:$C$33,2,FALSE)/12*1000*Study_MW,0)</f>
        <v>725914.03909525939</v>
      </c>
      <c r="E172" s="65">
        <f t="shared" si="50"/>
        <v>941861.22685746022</v>
      </c>
      <c r="F172" s="50">
        <v>20415.02</v>
      </c>
      <c r="G172" s="69">
        <f t="shared" si="51"/>
        <v>46.135699443716447</v>
      </c>
      <c r="I172" s="70">
        <f t="shared" si="48"/>
        <v>43</v>
      </c>
      <c r="J172" s="67">
        <f t="shared" si="52"/>
        <v>2036</v>
      </c>
      <c r="K172" s="71">
        <f t="shared" si="53"/>
        <v>49766</v>
      </c>
    </row>
    <row r="173" spans="2:11" hidden="1" outlineLevel="1">
      <c r="B173" s="71">
        <f t="shared" si="49"/>
        <v>49796</v>
      </c>
      <c r="C173" s="50">
        <v>184684.72688810527</v>
      </c>
      <c r="D173" s="65">
        <f>IF(F173&lt;&gt;0,VLOOKUP($J173,'Table 1'!$B$13:$C$33,2,FALSE)/12*1000*Study_MW,0)</f>
        <v>725914.03909525939</v>
      </c>
      <c r="E173" s="65">
        <f t="shared" si="50"/>
        <v>910598.76598336466</v>
      </c>
      <c r="F173" s="50">
        <v>20545.48</v>
      </c>
      <c r="G173" s="69">
        <f t="shared" si="51"/>
        <v>44.321123964169473</v>
      </c>
      <c r="I173" s="70">
        <f t="shared" si="48"/>
        <v>44</v>
      </c>
      <c r="J173" s="67">
        <f t="shared" si="52"/>
        <v>2036</v>
      </c>
      <c r="K173" s="71">
        <f t="shared" si="53"/>
        <v>49796</v>
      </c>
    </row>
    <row r="174" spans="2:11" hidden="1" outlineLevel="1">
      <c r="B174" s="71">
        <f t="shared" si="49"/>
        <v>49827</v>
      </c>
      <c r="C174" s="50">
        <v>99569.454721793532</v>
      </c>
      <c r="D174" s="65">
        <f>IF(F174&lt;&gt;0,VLOOKUP($J174,'Table 1'!$B$13:$C$33,2,FALSE)/12*1000*Study_MW,0)</f>
        <v>725914.03909525939</v>
      </c>
      <c r="E174" s="65">
        <f t="shared" si="50"/>
        <v>825483.49381705292</v>
      </c>
      <c r="F174" s="50">
        <v>16657.03</v>
      </c>
      <c r="G174" s="69">
        <f t="shared" si="51"/>
        <v>49.557663870272968</v>
      </c>
      <c r="I174" s="70">
        <f t="shared" si="48"/>
        <v>45</v>
      </c>
      <c r="J174" s="67">
        <f t="shared" si="52"/>
        <v>2036</v>
      </c>
      <c r="K174" s="71">
        <f t="shared" si="53"/>
        <v>49827</v>
      </c>
    </row>
    <row r="175" spans="2:11" hidden="1" outlineLevel="1">
      <c r="B175" s="71">
        <f t="shared" si="49"/>
        <v>49857</v>
      </c>
      <c r="C175" s="50">
        <v>-97744.398457556963</v>
      </c>
      <c r="D175" s="65">
        <f>IF(F175&lt;&gt;0,VLOOKUP($J175,'Table 1'!$B$13:$C$33,2,FALSE)/12*1000*Study_MW,0)</f>
        <v>725914.03909525939</v>
      </c>
      <c r="E175" s="65">
        <f t="shared" si="50"/>
        <v>628169.64063770243</v>
      </c>
      <c r="F175" s="50">
        <v>12237.55</v>
      </c>
      <c r="G175" s="69">
        <f t="shared" si="51"/>
        <v>51.331323723923695</v>
      </c>
      <c r="I175" s="70">
        <f t="shared" si="48"/>
        <v>46</v>
      </c>
      <c r="J175" s="67">
        <f t="shared" si="52"/>
        <v>2036</v>
      </c>
      <c r="K175" s="71">
        <f t="shared" si="53"/>
        <v>49857</v>
      </c>
    </row>
    <row r="176" spans="2:11" hidden="1" outlineLevel="1">
      <c r="B176" s="71">
        <f t="shared" si="49"/>
        <v>49888</v>
      </c>
      <c r="C176" s="50">
        <v>-207681.88302415609</v>
      </c>
      <c r="D176" s="65">
        <f>IF(F176&lt;&gt;0,VLOOKUP($J176,'Table 1'!$B$13:$C$33,2,FALSE)/12*1000*Study_MW,0)</f>
        <v>725914.03909525939</v>
      </c>
      <c r="E176" s="65">
        <f t="shared" si="50"/>
        <v>518232.15607110329</v>
      </c>
      <c r="F176" s="50">
        <v>9817.59</v>
      </c>
      <c r="G176" s="69">
        <f t="shared" si="51"/>
        <v>52.786086613018398</v>
      </c>
      <c r="I176" s="70">
        <f t="shared" si="48"/>
        <v>47</v>
      </c>
      <c r="J176" s="67">
        <f t="shared" si="52"/>
        <v>2036</v>
      </c>
      <c r="K176" s="71">
        <f t="shared" si="53"/>
        <v>49888</v>
      </c>
    </row>
    <row r="177" spans="2:11" hidden="1" outlineLevel="1">
      <c r="B177" s="71">
        <f t="shared" si="49"/>
        <v>49919</v>
      </c>
      <c r="C177" s="50">
        <v>119182.66529005766</v>
      </c>
      <c r="D177" s="65">
        <f>IF(F177&lt;&gt;0,VLOOKUP($J177,'Table 1'!$B$13:$C$33,2,FALSE)/12*1000*Study_MW,0)</f>
        <v>725914.03909525939</v>
      </c>
      <c r="E177" s="65">
        <f t="shared" si="50"/>
        <v>845096.70438531705</v>
      </c>
      <c r="F177" s="50">
        <v>12664.17</v>
      </c>
      <c r="G177" s="69">
        <f t="shared" si="51"/>
        <v>66.731313965725121</v>
      </c>
      <c r="I177" s="70">
        <f t="shared" si="48"/>
        <v>48</v>
      </c>
      <c r="J177" s="67">
        <f t="shared" si="52"/>
        <v>2036</v>
      </c>
      <c r="K177" s="71">
        <f t="shared" si="53"/>
        <v>49919</v>
      </c>
    </row>
    <row r="178" spans="2:11" hidden="1" outlineLevel="1">
      <c r="B178" s="71">
        <f t="shared" si="49"/>
        <v>49949</v>
      </c>
      <c r="C178" s="50">
        <v>330152.5044875145</v>
      </c>
      <c r="D178" s="65">
        <f>IF(F178&lt;&gt;0,VLOOKUP($J178,'Table 1'!$B$13:$C$33,2,FALSE)/12*1000*Study_MW,0)</f>
        <v>725914.03909525939</v>
      </c>
      <c r="E178" s="65">
        <f t="shared" si="50"/>
        <v>1056066.5435827738</v>
      </c>
      <c r="F178" s="50">
        <v>17510.46</v>
      </c>
      <c r="G178" s="69">
        <f t="shared" si="51"/>
        <v>60.310611119455103</v>
      </c>
      <c r="I178" s="70">
        <f t="shared" si="48"/>
        <v>49</v>
      </c>
      <c r="J178" s="67">
        <f t="shared" si="52"/>
        <v>2036</v>
      </c>
      <c r="K178" s="71">
        <f t="shared" si="53"/>
        <v>49949</v>
      </c>
    </row>
    <row r="179" spans="2:11" hidden="1" outlineLevel="1">
      <c r="B179" s="71">
        <f t="shared" si="49"/>
        <v>49980</v>
      </c>
      <c r="C179" s="50">
        <v>339828.84414380789</v>
      </c>
      <c r="D179" s="65">
        <f>IF(F179&lt;&gt;0,VLOOKUP($J179,'Table 1'!$B$13:$C$33,2,FALSE)/12*1000*Study_MW,0)</f>
        <v>725914.03909525939</v>
      </c>
      <c r="E179" s="65">
        <f t="shared" si="50"/>
        <v>1065742.8832390672</v>
      </c>
      <c r="F179" s="50">
        <v>15238.97</v>
      </c>
      <c r="G179" s="69">
        <f t="shared" si="51"/>
        <v>69.935361985689795</v>
      </c>
      <c r="I179" s="70">
        <f t="shared" si="48"/>
        <v>50</v>
      </c>
      <c r="J179" s="67">
        <f t="shared" si="52"/>
        <v>2036</v>
      </c>
      <c r="K179" s="71">
        <f t="shared" si="53"/>
        <v>49980</v>
      </c>
    </row>
    <row r="180" spans="2:11" hidden="1" outlineLevel="1">
      <c r="B180" s="75">
        <f t="shared" si="49"/>
        <v>50010</v>
      </c>
      <c r="C180" s="72">
        <v>398820.65073180199</v>
      </c>
      <c r="D180" s="73">
        <f>IF(F180&lt;&gt;0,VLOOKUP($J180,'Table 1'!$B$13:$C$33,2,FALSE)/12*1000*Study_MW,0)</f>
        <v>725914.03909525939</v>
      </c>
      <c r="E180" s="73">
        <f t="shared" si="50"/>
        <v>1124734.6898270613</v>
      </c>
      <c r="F180" s="72">
        <v>15292.21</v>
      </c>
      <c r="G180" s="74">
        <f t="shared" si="51"/>
        <v>73.54951899215753</v>
      </c>
      <c r="I180" s="58">
        <f t="shared" si="48"/>
        <v>51</v>
      </c>
      <c r="J180" s="67">
        <f t="shared" si="52"/>
        <v>2036</v>
      </c>
      <c r="K180" s="75">
        <f t="shared" si="53"/>
        <v>50010</v>
      </c>
    </row>
    <row r="181" spans="2:11" collapsed="1">
      <c r="B181" s="68">
        <f t="shared" si="49"/>
        <v>50041</v>
      </c>
      <c r="C181" s="63">
        <v>651614.01482728124</v>
      </c>
      <c r="D181" s="64">
        <f>IF(F181&lt;&gt;0,VLOOKUP($J181,'Table 1'!$B$13:$C$33,2,FALSE)/12*1000*Study_MW,0)</f>
        <v>741558.34232910327</v>
      </c>
      <c r="E181" s="64">
        <f t="shared" si="50"/>
        <v>1393172.3571563845</v>
      </c>
      <c r="F181" s="63">
        <v>20908.240000000002</v>
      </c>
      <c r="G181" s="66">
        <f t="shared" si="51"/>
        <v>66.632693959720399</v>
      </c>
      <c r="I181" s="54">
        <f>I61</f>
        <v>53</v>
      </c>
      <c r="J181" s="67">
        <f t="shared" si="52"/>
        <v>2037</v>
      </c>
      <c r="K181" s="68">
        <f t="shared" si="53"/>
        <v>50041</v>
      </c>
    </row>
    <row r="182" spans="2:11">
      <c r="B182" s="71">
        <f t="shared" si="49"/>
        <v>50072</v>
      </c>
      <c r="C182" s="50">
        <v>549666.2967094183</v>
      </c>
      <c r="D182" s="65">
        <f>IF(F182&lt;&gt;0,VLOOKUP($J182,'Table 1'!$B$13:$C$33,2,FALSE)/12*1000*Study_MW,0)</f>
        <v>741558.34232910327</v>
      </c>
      <c r="E182" s="65">
        <f t="shared" si="50"/>
        <v>1291224.6390385216</v>
      </c>
      <c r="F182" s="50">
        <v>19864.38</v>
      </c>
      <c r="G182" s="69">
        <f t="shared" si="51"/>
        <v>65.002010585707765</v>
      </c>
      <c r="I182" s="70">
        <f t="shared" si="48"/>
        <v>54</v>
      </c>
      <c r="J182" s="67">
        <f t="shared" si="52"/>
        <v>2037</v>
      </c>
      <c r="K182" s="71">
        <f t="shared" si="53"/>
        <v>50072</v>
      </c>
    </row>
    <row r="183" spans="2:11">
      <c r="B183" s="71">
        <f t="shared" si="49"/>
        <v>50100</v>
      </c>
      <c r="C183" s="50">
        <v>376968.23588837683</v>
      </c>
      <c r="D183" s="65">
        <f>IF(F183&lt;&gt;0,VLOOKUP($J183,'Table 1'!$B$13:$C$33,2,FALSE)/12*1000*Study_MW,0)</f>
        <v>741558.34232910327</v>
      </c>
      <c r="E183" s="65">
        <f t="shared" si="50"/>
        <v>1118526.5782174801</v>
      </c>
      <c r="F183" s="50">
        <v>25268.5</v>
      </c>
      <c r="G183" s="69">
        <f t="shared" si="51"/>
        <v>44.265650047192359</v>
      </c>
      <c r="I183" s="70">
        <f t="shared" si="48"/>
        <v>55</v>
      </c>
      <c r="J183" s="67">
        <f t="shared" si="52"/>
        <v>2037</v>
      </c>
      <c r="K183" s="71">
        <f t="shared" si="53"/>
        <v>50100</v>
      </c>
    </row>
    <row r="184" spans="2:11">
      <c r="B184" s="71">
        <f t="shared" si="49"/>
        <v>50131</v>
      </c>
      <c r="C184" s="50">
        <v>228526.0742585659</v>
      </c>
      <c r="D184" s="65">
        <f>IF(F184&lt;&gt;0,VLOOKUP($J184,'Table 1'!$B$13:$C$33,2,FALSE)/12*1000*Study_MW,0)</f>
        <v>741558.34232910327</v>
      </c>
      <c r="E184" s="65">
        <f t="shared" si="50"/>
        <v>970084.41658766917</v>
      </c>
      <c r="F184" s="50">
        <v>20415.02</v>
      </c>
      <c r="G184" s="69">
        <f t="shared" si="51"/>
        <v>47.518171257616657</v>
      </c>
      <c r="I184" s="70">
        <f t="shared" si="48"/>
        <v>56</v>
      </c>
      <c r="J184" s="67">
        <f t="shared" si="52"/>
        <v>2037</v>
      </c>
      <c r="K184" s="71">
        <f t="shared" si="53"/>
        <v>50131</v>
      </c>
    </row>
    <row r="185" spans="2:11">
      <c r="B185" s="71">
        <f t="shared" si="49"/>
        <v>50161</v>
      </c>
      <c r="C185" s="50">
        <v>174342.44208244979</v>
      </c>
      <c r="D185" s="65">
        <f>IF(F185&lt;&gt;0,VLOOKUP($J185,'Table 1'!$B$13:$C$33,2,FALSE)/12*1000*Study_MW,0)</f>
        <v>741558.34232910327</v>
      </c>
      <c r="E185" s="65">
        <f t="shared" si="50"/>
        <v>915900.78441155306</v>
      </c>
      <c r="F185" s="50">
        <v>20545.48</v>
      </c>
      <c r="G185" s="69">
        <f t="shared" si="51"/>
        <v>44.579186488295875</v>
      </c>
      <c r="I185" s="70">
        <f t="shared" si="48"/>
        <v>57</v>
      </c>
      <c r="J185" s="67">
        <f t="shared" si="52"/>
        <v>2037</v>
      </c>
      <c r="K185" s="71">
        <f t="shared" si="53"/>
        <v>50161</v>
      </c>
    </row>
    <row r="186" spans="2:11">
      <c r="B186" s="71">
        <f t="shared" si="49"/>
        <v>50192</v>
      </c>
      <c r="C186" s="50">
        <v>90036.284211367369</v>
      </c>
      <c r="D186" s="65">
        <f>IF(F186&lt;&gt;0,VLOOKUP($J186,'Table 1'!$B$13:$C$33,2,FALSE)/12*1000*Study_MW,0)</f>
        <v>741558.34232910327</v>
      </c>
      <c r="E186" s="65">
        <f t="shared" si="50"/>
        <v>831594.62654047064</v>
      </c>
      <c r="F186" s="50">
        <v>16657.03</v>
      </c>
      <c r="G186" s="69">
        <f t="shared" si="51"/>
        <v>49.924543963748079</v>
      </c>
      <c r="I186" s="70">
        <f t="shared" si="48"/>
        <v>58</v>
      </c>
      <c r="J186" s="67">
        <f t="shared" si="52"/>
        <v>2037</v>
      </c>
      <c r="K186" s="71">
        <f t="shared" si="53"/>
        <v>50192</v>
      </c>
    </row>
    <row r="187" spans="2:11">
      <c r="B187" s="71">
        <f t="shared" si="49"/>
        <v>50222</v>
      </c>
      <c r="C187" s="50">
        <v>-101874.16259050369</v>
      </c>
      <c r="D187" s="65">
        <f>IF(F187&lt;&gt;0,VLOOKUP($J187,'Table 1'!$B$13:$C$33,2,FALSE)/12*1000*Study_MW,0)</f>
        <v>741558.34232910327</v>
      </c>
      <c r="E187" s="65">
        <f t="shared" si="50"/>
        <v>639684.17973859957</v>
      </c>
      <c r="F187" s="50">
        <v>12237.55</v>
      </c>
      <c r="G187" s="69">
        <f t="shared" si="51"/>
        <v>52.272242380100558</v>
      </c>
      <c r="I187" s="70">
        <f t="shared" si="48"/>
        <v>59</v>
      </c>
      <c r="J187" s="67">
        <f t="shared" si="52"/>
        <v>2037</v>
      </c>
      <c r="K187" s="71">
        <f t="shared" si="53"/>
        <v>50222</v>
      </c>
    </row>
    <row r="188" spans="2:11">
      <c r="B188" s="71">
        <f t="shared" si="49"/>
        <v>50253</v>
      </c>
      <c r="C188" s="50">
        <v>-216837.11485928297</v>
      </c>
      <c r="D188" s="65">
        <f>IF(F188&lt;&gt;0,VLOOKUP($J188,'Table 1'!$B$13:$C$33,2,FALSE)/12*1000*Study_MW,0)</f>
        <v>741558.34232910327</v>
      </c>
      <c r="E188" s="65">
        <f t="shared" si="50"/>
        <v>524721.2274698203</v>
      </c>
      <c r="F188" s="50">
        <v>9817.59</v>
      </c>
      <c r="G188" s="69">
        <f t="shared" si="51"/>
        <v>53.447050393204471</v>
      </c>
      <c r="I188" s="70">
        <f t="shared" si="48"/>
        <v>60</v>
      </c>
      <c r="J188" s="67">
        <f t="shared" si="52"/>
        <v>2037</v>
      </c>
      <c r="K188" s="71">
        <f t="shared" si="53"/>
        <v>50253</v>
      </c>
    </row>
    <row r="189" spans="2:11">
      <c r="B189" s="71">
        <f t="shared" si="49"/>
        <v>50284</v>
      </c>
      <c r="C189" s="50">
        <v>120142.24726876616</v>
      </c>
      <c r="D189" s="65">
        <f>IF(F189&lt;&gt;0,VLOOKUP($J189,'Table 1'!$B$13:$C$33,2,FALSE)/12*1000*Study_MW,0)</f>
        <v>741558.34232910327</v>
      </c>
      <c r="E189" s="65">
        <f t="shared" si="50"/>
        <v>861700.58959786943</v>
      </c>
      <c r="F189" s="50">
        <v>12664.17</v>
      </c>
      <c r="G189" s="69">
        <f t="shared" si="51"/>
        <v>68.042405431849815</v>
      </c>
      <c r="I189" s="70">
        <f t="shared" si="48"/>
        <v>61</v>
      </c>
      <c r="J189" s="67">
        <f t="shared" si="52"/>
        <v>2037</v>
      </c>
      <c r="K189" s="71">
        <f t="shared" si="53"/>
        <v>50284</v>
      </c>
    </row>
    <row r="190" spans="2:11">
      <c r="B190" s="71">
        <f t="shared" si="49"/>
        <v>50314</v>
      </c>
      <c r="C190" s="50">
        <v>323083.58291721344</v>
      </c>
      <c r="D190" s="65">
        <f>IF(F190&lt;&gt;0,VLOOKUP($J190,'Table 1'!$B$13:$C$33,2,FALSE)/12*1000*Study_MW,0)</f>
        <v>741558.34232910327</v>
      </c>
      <c r="E190" s="65">
        <f t="shared" si="50"/>
        <v>1064641.9252463167</v>
      </c>
      <c r="F190" s="50">
        <v>17510.46</v>
      </c>
      <c r="G190" s="69">
        <f t="shared" si="51"/>
        <v>60.800340210726432</v>
      </c>
      <c r="I190" s="70">
        <f t="shared" si="48"/>
        <v>62</v>
      </c>
      <c r="J190" s="67">
        <f t="shared" si="52"/>
        <v>2037</v>
      </c>
      <c r="K190" s="71">
        <f t="shared" si="53"/>
        <v>50314</v>
      </c>
    </row>
    <row r="191" spans="2:11">
      <c r="B191" s="71">
        <f t="shared" si="49"/>
        <v>50345</v>
      </c>
      <c r="C191" s="50">
        <v>348016.18562224507</v>
      </c>
      <c r="D191" s="65">
        <f>IF(F191&lt;&gt;0,VLOOKUP($J191,'Table 1'!$B$13:$C$33,2,FALSE)/12*1000*Study_MW,0)</f>
        <v>741558.34232910327</v>
      </c>
      <c r="E191" s="65">
        <f t="shared" si="50"/>
        <v>1089574.5279513483</v>
      </c>
      <c r="F191" s="50">
        <v>15238.97</v>
      </c>
      <c r="G191" s="69">
        <f t="shared" si="51"/>
        <v>71.499223894485539</v>
      </c>
      <c r="I191" s="70">
        <f t="shared" si="48"/>
        <v>63</v>
      </c>
      <c r="J191" s="67">
        <f t="shared" si="52"/>
        <v>2037</v>
      </c>
      <c r="K191" s="71">
        <f t="shared" si="53"/>
        <v>50345</v>
      </c>
    </row>
    <row r="192" spans="2:11">
      <c r="B192" s="75">
        <f t="shared" si="49"/>
        <v>50375</v>
      </c>
      <c r="C192" s="72">
        <v>376201.64147731662</v>
      </c>
      <c r="D192" s="73">
        <f>IF(F192&lt;&gt;0,VLOOKUP($J192,'Table 1'!$B$13:$C$33,2,FALSE)/12*1000*Study_MW,0)</f>
        <v>741558.34232910327</v>
      </c>
      <c r="E192" s="73">
        <f t="shared" si="50"/>
        <v>1117759.9838064199</v>
      </c>
      <c r="F192" s="72">
        <v>15292.21</v>
      </c>
      <c r="G192" s="74">
        <f t="shared" si="51"/>
        <v>73.093423632452073</v>
      </c>
      <c r="I192" s="58">
        <f t="shared" si="48"/>
        <v>64</v>
      </c>
      <c r="J192" s="67">
        <f t="shared" si="52"/>
        <v>2037</v>
      </c>
      <c r="K192" s="75">
        <f t="shared" si="53"/>
        <v>50375</v>
      </c>
    </row>
    <row r="193" spans="2:13" hidden="1" outlineLevel="1">
      <c r="B193" s="68">
        <f t="shared" si="49"/>
        <v>50406</v>
      </c>
      <c r="C193" s="63">
        <v>648466.12184646726</v>
      </c>
      <c r="D193" s="64">
        <f>IF(F193&lt;&gt;0,VLOOKUP($J193,'Table 1'!$B$13:$C$33,2,FALSE)/12*1000*Study_MW,0)</f>
        <v>757539.41138598509</v>
      </c>
      <c r="E193" s="64">
        <f t="shared" ref="E193:E216" si="54">C193+D193</f>
        <v>1406005.5332324523</v>
      </c>
      <c r="F193" s="63">
        <v>20908.240000000002</v>
      </c>
      <c r="G193" s="66">
        <f t="shared" ref="G193:G216" si="55">IF(ISNUMBER($F193),E193/$F193,"")</f>
        <v>67.246479533066974</v>
      </c>
      <c r="I193" s="54">
        <f>I73</f>
        <v>66</v>
      </c>
      <c r="J193" s="67">
        <f t="shared" ref="J193:J240" si="56">YEAR(B193)</f>
        <v>2038</v>
      </c>
      <c r="K193" s="68">
        <f t="shared" ref="K193:K240" si="57">IF(ISNUMBER(F193),IF(F193&lt;&gt;0,B193,""),"")</f>
        <v>50406</v>
      </c>
      <c r="M193" s="38">
        <f t="shared" ref="M193:M224" si="58">IRP21_Infl_Rate</f>
        <v>2.155E-2</v>
      </c>
    </row>
    <row r="194" spans="2:13" hidden="1" outlineLevel="1">
      <c r="B194" s="71">
        <f t="shared" si="49"/>
        <v>50437</v>
      </c>
      <c r="C194" s="50">
        <v>586979.7038551867</v>
      </c>
      <c r="D194" s="65">
        <f>IF(F194&lt;&gt;0,VLOOKUP($J194,'Table 1'!$B$13:$C$33,2,FALSE)/12*1000*Study_MW,0)</f>
        <v>757539.41138598509</v>
      </c>
      <c r="E194" s="65">
        <f t="shared" si="54"/>
        <v>1344519.1152411718</v>
      </c>
      <c r="F194" s="50">
        <v>19864.38</v>
      </c>
      <c r="G194" s="69">
        <f t="shared" si="55"/>
        <v>67.684927253766375</v>
      </c>
      <c r="I194" s="70">
        <f t="shared" si="48"/>
        <v>67</v>
      </c>
      <c r="J194" s="67">
        <f t="shared" si="56"/>
        <v>2038</v>
      </c>
      <c r="K194" s="71">
        <f t="shared" si="57"/>
        <v>50437</v>
      </c>
      <c r="M194" s="38">
        <f t="shared" si="58"/>
        <v>2.155E-2</v>
      </c>
    </row>
    <row r="195" spans="2:13" hidden="1" outlineLevel="1">
      <c r="B195" s="71">
        <f t="shared" si="49"/>
        <v>50465</v>
      </c>
      <c r="C195" s="50">
        <v>323183.74997861683</v>
      </c>
      <c r="D195" s="65">
        <f>IF(F195&lt;&gt;0,VLOOKUP($J195,'Table 1'!$B$13:$C$33,2,FALSE)/12*1000*Study_MW,0)</f>
        <v>757539.41138598509</v>
      </c>
      <c r="E195" s="65">
        <f t="shared" si="54"/>
        <v>1080723.1613646019</v>
      </c>
      <c r="F195" s="50">
        <v>25268.5</v>
      </c>
      <c r="G195" s="69">
        <f t="shared" si="55"/>
        <v>42.76958115300085</v>
      </c>
      <c r="I195" s="70">
        <f t="shared" si="48"/>
        <v>68</v>
      </c>
      <c r="J195" s="67">
        <f t="shared" si="56"/>
        <v>2038</v>
      </c>
      <c r="K195" s="71">
        <f t="shared" si="57"/>
        <v>50465</v>
      </c>
      <c r="M195" s="38">
        <f t="shared" si="58"/>
        <v>2.155E-2</v>
      </c>
    </row>
    <row r="196" spans="2:13" hidden="1" outlineLevel="1">
      <c r="B196" s="71">
        <f t="shared" si="49"/>
        <v>50496</v>
      </c>
      <c r="C196" s="50">
        <v>229120.94960010052</v>
      </c>
      <c r="D196" s="65">
        <f>IF(F196&lt;&gt;0,VLOOKUP($J196,'Table 1'!$B$13:$C$33,2,FALSE)/12*1000*Study_MW,0)</f>
        <v>757539.41138598509</v>
      </c>
      <c r="E196" s="65">
        <f t="shared" si="54"/>
        <v>986660.36098608561</v>
      </c>
      <c r="F196" s="50">
        <v>20415.02</v>
      </c>
      <c r="G196" s="69">
        <f t="shared" si="55"/>
        <v>48.330119734689731</v>
      </c>
      <c r="I196" s="70">
        <f t="shared" si="48"/>
        <v>69</v>
      </c>
      <c r="J196" s="67">
        <f t="shared" si="56"/>
        <v>2038</v>
      </c>
      <c r="K196" s="71">
        <f t="shared" si="57"/>
        <v>50496</v>
      </c>
      <c r="M196" s="38">
        <f t="shared" si="58"/>
        <v>2.155E-2</v>
      </c>
    </row>
    <row r="197" spans="2:13" hidden="1" outlineLevel="1">
      <c r="B197" s="71">
        <f t="shared" si="49"/>
        <v>50526</v>
      </c>
      <c r="C197" s="50">
        <v>189885.80271200836</v>
      </c>
      <c r="D197" s="65">
        <f>IF(F197&lt;&gt;0,VLOOKUP($J197,'Table 1'!$B$13:$C$33,2,FALSE)/12*1000*Study_MW,0)</f>
        <v>757539.41138598509</v>
      </c>
      <c r="E197" s="65">
        <f t="shared" si="54"/>
        <v>947425.21409799345</v>
      </c>
      <c r="F197" s="50">
        <v>20545.48</v>
      </c>
      <c r="G197" s="69">
        <f t="shared" si="55"/>
        <v>46.113559483545451</v>
      </c>
      <c r="I197" s="70">
        <f t="shared" si="48"/>
        <v>70</v>
      </c>
      <c r="J197" s="67">
        <f t="shared" si="56"/>
        <v>2038</v>
      </c>
      <c r="K197" s="71">
        <f t="shared" si="57"/>
        <v>50526</v>
      </c>
      <c r="M197" s="38">
        <f t="shared" si="58"/>
        <v>2.155E-2</v>
      </c>
    </row>
    <row r="198" spans="2:13" hidden="1" outlineLevel="1">
      <c r="B198" s="71">
        <f t="shared" si="49"/>
        <v>50557</v>
      </c>
      <c r="C198" s="50">
        <v>87850.631818667054</v>
      </c>
      <c r="D198" s="65">
        <f>IF(F198&lt;&gt;0,VLOOKUP($J198,'Table 1'!$B$13:$C$33,2,FALSE)/12*1000*Study_MW,0)</f>
        <v>757539.41138598509</v>
      </c>
      <c r="E198" s="65">
        <f t="shared" si="54"/>
        <v>845390.04320465215</v>
      </c>
      <c r="F198" s="50">
        <v>16657.03</v>
      </c>
      <c r="G198" s="69">
        <f t="shared" si="55"/>
        <v>50.752747831075062</v>
      </c>
      <c r="I198" s="70">
        <f t="shared" ref="I198:I204" si="59">I78</f>
        <v>71</v>
      </c>
      <c r="J198" s="67">
        <f t="shared" si="56"/>
        <v>2038</v>
      </c>
      <c r="K198" s="71">
        <f t="shared" si="57"/>
        <v>50557</v>
      </c>
      <c r="M198" s="38">
        <f t="shared" si="58"/>
        <v>2.155E-2</v>
      </c>
    </row>
    <row r="199" spans="2:13" hidden="1" outlineLevel="1">
      <c r="B199" s="71">
        <f t="shared" si="49"/>
        <v>50587</v>
      </c>
      <c r="C199" s="50">
        <v>-85925.764304697514</v>
      </c>
      <c r="D199" s="65">
        <f>IF(F199&lt;&gt;0,VLOOKUP($J199,'Table 1'!$B$13:$C$33,2,FALSE)/12*1000*Study_MW,0)</f>
        <v>757539.41138598509</v>
      </c>
      <c r="E199" s="65">
        <f t="shared" si="54"/>
        <v>671613.64708128758</v>
      </c>
      <c r="F199" s="50">
        <v>12237.55</v>
      </c>
      <c r="G199" s="69">
        <f t="shared" si="55"/>
        <v>54.881381247168562</v>
      </c>
      <c r="I199" s="70">
        <f t="shared" si="59"/>
        <v>72</v>
      </c>
      <c r="J199" s="67">
        <f t="shared" si="56"/>
        <v>2038</v>
      </c>
      <c r="K199" s="71">
        <f t="shared" si="57"/>
        <v>50587</v>
      </c>
      <c r="M199" s="38">
        <f t="shared" si="58"/>
        <v>2.155E-2</v>
      </c>
    </row>
    <row r="200" spans="2:13" hidden="1" outlineLevel="1">
      <c r="B200" s="71">
        <f t="shared" si="49"/>
        <v>50618</v>
      </c>
      <c r="C200" s="50">
        <v>-253511.17651450634</v>
      </c>
      <c r="D200" s="65">
        <f>IF(F200&lt;&gt;0,VLOOKUP($J200,'Table 1'!$B$13:$C$33,2,FALSE)/12*1000*Study_MW,0)</f>
        <v>757539.41138598509</v>
      </c>
      <c r="E200" s="65">
        <f t="shared" si="54"/>
        <v>504028.23487147875</v>
      </c>
      <c r="F200" s="50">
        <v>9817.59</v>
      </c>
      <c r="G200" s="69">
        <f t="shared" si="55"/>
        <v>51.339303726421527</v>
      </c>
      <c r="I200" s="70">
        <f t="shared" si="59"/>
        <v>73</v>
      </c>
      <c r="J200" s="67">
        <f t="shared" si="56"/>
        <v>2038</v>
      </c>
      <c r="K200" s="71">
        <f t="shared" si="57"/>
        <v>50618</v>
      </c>
      <c r="M200" s="38">
        <f t="shared" si="58"/>
        <v>2.155E-2</v>
      </c>
    </row>
    <row r="201" spans="2:13" hidden="1" outlineLevel="1">
      <c r="B201" s="71">
        <f t="shared" si="49"/>
        <v>50649</v>
      </c>
      <c r="C201" s="50">
        <v>112022.6252450645</v>
      </c>
      <c r="D201" s="65">
        <f>IF(F201&lt;&gt;0,VLOOKUP($J201,'Table 1'!$B$13:$C$33,2,FALSE)/12*1000*Study_MW,0)</f>
        <v>757539.41138598509</v>
      </c>
      <c r="E201" s="65">
        <f t="shared" si="54"/>
        <v>869562.03663104959</v>
      </c>
      <c r="F201" s="50">
        <v>12664.17</v>
      </c>
      <c r="G201" s="69">
        <f t="shared" si="55"/>
        <v>68.663168342737791</v>
      </c>
      <c r="I201" s="70">
        <f t="shared" si="59"/>
        <v>74</v>
      </c>
      <c r="J201" s="67">
        <f t="shared" si="56"/>
        <v>2038</v>
      </c>
      <c r="K201" s="71">
        <f t="shared" si="57"/>
        <v>50649</v>
      </c>
      <c r="M201" s="38">
        <f t="shared" si="58"/>
        <v>2.155E-2</v>
      </c>
    </row>
    <row r="202" spans="2:13" hidden="1" outlineLevel="1">
      <c r="B202" s="71">
        <f t="shared" si="49"/>
        <v>50679</v>
      </c>
      <c r="C202" s="50">
        <v>311082.45551511645</v>
      </c>
      <c r="D202" s="65">
        <f>IF(F202&lt;&gt;0,VLOOKUP($J202,'Table 1'!$B$13:$C$33,2,FALSE)/12*1000*Study_MW,0)</f>
        <v>757539.41138598509</v>
      </c>
      <c r="E202" s="65">
        <f t="shared" si="54"/>
        <v>1068621.8669011015</v>
      </c>
      <c r="F202" s="50">
        <v>17510.46</v>
      </c>
      <c r="G202" s="69">
        <f t="shared" si="55"/>
        <v>61.027629594031318</v>
      </c>
      <c r="I202" s="70">
        <f t="shared" si="59"/>
        <v>75</v>
      </c>
      <c r="J202" s="67">
        <f t="shared" si="56"/>
        <v>2038</v>
      </c>
      <c r="K202" s="71">
        <f t="shared" si="57"/>
        <v>50679</v>
      </c>
      <c r="M202" s="38">
        <f t="shared" si="58"/>
        <v>2.155E-2</v>
      </c>
    </row>
    <row r="203" spans="2:13" hidden="1" outlineLevel="1">
      <c r="B203" s="71">
        <f t="shared" si="49"/>
        <v>50710</v>
      </c>
      <c r="C203" s="50">
        <v>345837.60625624657</v>
      </c>
      <c r="D203" s="65">
        <f>IF(F203&lt;&gt;0,VLOOKUP($J203,'Table 1'!$B$13:$C$33,2,FALSE)/12*1000*Study_MW,0)</f>
        <v>757539.41138598509</v>
      </c>
      <c r="E203" s="65">
        <f t="shared" si="54"/>
        <v>1103377.0176422317</v>
      </c>
      <c r="F203" s="50">
        <v>15238.97</v>
      </c>
      <c r="G203" s="69">
        <f t="shared" si="55"/>
        <v>72.404960285520062</v>
      </c>
      <c r="I203" s="70">
        <f t="shared" si="59"/>
        <v>76</v>
      </c>
      <c r="J203" s="67">
        <f t="shared" si="56"/>
        <v>2038</v>
      </c>
      <c r="K203" s="71">
        <f t="shared" si="57"/>
        <v>50710</v>
      </c>
      <c r="M203" s="38">
        <f t="shared" si="58"/>
        <v>2.155E-2</v>
      </c>
    </row>
    <row r="204" spans="2:13" hidden="1" outlineLevel="1">
      <c r="B204" s="75">
        <f t="shared" si="49"/>
        <v>50740</v>
      </c>
      <c r="C204" s="72">
        <v>368196.99261003733</v>
      </c>
      <c r="D204" s="73">
        <f>IF(F204&lt;&gt;0,VLOOKUP($J204,'Table 1'!$B$13:$C$33,2,FALSE)/12*1000*Study_MW,0)</f>
        <v>757539.41138598509</v>
      </c>
      <c r="E204" s="73">
        <f t="shared" si="54"/>
        <v>1125736.4039960224</v>
      </c>
      <c r="F204" s="72">
        <v>15292.21</v>
      </c>
      <c r="G204" s="74">
        <f t="shared" si="55"/>
        <v>73.615023858292716</v>
      </c>
      <c r="I204" s="58">
        <f t="shared" si="59"/>
        <v>77</v>
      </c>
      <c r="J204" s="67">
        <f t="shared" si="56"/>
        <v>2038</v>
      </c>
      <c r="K204" s="75">
        <f t="shared" si="57"/>
        <v>50740</v>
      </c>
      <c r="M204" s="38">
        <f t="shared" si="58"/>
        <v>2.155E-2</v>
      </c>
    </row>
    <row r="205" spans="2:13" hidden="1" outlineLevel="1">
      <c r="B205" s="68">
        <f t="shared" si="49"/>
        <v>50771</v>
      </c>
      <c r="C205" s="63">
        <v>659699.77974617481</v>
      </c>
      <c r="D205" s="64">
        <f>IF(F205&lt;&gt;0,VLOOKUP($J205,'Table 1'!$B$13:$C$33,2,FALSE)/12*1000*Study_MW,0)</f>
        <v>773857.24626590475</v>
      </c>
      <c r="E205" s="64">
        <f t="shared" si="54"/>
        <v>1433557.0260120796</v>
      </c>
      <c r="F205" s="63">
        <v>20908.240000000002</v>
      </c>
      <c r="G205" s="66">
        <f t="shared" si="55"/>
        <v>68.56421324856035</v>
      </c>
      <c r="I205" s="54">
        <f>I85</f>
        <v>79</v>
      </c>
      <c r="J205" s="67">
        <f t="shared" si="56"/>
        <v>2039</v>
      </c>
      <c r="K205" s="68">
        <f t="shared" si="57"/>
        <v>50771</v>
      </c>
      <c r="M205" s="38">
        <f t="shared" si="58"/>
        <v>2.155E-2</v>
      </c>
    </row>
    <row r="206" spans="2:13" hidden="1" outlineLevel="1">
      <c r="B206" s="71">
        <f t="shared" ref="B206:B240" si="60">EDATE(B205,1)</f>
        <v>50802</v>
      </c>
      <c r="C206" s="50">
        <v>571299.61836206913</v>
      </c>
      <c r="D206" s="65">
        <f>IF(F206&lt;&gt;0,VLOOKUP($J206,'Table 1'!$B$13:$C$33,2,FALSE)/12*1000*Study_MW,0)</f>
        <v>773857.24626590475</v>
      </c>
      <c r="E206" s="65">
        <f t="shared" si="54"/>
        <v>1345156.8646279739</v>
      </c>
      <c r="F206" s="50">
        <v>19864.38</v>
      </c>
      <c r="G206" s="69">
        <f t="shared" si="55"/>
        <v>67.717032428294957</v>
      </c>
      <c r="I206" s="70">
        <f t="shared" ref="I206:I216" si="61">I86</f>
        <v>80</v>
      </c>
      <c r="J206" s="67">
        <f t="shared" si="56"/>
        <v>2039</v>
      </c>
      <c r="K206" s="71">
        <f t="shared" si="57"/>
        <v>50802</v>
      </c>
      <c r="M206" s="38">
        <f t="shared" si="58"/>
        <v>2.155E-2</v>
      </c>
    </row>
    <row r="207" spans="2:13" hidden="1" outlineLevel="1">
      <c r="B207" s="71">
        <f t="shared" si="60"/>
        <v>50830</v>
      </c>
      <c r="C207" s="50">
        <v>338652.04446840286</v>
      </c>
      <c r="D207" s="65">
        <f>IF(F207&lt;&gt;0,VLOOKUP($J207,'Table 1'!$B$13:$C$33,2,FALSE)/12*1000*Study_MW,0)</f>
        <v>773857.24626590475</v>
      </c>
      <c r="E207" s="65">
        <f t="shared" si="54"/>
        <v>1112509.2907343076</v>
      </c>
      <c r="F207" s="50">
        <v>25268.5</v>
      </c>
      <c r="G207" s="69">
        <f t="shared" si="55"/>
        <v>44.027516106389676</v>
      </c>
      <c r="I207" s="70">
        <f t="shared" si="61"/>
        <v>81</v>
      </c>
      <c r="J207" s="67">
        <f t="shared" si="56"/>
        <v>2039</v>
      </c>
      <c r="K207" s="71">
        <f t="shared" si="57"/>
        <v>50830</v>
      </c>
      <c r="M207" s="38">
        <f t="shared" si="58"/>
        <v>2.155E-2</v>
      </c>
    </row>
    <row r="208" spans="2:13" hidden="1" outlineLevel="1">
      <c r="B208" s="71">
        <f t="shared" si="60"/>
        <v>50861</v>
      </c>
      <c r="C208" s="50">
        <v>222841.20208010077</v>
      </c>
      <c r="D208" s="65">
        <f>IF(F208&lt;&gt;0,VLOOKUP($J208,'Table 1'!$B$13:$C$33,2,FALSE)/12*1000*Study_MW,0)</f>
        <v>773857.24626590475</v>
      </c>
      <c r="E208" s="65">
        <f t="shared" si="54"/>
        <v>996698.44834600552</v>
      </c>
      <c r="F208" s="50">
        <v>20415.02</v>
      </c>
      <c r="G208" s="69">
        <f t="shared" si="55"/>
        <v>48.82182081359732</v>
      </c>
      <c r="I208" s="70">
        <f t="shared" si="61"/>
        <v>82</v>
      </c>
      <c r="J208" s="67">
        <f t="shared" si="56"/>
        <v>2039</v>
      </c>
      <c r="K208" s="71">
        <f t="shared" si="57"/>
        <v>50861</v>
      </c>
      <c r="M208" s="38">
        <f t="shared" si="58"/>
        <v>2.155E-2</v>
      </c>
    </row>
    <row r="209" spans="2:13" hidden="1" outlineLevel="1">
      <c r="B209" s="71">
        <f t="shared" si="60"/>
        <v>50891</v>
      </c>
      <c r="C209" s="50">
        <v>226144.43913260102</v>
      </c>
      <c r="D209" s="65">
        <f>IF(F209&lt;&gt;0,VLOOKUP($J209,'Table 1'!$B$13:$C$33,2,FALSE)/12*1000*Study_MW,0)</f>
        <v>773857.24626590475</v>
      </c>
      <c r="E209" s="65">
        <f t="shared" si="54"/>
        <v>1000001.6853985058</v>
      </c>
      <c r="F209" s="50">
        <v>20545.48</v>
      </c>
      <c r="G209" s="69">
        <f t="shared" si="55"/>
        <v>48.67258810203051</v>
      </c>
      <c r="I209" s="70">
        <f t="shared" si="61"/>
        <v>83</v>
      </c>
      <c r="J209" s="67">
        <f t="shared" si="56"/>
        <v>2039</v>
      </c>
      <c r="K209" s="71">
        <f t="shared" si="57"/>
        <v>50891</v>
      </c>
      <c r="M209" s="38">
        <f t="shared" si="58"/>
        <v>2.155E-2</v>
      </c>
    </row>
    <row r="210" spans="2:13" hidden="1" outlineLevel="1">
      <c r="B210" s="71">
        <f t="shared" si="60"/>
        <v>50922</v>
      </c>
      <c r="C210" s="50">
        <v>100064.69539144635</v>
      </c>
      <c r="D210" s="65">
        <f>IF(F210&lt;&gt;0,VLOOKUP($J210,'Table 1'!$B$13:$C$33,2,FALSE)/12*1000*Study_MW,0)</f>
        <v>773857.24626590475</v>
      </c>
      <c r="E210" s="65">
        <f t="shared" si="54"/>
        <v>873921.9416573511</v>
      </c>
      <c r="F210" s="50">
        <v>16657.03</v>
      </c>
      <c r="G210" s="69">
        <f t="shared" si="55"/>
        <v>52.46565213950813</v>
      </c>
      <c r="I210" s="70">
        <f t="shared" si="61"/>
        <v>84</v>
      </c>
      <c r="J210" s="67">
        <f t="shared" si="56"/>
        <v>2039</v>
      </c>
      <c r="K210" s="71">
        <f t="shared" si="57"/>
        <v>50922</v>
      </c>
      <c r="M210" s="38">
        <f t="shared" si="58"/>
        <v>2.155E-2</v>
      </c>
    </row>
    <row r="211" spans="2:13" hidden="1" outlineLevel="1">
      <c r="B211" s="71">
        <f t="shared" si="60"/>
        <v>50952</v>
      </c>
      <c r="C211" s="50">
        <v>-93317.623899638653</v>
      </c>
      <c r="D211" s="65">
        <f>IF(F211&lt;&gt;0,VLOOKUP($J211,'Table 1'!$B$13:$C$33,2,FALSE)/12*1000*Study_MW,0)</f>
        <v>773857.24626590475</v>
      </c>
      <c r="E211" s="65">
        <f t="shared" si="54"/>
        <v>680539.62236626609</v>
      </c>
      <c r="F211" s="50">
        <v>12237.55</v>
      </c>
      <c r="G211" s="69">
        <f t="shared" si="55"/>
        <v>55.61077359163118</v>
      </c>
      <c r="I211" s="70">
        <f t="shared" si="61"/>
        <v>85</v>
      </c>
      <c r="J211" s="67">
        <f t="shared" si="56"/>
        <v>2039</v>
      </c>
      <c r="K211" s="71">
        <f t="shared" si="57"/>
        <v>50952</v>
      </c>
      <c r="M211" s="38">
        <f t="shared" si="58"/>
        <v>2.155E-2</v>
      </c>
    </row>
    <row r="212" spans="2:13" hidden="1" outlineLevel="1">
      <c r="B212" s="71">
        <f t="shared" si="60"/>
        <v>50983</v>
      </c>
      <c r="C212" s="50">
        <v>-209775.65596133471</v>
      </c>
      <c r="D212" s="65">
        <f>IF(F212&lt;&gt;0,VLOOKUP($J212,'Table 1'!$B$13:$C$33,2,FALSE)/12*1000*Study_MW,0)</f>
        <v>773857.24626590475</v>
      </c>
      <c r="E212" s="65">
        <f t="shared" si="54"/>
        <v>564081.59030457004</v>
      </c>
      <c r="F212" s="50">
        <v>9817.59</v>
      </c>
      <c r="G212" s="69">
        <f t="shared" si="55"/>
        <v>57.456217901192659</v>
      </c>
      <c r="I212" s="70">
        <f t="shared" si="61"/>
        <v>86</v>
      </c>
      <c r="J212" s="67">
        <f t="shared" si="56"/>
        <v>2039</v>
      </c>
      <c r="K212" s="71">
        <f t="shared" si="57"/>
        <v>50983</v>
      </c>
      <c r="M212" s="38">
        <f t="shared" si="58"/>
        <v>2.155E-2</v>
      </c>
    </row>
    <row r="213" spans="2:13" hidden="1" outlineLevel="1">
      <c r="B213" s="71">
        <f t="shared" si="60"/>
        <v>51014</v>
      </c>
      <c r="C213" s="50">
        <v>90037.180473476648</v>
      </c>
      <c r="D213" s="65">
        <f>IF(F213&lt;&gt;0,VLOOKUP($J213,'Table 1'!$B$13:$C$33,2,FALSE)/12*1000*Study_MW,0)</f>
        <v>773857.24626590475</v>
      </c>
      <c r="E213" s="65">
        <f t="shared" si="54"/>
        <v>863894.42673938139</v>
      </c>
      <c r="F213" s="50">
        <v>12664.17</v>
      </c>
      <c r="G213" s="69">
        <f t="shared" si="55"/>
        <v>68.215637245818826</v>
      </c>
      <c r="I213" s="70">
        <f t="shared" si="61"/>
        <v>87</v>
      </c>
      <c r="J213" s="67">
        <f t="shared" si="56"/>
        <v>2039</v>
      </c>
      <c r="K213" s="71">
        <f t="shared" si="57"/>
        <v>51014</v>
      </c>
      <c r="M213" s="38">
        <f t="shared" si="58"/>
        <v>2.155E-2</v>
      </c>
    </row>
    <row r="214" spans="2:13" hidden="1" outlineLevel="1">
      <c r="B214" s="71">
        <f t="shared" si="60"/>
        <v>51044</v>
      </c>
      <c r="C214" s="50">
        <v>344746.79555743933</v>
      </c>
      <c r="D214" s="65">
        <f>IF(F214&lt;&gt;0,VLOOKUP($J214,'Table 1'!$B$13:$C$33,2,FALSE)/12*1000*Study_MW,0)</f>
        <v>773857.24626590475</v>
      </c>
      <c r="E214" s="65">
        <f t="shared" si="54"/>
        <v>1118604.0418233441</v>
      </c>
      <c r="F214" s="50">
        <v>17510.46</v>
      </c>
      <c r="G214" s="69">
        <f t="shared" si="55"/>
        <v>63.882047748793816</v>
      </c>
      <c r="I214" s="70">
        <f t="shared" si="61"/>
        <v>88</v>
      </c>
      <c r="J214" s="67">
        <f t="shared" si="56"/>
        <v>2039</v>
      </c>
      <c r="K214" s="71">
        <f t="shared" si="57"/>
        <v>51044</v>
      </c>
      <c r="M214" s="38">
        <f t="shared" si="58"/>
        <v>2.155E-2</v>
      </c>
    </row>
    <row r="215" spans="2:13" hidden="1" outlineLevel="1">
      <c r="B215" s="71">
        <f t="shared" si="60"/>
        <v>51075</v>
      </c>
      <c r="C215" s="50">
        <v>369564.24755775928</v>
      </c>
      <c r="D215" s="65">
        <f>IF(F215&lt;&gt;0,VLOOKUP($J215,'Table 1'!$B$13:$C$33,2,FALSE)/12*1000*Study_MW,0)</f>
        <v>773857.24626590475</v>
      </c>
      <c r="E215" s="65">
        <f t="shared" si="54"/>
        <v>1143421.493823664</v>
      </c>
      <c r="F215" s="50">
        <v>15238.97</v>
      </c>
      <c r="G215" s="69">
        <f t="shared" si="55"/>
        <v>75.032728184625611</v>
      </c>
      <c r="I215" s="70">
        <f t="shared" si="61"/>
        <v>89</v>
      </c>
      <c r="J215" s="67">
        <f t="shared" si="56"/>
        <v>2039</v>
      </c>
      <c r="K215" s="71">
        <f t="shared" si="57"/>
        <v>51075</v>
      </c>
      <c r="M215" s="38">
        <f t="shared" si="58"/>
        <v>2.155E-2</v>
      </c>
    </row>
    <row r="216" spans="2:13" hidden="1" outlineLevel="1">
      <c r="B216" s="75">
        <f t="shared" si="60"/>
        <v>51105</v>
      </c>
      <c r="C216" s="72">
        <v>405441.76020014286</v>
      </c>
      <c r="D216" s="73">
        <f>IF(F216&lt;&gt;0,VLOOKUP($J216,'Table 1'!$B$13:$C$33,2,FALSE)/12*1000*Study_MW,0)</f>
        <v>773857.24626590475</v>
      </c>
      <c r="E216" s="73">
        <f t="shared" si="54"/>
        <v>1179299.0064660476</v>
      </c>
      <c r="F216" s="72">
        <v>15292.21</v>
      </c>
      <c r="G216" s="74">
        <f t="shared" si="55"/>
        <v>77.117630902665326</v>
      </c>
      <c r="I216" s="58">
        <f t="shared" si="61"/>
        <v>90</v>
      </c>
      <c r="J216" s="67">
        <f t="shared" si="56"/>
        <v>2039</v>
      </c>
      <c r="K216" s="75">
        <f t="shared" si="57"/>
        <v>51105</v>
      </c>
      <c r="M216" s="38">
        <f t="shared" si="58"/>
        <v>2.155E-2</v>
      </c>
    </row>
    <row r="217" spans="2:13" hidden="1" outlineLevel="1">
      <c r="B217" s="68">
        <f t="shared" si="60"/>
        <v>51136</v>
      </c>
      <c r="C217" s="63">
        <v>723450.6775803566</v>
      </c>
      <c r="D217" s="64">
        <f>IF(F217&lt;&gt;0,VLOOKUP($J217,'Table 1'!$B$13:$C$33,2,FALSE)/12*1000*Study_MW,0)</f>
        <v>790511.84696886211</v>
      </c>
      <c r="E217" s="64">
        <f t="shared" ref="E217:E240" si="62">C217+D217</f>
        <v>1513962.5245492188</v>
      </c>
      <c r="F217" s="63">
        <v>20908.240000000002</v>
      </c>
      <c r="G217" s="66">
        <f t="shared" ref="G217:G240" si="63">IF(ISNUMBER($F217),E217/$F217,"")</f>
        <v>72.409850114080314</v>
      </c>
      <c r="I217" s="54">
        <f>I97</f>
        <v>92</v>
      </c>
      <c r="J217" s="67">
        <f t="shared" si="56"/>
        <v>2040</v>
      </c>
      <c r="K217" s="68">
        <f t="shared" si="57"/>
        <v>51136</v>
      </c>
      <c r="M217" s="38">
        <f t="shared" si="58"/>
        <v>2.155E-2</v>
      </c>
    </row>
    <row r="218" spans="2:13" hidden="1" outlineLevel="1">
      <c r="B218" s="71">
        <f t="shared" si="60"/>
        <v>51167</v>
      </c>
      <c r="C218" s="50">
        <v>556458.45547360182</v>
      </c>
      <c r="D218" s="65">
        <f>IF(F218&lt;&gt;0,VLOOKUP($J218,'Table 1'!$B$13:$C$33,2,FALSE)/12*1000*Study_MW,0)</f>
        <v>790511.84696886211</v>
      </c>
      <c r="E218" s="65">
        <f t="shared" si="62"/>
        <v>1346970.302442464</v>
      </c>
      <c r="F218" s="50">
        <v>20489.900000000001</v>
      </c>
      <c r="G218" s="69">
        <f t="shared" si="63"/>
        <v>65.738256528458606</v>
      </c>
      <c r="I218" s="70">
        <f t="shared" ref="I218:I228" si="64">I98</f>
        <v>93</v>
      </c>
      <c r="J218" s="67">
        <f t="shared" si="56"/>
        <v>2040</v>
      </c>
      <c r="K218" s="71">
        <f t="shared" si="57"/>
        <v>51167</v>
      </c>
      <c r="M218" s="38">
        <f t="shared" si="58"/>
        <v>2.155E-2</v>
      </c>
    </row>
    <row r="219" spans="2:13" hidden="1" outlineLevel="1">
      <c r="B219" s="71">
        <f t="shared" si="60"/>
        <v>51196</v>
      </c>
      <c r="C219" s="50">
        <v>409327.00907790661</v>
      </c>
      <c r="D219" s="65">
        <f>IF(F219&lt;&gt;0,VLOOKUP($J219,'Table 1'!$B$13:$C$33,2,FALSE)/12*1000*Study_MW,0)</f>
        <v>790511.84696886211</v>
      </c>
      <c r="E219" s="65">
        <f t="shared" si="62"/>
        <v>1199838.8560467688</v>
      </c>
      <c r="F219" s="50">
        <v>25268.5</v>
      </c>
      <c r="G219" s="69">
        <f t="shared" si="63"/>
        <v>47.483580586373108</v>
      </c>
      <c r="I219" s="70">
        <f t="shared" si="64"/>
        <v>94</v>
      </c>
      <c r="J219" s="67">
        <f t="shared" si="56"/>
        <v>2040</v>
      </c>
      <c r="K219" s="71">
        <f t="shared" si="57"/>
        <v>51196</v>
      </c>
      <c r="M219" s="38">
        <f t="shared" si="58"/>
        <v>2.155E-2</v>
      </c>
    </row>
    <row r="220" spans="2:13" hidden="1" outlineLevel="1">
      <c r="B220" s="71">
        <f t="shared" si="60"/>
        <v>51227</v>
      </c>
      <c r="C220" s="50">
        <v>233851.83392465115</v>
      </c>
      <c r="D220" s="65">
        <f>IF(F220&lt;&gt;0,VLOOKUP($J220,'Table 1'!$B$13:$C$33,2,FALSE)/12*1000*Study_MW,0)</f>
        <v>790511.84696886211</v>
      </c>
      <c r="E220" s="65">
        <f t="shared" si="62"/>
        <v>1024363.6808935133</v>
      </c>
      <c r="F220" s="50">
        <v>20415.02</v>
      </c>
      <c r="G220" s="69">
        <f t="shared" si="63"/>
        <v>50.176961908120255</v>
      </c>
      <c r="I220" s="70">
        <f t="shared" si="64"/>
        <v>95</v>
      </c>
      <c r="J220" s="67">
        <f t="shared" si="56"/>
        <v>2040</v>
      </c>
      <c r="K220" s="71">
        <f t="shared" si="57"/>
        <v>51227</v>
      </c>
      <c r="M220" s="38">
        <f t="shared" si="58"/>
        <v>2.155E-2</v>
      </c>
    </row>
    <row r="221" spans="2:13" hidden="1" outlineLevel="1">
      <c r="B221" s="71">
        <f t="shared" si="60"/>
        <v>51257</v>
      </c>
      <c r="C221" s="50">
        <v>216901.70941451192</v>
      </c>
      <c r="D221" s="65">
        <f>IF(F221&lt;&gt;0,VLOOKUP($J221,'Table 1'!$B$13:$C$33,2,FALSE)/12*1000*Study_MW,0)</f>
        <v>790511.84696886211</v>
      </c>
      <c r="E221" s="65">
        <f t="shared" si="62"/>
        <v>1007413.556383374</v>
      </c>
      <c r="F221" s="50">
        <v>20545.48</v>
      </c>
      <c r="G221" s="69">
        <f t="shared" si="63"/>
        <v>49.033342437527573</v>
      </c>
      <c r="I221" s="70">
        <f t="shared" si="64"/>
        <v>96</v>
      </c>
      <c r="J221" s="67">
        <f t="shared" si="56"/>
        <v>2040</v>
      </c>
      <c r="K221" s="71">
        <f t="shared" si="57"/>
        <v>51257</v>
      </c>
      <c r="M221" s="38">
        <f t="shared" si="58"/>
        <v>2.155E-2</v>
      </c>
    </row>
    <row r="222" spans="2:13" hidden="1" outlineLevel="1">
      <c r="B222" s="71">
        <f t="shared" si="60"/>
        <v>51288</v>
      </c>
      <c r="C222" s="50">
        <v>76776.839817106724</v>
      </c>
      <c r="D222" s="65">
        <f>IF(F222&lt;&gt;0,VLOOKUP($J222,'Table 1'!$B$13:$C$33,2,FALSE)/12*1000*Study_MW,0)</f>
        <v>790511.84696886211</v>
      </c>
      <c r="E222" s="65">
        <f t="shared" si="62"/>
        <v>867288.68678596884</v>
      </c>
      <c r="F222" s="50">
        <v>16657.03</v>
      </c>
      <c r="G222" s="69">
        <f t="shared" si="63"/>
        <v>52.067426593214329</v>
      </c>
      <c r="I222" s="70">
        <f t="shared" si="64"/>
        <v>97</v>
      </c>
      <c r="J222" s="67">
        <f t="shared" si="56"/>
        <v>2040</v>
      </c>
      <c r="K222" s="71">
        <f t="shared" si="57"/>
        <v>51288</v>
      </c>
      <c r="M222" s="38">
        <f t="shared" si="58"/>
        <v>2.155E-2</v>
      </c>
    </row>
    <row r="223" spans="2:13" hidden="1" outlineLevel="1">
      <c r="B223" s="71">
        <f t="shared" si="60"/>
        <v>51318</v>
      </c>
      <c r="C223" s="50">
        <v>-89964.259774565697</v>
      </c>
      <c r="D223" s="65">
        <f>IF(F223&lt;&gt;0,VLOOKUP($J223,'Table 1'!$B$13:$C$33,2,FALSE)/12*1000*Study_MW,0)</f>
        <v>790511.84696886211</v>
      </c>
      <c r="E223" s="65">
        <f t="shared" si="62"/>
        <v>700547.58719429641</v>
      </c>
      <c r="F223" s="50">
        <v>12237.55</v>
      </c>
      <c r="G223" s="69">
        <f t="shared" si="63"/>
        <v>57.245738501113088</v>
      </c>
      <c r="I223" s="70">
        <f t="shared" si="64"/>
        <v>98</v>
      </c>
      <c r="J223" s="67">
        <f t="shared" si="56"/>
        <v>2040</v>
      </c>
      <c r="K223" s="71">
        <f t="shared" si="57"/>
        <v>51318</v>
      </c>
      <c r="M223" s="38">
        <f t="shared" si="58"/>
        <v>2.155E-2</v>
      </c>
    </row>
    <row r="224" spans="2:13" hidden="1" outlineLevel="1">
      <c r="B224" s="71">
        <f t="shared" si="60"/>
        <v>51349</v>
      </c>
      <c r="C224" s="50">
        <v>-204910.49993777275</v>
      </c>
      <c r="D224" s="65">
        <f>IF(F224&lt;&gt;0,VLOOKUP($J224,'Table 1'!$B$13:$C$33,2,FALSE)/12*1000*Study_MW,0)</f>
        <v>790511.84696886211</v>
      </c>
      <c r="E224" s="65">
        <f t="shared" si="62"/>
        <v>585601.34703108936</v>
      </c>
      <c r="F224" s="50">
        <v>9817.59</v>
      </c>
      <c r="G224" s="69">
        <f t="shared" si="63"/>
        <v>59.648177101619581</v>
      </c>
      <c r="I224" s="70">
        <f t="shared" si="64"/>
        <v>99</v>
      </c>
      <c r="J224" s="67">
        <f t="shared" si="56"/>
        <v>2040</v>
      </c>
      <c r="K224" s="71">
        <f t="shared" si="57"/>
        <v>51349</v>
      </c>
      <c r="M224" s="38">
        <f t="shared" si="58"/>
        <v>2.155E-2</v>
      </c>
    </row>
    <row r="225" spans="2:13" hidden="1" outlineLevel="1">
      <c r="B225" s="71">
        <f t="shared" si="60"/>
        <v>51380</v>
      </c>
      <c r="C225" s="50">
        <v>108384.21665102243</v>
      </c>
      <c r="D225" s="65">
        <f>IF(F225&lt;&gt;0,VLOOKUP($J225,'Table 1'!$B$13:$C$33,2,FALSE)/12*1000*Study_MW,0)</f>
        <v>790511.84696886211</v>
      </c>
      <c r="E225" s="65">
        <f t="shared" si="62"/>
        <v>898896.06361988455</v>
      </c>
      <c r="F225" s="50">
        <v>12664.17</v>
      </c>
      <c r="G225" s="69">
        <f t="shared" si="63"/>
        <v>70.97946913377541</v>
      </c>
      <c r="I225" s="70">
        <f t="shared" si="64"/>
        <v>100</v>
      </c>
      <c r="J225" s="67">
        <f t="shared" si="56"/>
        <v>2040</v>
      </c>
      <c r="K225" s="71">
        <f t="shared" si="57"/>
        <v>51380</v>
      </c>
      <c r="M225" s="38">
        <f t="shared" ref="M225:M240" si="65">IRP21_Infl_Rate</f>
        <v>2.155E-2</v>
      </c>
    </row>
    <row r="226" spans="2:13" hidden="1" outlineLevel="1">
      <c r="B226" s="71">
        <f t="shared" si="60"/>
        <v>51410</v>
      </c>
      <c r="C226" s="50">
        <v>355029.7454058826</v>
      </c>
      <c r="D226" s="65">
        <f>IF(F226&lt;&gt;0,VLOOKUP($J226,'Table 1'!$B$13:$C$33,2,FALSE)/12*1000*Study_MW,0)</f>
        <v>790511.84696886211</v>
      </c>
      <c r="E226" s="65">
        <f t="shared" si="62"/>
        <v>1145541.5923747448</v>
      </c>
      <c r="F226" s="50">
        <v>17510.46</v>
      </c>
      <c r="G226" s="69">
        <f t="shared" si="63"/>
        <v>65.420416846544569</v>
      </c>
      <c r="I226" s="70">
        <f t="shared" si="64"/>
        <v>101</v>
      </c>
      <c r="J226" s="67">
        <f t="shared" si="56"/>
        <v>2040</v>
      </c>
      <c r="K226" s="71">
        <f t="shared" si="57"/>
        <v>51410</v>
      </c>
      <c r="M226" s="38">
        <f t="shared" si="65"/>
        <v>2.155E-2</v>
      </c>
    </row>
    <row r="227" spans="2:13" hidden="1" outlineLevel="1">
      <c r="B227" s="71">
        <f t="shared" si="60"/>
        <v>51441</v>
      </c>
      <c r="C227" s="50">
        <v>358489.33443903923</v>
      </c>
      <c r="D227" s="65">
        <f>IF(F227&lt;&gt;0,VLOOKUP($J227,'Table 1'!$B$13:$C$33,2,FALSE)/12*1000*Study_MW,0)</f>
        <v>790511.84696886211</v>
      </c>
      <c r="E227" s="65">
        <f t="shared" si="62"/>
        <v>1149001.1814079015</v>
      </c>
      <c r="F227" s="50">
        <v>15238.97</v>
      </c>
      <c r="G227" s="69">
        <f t="shared" si="63"/>
        <v>75.398874163273604</v>
      </c>
      <c r="I227" s="70">
        <f t="shared" si="64"/>
        <v>102</v>
      </c>
      <c r="J227" s="67">
        <f t="shared" si="56"/>
        <v>2040</v>
      </c>
      <c r="K227" s="71">
        <f t="shared" si="57"/>
        <v>51441</v>
      </c>
      <c r="M227" s="38">
        <f t="shared" si="65"/>
        <v>2.155E-2</v>
      </c>
    </row>
    <row r="228" spans="2:13" hidden="1" outlineLevel="1">
      <c r="B228" s="75">
        <f t="shared" si="60"/>
        <v>51471</v>
      </c>
      <c r="C228" s="72">
        <v>432618.26182472706</v>
      </c>
      <c r="D228" s="73">
        <f>IF(F228&lt;&gt;0,VLOOKUP($J228,'Table 1'!$B$13:$C$33,2,FALSE)/12*1000*Study_MW,0)</f>
        <v>790511.84696886211</v>
      </c>
      <c r="E228" s="73">
        <f t="shared" si="62"/>
        <v>1223130.1087935893</v>
      </c>
      <c r="F228" s="72">
        <v>15292.21</v>
      </c>
      <c r="G228" s="74">
        <f t="shared" si="63"/>
        <v>79.983868178215531</v>
      </c>
      <c r="I228" s="58">
        <f t="shared" si="64"/>
        <v>103</v>
      </c>
      <c r="J228" s="67">
        <f t="shared" si="56"/>
        <v>2040</v>
      </c>
      <c r="K228" s="75">
        <f t="shared" si="57"/>
        <v>51471</v>
      </c>
      <c r="M228" s="38">
        <f t="shared" si="65"/>
        <v>2.155E-2</v>
      </c>
    </row>
    <row r="229" spans="2:13" hidden="1" outlineLevel="1">
      <c r="B229" s="68">
        <f t="shared" si="60"/>
        <v>51502</v>
      </c>
      <c r="C229" s="63">
        <v>0</v>
      </c>
      <c r="D229" s="64">
        <f>IF(F229&lt;&gt;0,VLOOKUP($J229,'Table 1'!$B$13:$C$33,2,FALSE)/12*1000*Study_MW,0)</f>
        <v>0</v>
      </c>
      <c r="E229" s="64">
        <f t="shared" si="62"/>
        <v>0</v>
      </c>
      <c r="F229" s="63">
        <v>0</v>
      </c>
      <c r="G229" s="66" t="e">
        <f t="shared" si="63"/>
        <v>#DIV/0!</v>
      </c>
      <c r="I229" s="54">
        <f>I109</f>
        <v>105</v>
      </c>
      <c r="J229" s="67">
        <f t="shared" si="56"/>
        <v>2041</v>
      </c>
      <c r="K229" s="68" t="str">
        <f t="shared" si="57"/>
        <v/>
      </c>
      <c r="M229" s="38">
        <f t="shared" si="65"/>
        <v>2.155E-2</v>
      </c>
    </row>
    <row r="230" spans="2:13" hidden="1" outlineLevel="1">
      <c r="B230" s="71">
        <f t="shared" si="60"/>
        <v>51533</v>
      </c>
      <c r="C230" s="50">
        <v>0</v>
      </c>
      <c r="D230" s="65">
        <f>IF(F230&lt;&gt;0,VLOOKUP($J230,'Table 1'!$B$13:$C$33,2,FALSE)/12*1000*Study_MW,0)</f>
        <v>0</v>
      </c>
      <c r="E230" s="65">
        <f t="shared" si="62"/>
        <v>0</v>
      </c>
      <c r="F230" s="50">
        <v>0</v>
      </c>
      <c r="G230" s="69" t="e">
        <f t="shared" si="63"/>
        <v>#DIV/0!</v>
      </c>
      <c r="I230" s="70">
        <f t="shared" ref="I230:I240" si="66">I110</f>
        <v>106</v>
      </c>
      <c r="J230" s="67">
        <f t="shared" si="56"/>
        <v>2041</v>
      </c>
      <c r="K230" s="71" t="str">
        <f t="shared" si="57"/>
        <v/>
      </c>
      <c r="M230" s="38">
        <f t="shared" si="65"/>
        <v>2.155E-2</v>
      </c>
    </row>
    <row r="231" spans="2:13" hidden="1" outlineLevel="1">
      <c r="B231" s="71">
        <f t="shared" si="60"/>
        <v>51561</v>
      </c>
      <c r="C231" s="50">
        <v>0</v>
      </c>
      <c r="D231" s="65">
        <f>IF(F231&lt;&gt;0,VLOOKUP($J231,'Table 1'!$B$13:$C$33,2,FALSE)/12*1000*Study_MW,0)</f>
        <v>0</v>
      </c>
      <c r="E231" s="65">
        <f t="shared" si="62"/>
        <v>0</v>
      </c>
      <c r="F231" s="50">
        <v>0</v>
      </c>
      <c r="G231" s="69" t="e">
        <f t="shared" si="63"/>
        <v>#DIV/0!</v>
      </c>
      <c r="I231" s="70">
        <f t="shared" si="66"/>
        <v>107</v>
      </c>
      <c r="J231" s="67">
        <f t="shared" si="56"/>
        <v>2041</v>
      </c>
      <c r="K231" s="71" t="str">
        <f t="shared" si="57"/>
        <v/>
      </c>
      <c r="M231" s="38">
        <f t="shared" si="65"/>
        <v>2.155E-2</v>
      </c>
    </row>
    <row r="232" spans="2:13" hidden="1" outlineLevel="1">
      <c r="B232" s="71">
        <f t="shared" si="60"/>
        <v>51592</v>
      </c>
      <c r="C232" s="50">
        <v>0</v>
      </c>
      <c r="D232" s="65">
        <f>IF(F232&lt;&gt;0,VLOOKUP($J232,'Table 1'!$B$13:$C$33,2,FALSE)/12*1000*Study_MW,0)</f>
        <v>0</v>
      </c>
      <c r="E232" s="65">
        <f t="shared" si="62"/>
        <v>0</v>
      </c>
      <c r="F232" s="50">
        <v>0</v>
      </c>
      <c r="G232" s="69" t="e">
        <f t="shared" si="63"/>
        <v>#DIV/0!</v>
      </c>
      <c r="I232" s="70">
        <f t="shared" si="66"/>
        <v>108</v>
      </c>
      <c r="J232" s="67">
        <f t="shared" si="56"/>
        <v>2041</v>
      </c>
      <c r="K232" s="71" t="str">
        <f t="shared" si="57"/>
        <v/>
      </c>
      <c r="M232" s="38">
        <f t="shared" si="65"/>
        <v>2.155E-2</v>
      </c>
    </row>
    <row r="233" spans="2:13" hidden="1" outlineLevel="1">
      <c r="B233" s="71">
        <f t="shared" si="60"/>
        <v>51622</v>
      </c>
      <c r="C233" s="50">
        <v>0</v>
      </c>
      <c r="D233" s="65">
        <f>IF(F233&lt;&gt;0,VLOOKUP($J233,'Table 1'!$B$13:$C$33,2,FALSE)/12*1000*Study_MW,0)</f>
        <v>0</v>
      </c>
      <c r="E233" s="65">
        <f t="shared" si="62"/>
        <v>0</v>
      </c>
      <c r="F233" s="50">
        <v>0</v>
      </c>
      <c r="G233" s="69" t="e">
        <f t="shared" si="63"/>
        <v>#DIV/0!</v>
      </c>
      <c r="I233" s="70">
        <f t="shared" si="66"/>
        <v>109</v>
      </c>
      <c r="J233" s="67">
        <f t="shared" si="56"/>
        <v>2041</v>
      </c>
      <c r="K233" s="71" t="str">
        <f t="shared" si="57"/>
        <v/>
      </c>
      <c r="M233" s="38">
        <f t="shared" si="65"/>
        <v>2.155E-2</v>
      </c>
    </row>
    <row r="234" spans="2:13" hidden="1" outlineLevel="1">
      <c r="B234" s="71">
        <f t="shared" si="60"/>
        <v>51653</v>
      </c>
      <c r="C234" s="50">
        <v>0</v>
      </c>
      <c r="D234" s="65">
        <f>IF(F234&lt;&gt;0,VLOOKUP($J234,'Table 1'!$B$13:$C$33,2,FALSE)/12*1000*Study_MW,0)</f>
        <v>0</v>
      </c>
      <c r="E234" s="65">
        <f t="shared" si="62"/>
        <v>0</v>
      </c>
      <c r="F234" s="50">
        <v>0</v>
      </c>
      <c r="G234" s="69" t="e">
        <f t="shared" si="63"/>
        <v>#DIV/0!</v>
      </c>
      <c r="I234" s="70">
        <f t="shared" si="66"/>
        <v>110</v>
      </c>
      <c r="J234" s="67">
        <f t="shared" si="56"/>
        <v>2041</v>
      </c>
      <c r="K234" s="71" t="str">
        <f t="shared" si="57"/>
        <v/>
      </c>
      <c r="M234" s="38">
        <f t="shared" si="65"/>
        <v>2.155E-2</v>
      </c>
    </row>
    <row r="235" spans="2:13" hidden="1" outlineLevel="1">
      <c r="B235" s="71">
        <f t="shared" si="60"/>
        <v>51683</v>
      </c>
      <c r="C235" s="50">
        <v>0</v>
      </c>
      <c r="D235" s="65">
        <f>IF(F235&lt;&gt;0,VLOOKUP($J235,'Table 1'!$B$13:$C$33,2,FALSE)/12*1000*Study_MW,0)</f>
        <v>0</v>
      </c>
      <c r="E235" s="65">
        <f t="shared" si="62"/>
        <v>0</v>
      </c>
      <c r="F235" s="50">
        <v>0</v>
      </c>
      <c r="G235" s="69" t="e">
        <f t="shared" si="63"/>
        <v>#DIV/0!</v>
      </c>
      <c r="I235" s="70">
        <f t="shared" si="66"/>
        <v>111</v>
      </c>
      <c r="J235" s="67">
        <f t="shared" si="56"/>
        <v>2041</v>
      </c>
      <c r="K235" s="71" t="str">
        <f t="shared" si="57"/>
        <v/>
      </c>
      <c r="M235" s="38">
        <f t="shared" si="65"/>
        <v>2.155E-2</v>
      </c>
    </row>
    <row r="236" spans="2:13" hidden="1" outlineLevel="1">
      <c r="B236" s="71">
        <f t="shared" si="60"/>
        <v>51714</v>
      </c>
      <c r="C236" s="50">
        <v>0</v>
      </c>
      <c r="D236" s="65">
        <f>IF(F236&lt;&gt;0,VLOOKUP($J236,'Table 1'!$B$13:$C$33,2,FALSE)/12*1000*Study_MW,0)</f>
        <v>0</v>
      </c>
      <c r="E236" s="65">
        <f t="shared" si="62"/>
        <v>0</v>
      </c>
      <c r="F236" s="50">
        <v>0</v>
      </c>
      <c r="G236" s="69" t="e">
        <f t="shared" si="63"/>
        <v>#DIV/0!</v>
      </c>
      <c r="I236" s="70">
        <f t="shared" si="66"/>
        <v>112</v>
      </c>
      <c r="J236" s="67">
        <f t="shared" si="56"/>
        <v>2041</v>
      </c>
      <c r="K236" s="71" t="str">
        <f t="shared" si="57"/>
        <v/>
      </c>
      <c r="M236" s="38">
        <f t="shared" si="65"/>
        <v>2.155E-2</v>
      </c>
    </row>
    <row r="237" spans="2:13" hidden="1" outlineLevel="1">
      <c r="B237" s="71">
        <f t="shared" si="60"/>
        <v>51745</v>
      </c>
      <c r="C237" s="50">
        <v>0</v>
      </c>
      <c r="D237" s="65">
        <f>IF(F237&lt;&gt;0,VLOOKUP($J237,'Table 1'!$B$13:$C$33,2,FALSE)/12*1000*Study_MW,0)</f>
        <v>0</v>
      </c>
      <c r="E237" s="65">
        <f t="shared" si="62"/>
        <v>0</v>
      </c>
      <c r="F237" s="50">
        <v>0</v>
      </c>
      <c r="G237" s="69" t="e">
        <f t="shared" si="63"/>
        <v>#DIV/0!</v>
      </c>
      <c r="I237" s="70">
        <f t="shared" si="66"/>
        <v>113</v>
      </c>
      <c r="J237" s="67">
        <f t="shared" si="56"/>
        <v>2041</v>
      </c>
      <c r="K237" s="71" t="str">
        <f t="shared" si="57"/>
        <v/>
      </c>
      <c r="M237" s="38">
        <f t="shared" si="65"/>
        <v>2.155E-2</v>
      </c>
    </row>
    <row r="238" spans="2:13" hidden="1" outlineLevel="1">
      <c r="B238" s="71">
        <f t="shared" si="60"/>
        <v>51775</v>
      </c>
      <c r="C238" s="50">
        <v>0</v>
      </c>
      <c r="D238" s="65">
        <f>IF(F238&lt;&gt;0,VLOOKUP($J238,'Table 1'!$B$13:$C$33,2,FALSE)/12*1000*Study_MW,0)</f>
        <v>0</v>
      </c>
      <c r="E238" s="65">
        <f t="shared" si="62"/>
        <v>0</v>
      </c>
      <c r="F238" s="50">
        <v>0</v>
      </c>
      <c r="G238" s="69" t="e">
        <f t="shared" si="63"/>
        <v>#DIV/0!</v>
      </c>
      <c r="I238" s="70">
        <f t="shared" si="66"/>
        <v>114</v>
      </c>
      <c r="J238" s="67">
        <f t="shared" si="56"/>
        <v>2041</v>
      </c>
      <c r="K238" s="71" t="str">
        <f t="shared" si="57"/>
        <v/>
      </c>
      <c r="M238" s="38">
        <f t="shared" si="65"/>
        <v>2.155E-2</v>
      </c>
    </row>
    <row r="239" spans="2:13" hidden="1" outlineLevel="1">
      <c r="B239" s="71">
        <f t="shared" si="60"/>
        <v>51806</v>
      </c>
      <c r="C239" s="50">
        <v>0</v>
      </c>
      <c r="D239" s="65">
        <f>IF(F239&lt;&gt;0,VLOOKUP($J239,'Table 1'!$B$13:$C$33,2,FALSE)/12*1000*Study_MW,0)</f>
        <v>0</v>
      </c>
      <c r="E239" s="65">
        <f t="shared" si="62"/>
        <v>0</v>
      </c>
      <c r="F239" s="50">
        <v>0</v>
      </c>
      <c r="G239" s="69" t="e">
        <f t="shared" si="63"/>
        <v>#DIV/0!</v>
      </c>
      <c r="I239" s="70">
        <f t="shared" si="66"/>
        <v>115</v>
      </c>
      <c r="J239" s="67">
        <f t="shared" si="56"/>
        <v>2041</v>
      </c>
      <c r="K239" s="71" t="str">
        <f t="shared" si="57"/>
        <v/>
      </c>
      <c r="M239" s="38">
        <f t="shared" si="65"/>
        <v>2.155E-2</v>
      </c>
    </row>
    <row r="240" spans="2:13" hidden="1" outlineLevel="1">
      <c r="B240" s="75">
        <f t="shared" si="60"/>
        <v>51836</v>
      </c>
      <c r="C240" s="72">
        <v>0</v>
      </c>
      <c r="D240" s="73">
        <f>IF(F240&lt;&gt;0,VLOOKUP($J240,'Table 1'!$B$13:$C$33,2,FALSE)/12*1000*Study_MW,0)</f>
        <v>0</v>
      </c>
      <c r="E240" s="73">
        <f t="shared" si="62"/>
        <v>0</v>
      </c>
      <c r="F240" s="72">
        <v>0</v>
      </c>
      <c r="G240" s="74" t="e">
        <f t="shared" si="63"/>
        <v>#DIV/0!</v>
      </c>
      <c r="I240" s="58">
        <f t="shared" si="66"/>
        <v>116</v>
      </c>
      <c r="J240" s="67">
        <f t="shared" si="56"/>
        <v>2041</v>
      </c>
      <c r="K240" s="75" t="str">
        <f t="shared" si="57"/>
        <v/>
      </c>
      <c r="M240" s="38">
        <f t="shared" si="65"/>
        <v>2.155E-2</v>
      </c>
    </row>
    <row r="241" collapsed="1"/>
  </sheetData>
  <printOptions horizontalCentered="1"/>
  <pageMargins left="0.25" right="0.25" top="0.75" bottom="0.75" header="0.3" footer="0.3"/>
  <pageSetup scale="39"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">
    <pageSetUpPr fitToPage="1"/>
  </sheetPr>
  <dimension ref="B1:BM73"/>
  <sheetViews>
    <sheetView zoomScale="80" zoomScaleNormal="80" workbookViewId="0">
      <selection activeCell="B2" sqref="B2"/>
    </sheetView>
  </sheetViews>
  <sheetFormatPr defaultColWidth="9.33203125" defaultRowHeight="12.75"/>
  <cols>
    <col min="1" max="1" width="1.5" style="104" customWidth="1"/>
    <col min="2" max="2" width="10.83203125" style="104" customWidth="1"/>
    <col min="3" max="3" width="14.1640625" style="104" customWidth="1"/>
    <col min="4" max="4" width="12.33203125" style="104" customWidth="1"/>
    <col min="5" max="5" width="16.83203125" style="104" customWidth="1"/>
    <col min="6" max="6" width="7.83203125" style="104" customWidth="1"/>
    <col min="7" max="7" width="9.83203125" style="104" customWidth="1"/>
    <col min="8" max="8" width="13.83203125" style="104" customWidth="1"/>
    <col min="9" max="10" width="12.5" style="104" customWidth="1"/>
    <col min="11" max="11" width="4.83203125" style="104" customWidth="1"/>
    <col min="12" max="12" width="9.83203125" style="104" customWidth="1"/>
    <col min="13" max="13" width="13.83203125" style="104" customWidth="1"/>
    <col min="14" max="14" width="12.5" style="104" customWidth="1"/>
    <col min="15" max="15" width="18" style="104" customWidth="1"/>
    <col min="16" max="16" width="7" style="104" customWidth="1"/>
    <col min="17" max="17" width="9.83203125" style="104" customWidth="1"/>
    <col min="18" max="18" width="13.83203125" style="104" customWidth="1"/>
    <col min="19" max="20" width="12.5" style="104" customWidth="1"/>
    <col min="21" max="21" width="5.1640625" style="104" customWidth="1"/>
    <col min="22" max="22" width="9.83203125" style="104" customWidth="1"/>
    <col min="23" max="23" width="13.83203125" style="104" customWidth="1"/>
    <col min="24" max="25" width="12.5" style="104" customWidth="1"/>
    <col min="26" max="26" width="5.6640625" style="104" customWidth="1"/>
    <col min="27" max="27" width="9.83203125" style="104" customWidth="1"/>
    <col min="28" max="28" width="13.83203125" style="104" customWidth="1"/>
    <col min="29" max="30" width="12.5" style="104" customWidth="1"/>
    <col min="31" max="31" width="6.33203125" style="104" customWidth="1"/>
    <col min="32" max="32" width="9.83203125" style="104" customWidth="1"/>
    <col min="33" max="33" width="13.83203125" style="104" customWidth="1"/>
    <col min="34" max="35" width="12.5" style="104" customWidth="1"/>
    <col min="36" max="36" width="5.6640625" style="104" customWidth="1"/>
    <col min="37" max="37" width="9.83203125" style="104" customWidth="1"/>
    <col min="38" max="38" width="13.83203125" style="104" customWidth="1"/>
    <col min="39" max="40" width="12.5" style="104" customWidth="1"/>
    <col min="41" max="41" width="5.6640625" style="104" customWidth="1"/>
    <col min="42" max="42" width="9.83203125" style="104" customWidth="1"/>
    <col min="43" max="43" width="13.83203125" style="104" customWidth="1"/>
    <col min="44" max="45" width="12.5" style="104" customWidth="1"/>
    <col min="46" max="46" width="5.6640625" style="104" customWidth="1"/>
    <col min="47" max="47" width="9.83203125" style="104" customWidth="1"/>
    <col min="48" max="48" width="13.83203125" style="104" customWidth="1"/>
    <col min="49" max="50" width="12.5" style="104" customWidth="1"/>
    <col min="51" max="51" width="6.33203125" style="104" customWidth="1"/>
    <col min="52" max="52" width="9.83203125" style="104" customWidth="1"/>
    <col min="53" max="53" width="13.83203125" style="104" customWidth="1"/>
    <col min="54" max="54" width="12.5" style="104" customWidth="1"/>
    <col min="55" max="55" width="15.1640625" style="104" customWidth="1"/>
    <col min="56" max="56" width="11.6640625" style="104" customWidth="1"/>
    <col min="57" max="57" width="9.83203125" style="104" customWidth="1"/>
    <col min="58" max="58" width="13.83203125" style="104" customWidth="1"/>
    <col min="59" max="60" width="12.5" style="104" customWidth="1"/>
    <col min="61" max="61" width="9.33203125" style="104"/>
    <col min="62" max="62" width="9.83203125" style="104" customWidth="1"/>
    <col min="63" max="63" width="13.83203125" style="104" customWidth="1"/>
    <col min="64" max="65" width="12.5" style="104" customWidth="1"/>
    <col min="66" max="16384" width="9.33203125" style="104"/>
  </cols>
  <sheetData>
    <row r="1" spans="2:65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</row>
    <row r="2" spans="2:65" ht="15.75">
      <c r="B2" s="102" t="s">
        <v>216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</row>
    <row r="3" spans="2:65" ht="15.75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</row>
    <row r="4" spans="2:65" ht="18.95" customHeight="1">
      <c r="B4" s="373" t="s">
        <v>145</v>
      </c>
      <c r="C4" s="374"/>
      <c r="D4" s="374"/>
      <c r="E4" s="375"/>
      <c r="F4" s="103"/>
      <c r="G4" s="373" t="s">
        <v>158</v>
      </c>
      <c r="H4" s="374"/>
      <c r="I4" s="374"/>
      <c r="J4" s="375"/>
      <c r="K4" s="103"/>
      <c r="L4" s="376" t="s">
        <v>159</v>
      </c>
      <c r="M4" s="377"/>
      <c r="N4" s="377"/>
      <c r="O4" s="378"/>
      <c r="Q4" s="376" t="s">
        <v>161</v>
      </c>
      <c r="R4" s="377"/>
      <c r="S4" s="377"/>
      <c r="T4" s="378"/>
      <c r="U4" s="103"/>
      <c r="V4" s="373" t="s">
        <v>162</v>
      </c>
      <c r="W4" s="374"/>
      <c r="X4" s="374"/>
      <c r="Y4" s="375"/>
      <c r="Z4" s="103"/>
      <c r="AA4" s="373" t="s">
        <v>163</v>
      </c>
      <c r="AB4" s="374"/>
      <c r="AC4" s="374"/>
      <c r="AD4" s="375"/>
      <c r="AE4" s="103"/>
      <c r="AF4" s="373" t="s">
        <v>165</v>
      </c>
      <c r="AG4" s="374"/>
      <c r="AH4" s="374"/>
      <c r="AI4" s="375"/>
      <c r="AJ4" s="103"/>
      <c r="AK4" s="376" t="s">
        <v>166</v>
      </c>
      <c r="AL4" s="377"/>
      <c r="AM4" s="377"/>
      <c r="AN4" s="378"/>
      <c r="AO4" s="103"/>
      <c r="AP4" s="376" t="s">
        <v>168</v>
      </c>
      <c r="AQ4" s="377"/>
      <c r="AR4" s="377"/>
      <c r="AS4" s="378"/>
      <c r="AT4" s="103"/>
      <c r="AU4" s="376" t="s">
        <v>146</v>
      </c>
      <c r="AV4" s="377"/>
      <c r="AW4" s="377"/>
      <c r="AX4" s="378"/>
      <c r="AY4" s="103"/>
      <c r="AZ4" s="376" t="s">
        <v>171</v>
      </c>
      <c r="BA4" s="377"/>
      <c r="BB4" s="377"/>
      <c r="BC4" s="378"/>
      <c r="BE4" s="376" t="s">
        <v>172</v>
      </c>
      <c r="BF4" s="377"/>
      <c r="BG4" s="377"/>
      <c r="BH4" s="378"/>
      <c r="BJ4" s="376" t="s">
        <v>147</v>
      </c>
      <c r="BK4" s="377"/>
      <c r="BL4" s="377"/>
      <c r="BM4" s="378"/>
    </row>
    <row r="5" spans="2:65" ht="51.75" customHeight="1">
      <c r="B5" s="105" t="s">
        <v>0</v>
      </c>
      <c r="C5" s="106" t="s">
        <v>86</v>
      </c>
      <c r="D5" s="106" t="s">
        <v>82</v>
      </c>
      <c r="E5" s="15" t="s">
        <v>52</v>
      </c>
      <c r="G5" s="105" t="s">
        <v>0</v>
      </c>
      <c r="H5" s="106" t="s">
        <v>86</v>
      </c>
      <c r="I5" s="106" t="s">
        <v>82</v>
      </c>
      <c r="J5" s="15" t="s">
        <v>52</v>
      </c>
      <c r="L5" s="105" t="s">
        <v>0</v>
      </c>
      <c r="M5" s="106" t="s">
        <v>86</v>
      </c>
      <c r="N5" s="106" t="s">
        <v>82</v>
      </c>
      <c r="O5" s="15" t="s">
        <v>52</v>
      </c>
      <c r="Q5" s="105" t="s">
        <v>0</v>
      </c>
      <c r="R5" s="106" t="s">
        <v>86</v>
      </c>
      <c r="S5" s="106" t="s">
        <v>82</v>
      </c>
      <c r="T5" s="15" t="s">
        <v>52</v>
      </c>
      <c r="V5" s="105" t="s">
        <v>0</v>
      </c>
      <c r="W5" s="106" t="s">
        <v>86</v>
      </c>
      <c r="X5" s="106" t="s">
        <v>82</v>
      </c>
      <c r="Y5" s="15" t="s">
        <v>52</v>
      </c>
      <c r="AA5" s="105" t="s">
        <v>0</v>
      </c>
      <c r="AB5" s="106" t="s">
        <v>86</v>
      </c>
      <c r="AC5" s="106" t="s">
        <v>82</v>
      </c>
      <c r="AD5" s="15" t="s">
        <v>52</v>
      </c>
      <c r="AF5" s="105" t="s">
        <v>0</v>
      </c>
      <c r="AG5" s="106" t="s">
        <v>86</v>
      </c>
      <c r="AH5" s="106" t="s">
        <v>82</v>
      </c>
      <c r="AI5" s="15" t="s">
        <v>52</v>
      </c>
      <c r="AK5" s="105" t="s">
        <v>0</v>
      </c>
      <c r="AL5" s="106" t="s">
        <v>86</v>
      </c>
      <c r="AM5" s="106" t="s">
        <v>82</v>
      </c>
      <c r="AN5" s="15" t="s">
        <v>52</v>
      </c>
      <c r="AP5" s="105" t="s">
        <v>0</v>
      </c>
      <c r="AQ5" s="106" t="s">
        <v>86</v>
      </c>
      <c r="AR5" s="106" t="s">
        <v>82</v>
      </c>
      <c r="AS5" s="15" t="s">
        <v>52</v>
      </c>
      <c r="AU5" s="105" t="s">
        <v>0</v>
      </c>
      <c r="AV5" s="106" t="s">
        <v>86</v>
      </c>
      <c r="AW5" s="106" t="s">
        <v>82</v>
      </c>
      <c r="AX5" s="15" t="s">
        <v>52</v>
      </c>
      <c r="AZ5" s="105" t="s">
        <v>0</v>
      </c>
      <c r="BA5" s="106" t="s">
        <v>86</v>
      </c>
      <c r="BB5" s="106" t="s">
        <v>82</v>
      </c>
      <c r="BC5" s="15" t="s">
        <v>52</v>
      </c>
      <c r="BE5" s="105" t="s">
        <v>0</v>
      </c>
      <c r="BF5" s="106" t="s">
        <v>86</v>
      </c>
      <c r="BG5" s="106" t="s">
        <v>82</v>
      </c>
      <c r="BH5" s="15" t="s">
        <v>52</v>
      </c>
      <c r="BJ5" s="105" t="s">
        <v>0</v>
      </c>
      <c r="BK5" s="106" t="s">
        <v>86</v>
      </c>
      <c r="BL5" s="106" t="s">
        <v>82</v>
      </c>
      <c r="BM5" s="15" t="s">
        <v>52</v>
      </c>
    </row>
    <row r="6" spans="2:65" ht="24" customHeight="1">
      <c r="B6" s="107"/>
      <c r="C6" s="109" t="s">
        <v>9</v>
      </c>
      <c r="D6" s="108" t="s">
        <v>83</v>
      </c>
      <c r="E6" s="17" t="s">
        <v>9</v>
      </c>
      <c r="G6" s="107"/>
      <c r="H6" s="109" t="s">
        <v>9</v>
      </c>
      <c r="I6" s="108" t="s">
        <v>83</v>
      </c>
      <c r="J6" s="17" t="s">
        <v>9</v>
      </c>
      <c r="L6" s="107"/>
      <c r="M6" s="109" t="s">
        <v>9</v>
      </c>
      <c r="N6" s="108" t="s">
        <v>83</v>
      </c>
      <c r="O6" s="17" t="s">
        <v>9</v>
      </c>
      <c r="Q6" s="107"/>
      <c r="R6" s="109" t="s">
        <v>9</v>
      </c>
      <c r="S6" s="108" t="s">
        <v>83</v>
      </c>
      <c r="T6" s="17" t="s">
        <v>9</v>
      </c>
      <c r="V6" s="107"/>
      <c r="W6" s="109" t="s">
        <v>9</v>
      </c>
      <c r="X6" s="108" t="s">
        <v>83</v>
      </c>
      <c r="Y6" s="17" t="s">
        <v>9</v>
      </c>
      <c r="AA6" s="107"/>
      <c r="AB6" s="109" t="s">
        <v>9</v>
      </c>
      <c r="AC6" s="108" t="s">
        <v>83</v>
      </c>
      <c r="AD6" s="17" t="s">
        <v>9</v>
      </c>
      <c r="AF6" s="107"/>
      <c r="AG6" s="109" t="s">
        <v>9</v>
      </c>
      <c r="AH6" s="108" t="s">
        <v>83</v>
      </c>
      <c r="AI6" s="17" t="s">
        <v>9</v>
      </c>
      <c r="AK6" s="107"/>
      <c r="AL6" s="109" t="s">
        <v>9</v>
      </c>
      <c r="AM6" s="108" t="s">
        <v>83</v>
      </c>
      <c r="AN6" s="17" t="s">
        <v>9</v>
      </c>
      <c r="AP6" s="107"/>
      <c r="AQ6" s="109" t="s">
        <v>9</v>
      </c>
      <c r="AR6" s="108" t="s">
        <v>83</v>
      </c>
      <c r="AS6" s="17" t="s">
        <v>9</v>
      </c>
      <c r="AU6" s="107"/>
      <c r="AV6" s="109" t="s">
        <v>9</v>
      </c>
      <c r="AW6" s="108" t="s">
        <v>83</v>
      </c>
      <c r="AX6" s="17" t="s">
        <v>9</v>
      </c>
      <c r="AZ6" s="107"/>
      <c r="BA6" s="109" t="s">
        <v>9</v>
      </c>
      <c r="BB6" s="108" t="s">
        <v>83</v>
      </c>
      <c r="BC6" s="17" t="s">
        <v>9</v>
      </c>
      <c r="BE6" s="107"/>
      <c r="BF6" s="109" t="s">
        <v>9</v>
      </c>
      <c r="BG6" s="108" t="s">
        <v>83</v>
      </c>
      <c r="BH6" s="17" t="s">
        <v>9</v>
      </c>
      <c r="BJ6" s="107"/>
      <c r="BK6" s="109" t="s">
        <v>9</v>
      </c>
      <c r="BL6" s="108" t="s">
        <v>83</v>
      </c>
      <c r="BM6" s="17" t="s">
        <v>9</v>
      </c>
    </row>
    <row r="7" spans="2:65">
      <c r="C7" s="110" t="s">
        <v>2</v>
      </c>
      <c r="D7" s="110" t="s">
        <v>4</v>
      </c>
      <c r="E7" s="110" t="s">
        <v>23</v>
      </c>
      <c r="H7" s="110" t="s">
        <v>2</v>
      </c>
      <c r="I7" s="110" t="s">
        <v>4</v>
      </c>
      <c r="J7" s="110" t="s">
        <v>23</v>
      </c>
      <c r="M7" s="110" t="s">
        <v>2</v>
      </c>
      <c r="N7" s="110" t="s">
        <v>4</v>
      </c>
      <c r="O7" s="110" t="s">
        <v>23</v>
      </c>
      <c r="R7" s="110" t="s">
        <v>2</v>
      </c>
      <c r="S7" s="110" t="s">
        <v>4</v>
      </c>
      <c r="T7" s="110" t="s">
        <v>23</v>
      </c>
      <c r="W7" s="110" t="s">
        <v>2</v>
      </c>
      <c r="X7" s="110" t="s">
        <v>4</v>
      </c>
      <c r="Y7" s="110" t="s">
        <v>23</v>
      </c>
      <c r="AB7" s="110" t="s">
        <v>2</v>
      </c>
      <c r="AC7" s="110" t="s">
        <v>4</v>
      </c>
      <c r="AD7" s="110" t="s">
        <v>23</v>
      </c>
      <c r="AG7" s="110" t="s">
        <v>2</v>
      </c>
      <c r="AH7" s="110" t="s">
        <v>4</v>
      </c>
      <c r="AI7" s="110" t="s">
        <v>23</v>
      </c>
      <c r="AL7" s="110" t="s">
        <v>2</v>
      </c>
      <c r="AM7" s="110" t="s">
        <v>4</v>
      </c>
      <c r="AN7" s="110" t="s">
        <v>23</v>
      </c>
      <c r="AQ7" s="110" t="s">
        <v>2</v>
      </c>
      <c r="AR7" s="110" t="s">
        <v>4</v>
      </c>
      <c r="AS7" s="110" t="s">
        <v>23</v>
      </c>
      <c r="AV7" s="110" t="s">
        <v>2</v>
      </c>
      <c r="AW7" s="110" t="s">
        <v>4</v>
      </c>
      <c r="AX7" s="110" t="s">
        <v>23</v>
      </c>
      <c r="BA7" s="110" t="s">
        <v>2</v>
      </c>
      <c r="BB7" s="110" t="s">
        <v>4</v>
      </c>
      <c r="BC7" s="110" t="s">
        <v>23</v>
      </c>
      <c r="BF7" s="110" t="s">
        <v>2</v>
      </c>
      <c r="BG7" s="110" t="s">
        <v>4</v>
      </c>
      <c r="BH7" s="110" t="s">
        <v>23</v>
      </c>
      <c r="BK7" s="110" t="s">
        <v>2</v>
      </c>
      <c r="BL7" s="110" t="s">
        <v>4</v>
      </c>
      <c r="BM7" s="110" t="s">
        <v>23</v>
      </c>
    </row>
    <row r="8" spans="2:65" ht="6" customHeight="1"/>
    <row r="9" spans="2:65">
      <c r="B9" s="300" t="str">
        <f>B4</f>
        <v>Aeolus_Wyoming - to - Utah S, Expansion</v>
      </c>
      <c r="G9" s="300" t="str">
        <f>G4</f>
        <v>Utah S - to - Utah N, Expansion</v>
      </c>
      <c r="L9" s="300" t="str">
        <f>L4</f>
        <v>Portland NC - Willamette V, Expansion</v>
      </c>
      <c r="Q9" s="300" t="str">
        <f>Q4</f>
        <v>Portland NC - to - Southern Oregon, Expansion</v>
      </c>
      <c r="V9" s="300" t="str">
        <f>V4</f>
        <v>Central OR - to - Willamette V, Expansion</v>
      </c>
      <c r="AA9" s="300" t="str">
        <f>AA4</f>
        <v>B2H Borah - to - Hemingway, Expansion</v>
      </c>
      <c r="AF9" s="300" t="str">
        <f>AF4</f>
        <v>Central OR, Transmission Integration 2037</v>
      </c>
      <c r="AK9" s="300" t="str">
        <f>AK4</f>
        <v>Portland NC, Transmission Integration</v>
      </c>
      <c r="AP9" s="300" t="str">
        <f>AP4</f>
        <v>Southern OR, Transmission Integration 2028</v>
      </c>
      <c r="AU9" s="300" t="str">
        <f>AU4</f>
        <v>Utah N, Transmission Integration</v>
      </c>
      <c r="AZ9" s="300" t="str">
        <f>AZ4</f>
        <v>Utah S, Transmission Integration</v>
      </c>
      <c r="BE9" s="300" t="str">
        <f>BE4</f>
        <v>Willamette V, Transmission Integration</v>
      </c>
      <c r="BJ9" s="300" t="str">
        <f>BJ4</f>
        <v>Yakima, Transmission Integration</v>
      </c>
    </row>
    <row r="10" spans="2:65">
      <c r="B10" s="111">
        <v>2023</v>
      </c>
      <c r="C10" s="113">
        <f t="shared" ref="C10:C32" si="0">IF($B10&lt;D$35,0,IF($B10=D$35,D$39,ROUND(C9*(1+IRP21_Infl_Rate),2)))</f>
        <v>0</v>
      </c>
      <c r="D10" s="111">
        <v>12</v>
      </c>
      <c r="E10" s="114">
        <f t="shared" ref="E10:E32" si="1">SUM(C10:C10)*D10/12</f>
        <v>0</v>
      </c>
      <c r="G10" s="111">
        <v>2023</v>
      </c>
      <c r="H10" s="113">
        <f t="shared" ref="H10:H32" si="2">IF($B10&lt;I$35,0,IF($B10=I$35,I$39,ROUND(H9*(1+IRP21_Infl_Rate),2)))</f>
        <v>0</v>
      </c>
      <c r="I10" s="111">
        <v>12</v>
      </c>
      <c r="J10" s="114">
        <f t="shared" ref="J10:J32" si="3">SUM(H10:H10)*I10/12</f>
        <v>0</v>
      </c>
      <c r="L10" s="111">
        <v>2023</v>
      </c>
      <c r="M10" s="113">
        <f t="shared" ref="M10:M32" si="4">IF($B10&lt;N$35,0,IF($B10=N$35,N$39,ROUND(M9*(1+IRP21_Infl_Rate),2)))</f>
        <v>0</v>
      </c>
      <c r="N10" s="111">
        <v>12</v>
      </c>
      <c r="O10" s="114">
        <f t="shared" ref="O10:O32" si="5">SUM(M10:M10)*N10/12</f>
        <v>0</v>
      </c>
      <c r="P10" s="118"/>
      <c r="Q10" s="111">
        <f>$B10</f>
        <v>2023</v>
      </c>
      <c r="R10" s="113">
        <f t="shared" ref="R10:R32" si="6">IF($B10&lt;S$35,0,IF($B10=S$35,S$39,ROUND(R9*(1+IRP21_Infl_Rate),2)))</f>
        <v>0</v>
      </c>
      <c r="S10" s="111">
        <v>12</v>
      </c>
      <c r="T10" s="114">
        <f t="shared" ref="T10:T32" si="7">SUM(R10:R10)*S10/12</f>
        <v>0</v>
      </c>
      <c r="V10" s="111">
        <f>$B10</f>
        <v>2023</v>
      </c>
      <c r="W10" s="113">
        <f t="shared" ref="W10:W32" si="8">IF($B10&lt;X$35,0,IF($B10=X$35,X$39,ROUND(W9*(1+IRP21_Infl_Rate),2)))</f>
        <v>0</v>
      </c>
      <c r="X10" s="111">
        <v>12</v>
      </c>
      <c r="Y10" s="114">
        <f t="shared" ref="Y10:Y32" si="9">SUM(W10:W10)*X10/12</f>
        <v>0</v>
      </c>
      <c r="AA10" s="111">
        <f>$B10</f>
        <v>2023</v>
      </c>
      <c r="AB10" s="113">
        <f t="shared" ref="AB10:AB32" si="10">IF($B10&lt;AC$35,0,IF($B10=AC$35,AC$39,ROUND(AB9*(1+IRP21_Infl_Rate),2)))</f>
        <v>0</v>
      </c>
      <c r="AC10" s="111">
        <v>12</v>
      </c>
      <c r="AD10" s="114">
        <f t="shared" ref="AD10:AD32" si="11">SUM(AB10:AB10)*AC10/12</f>
        <v>0</v>
      </c>
      <c r="AF10" s="111">
        <f>$B10</f>
        <v>2023</v>
      </c>
      <c r="AG10" s="113">
        <f t="shared" ref="AG10:AG32" si="12">IF($B10&lt;AH$35,0,IF($B10=AH$35,AH$39,ROUND(AG9*(1+IRP21_Infl_Rate),2)))</f>
        <v>0</v>
      </c>
      <c r="AH10" s="111">
        <v>12</v>
      </c>
      <c r="AI10" s="114">
        <f t="shared" ref="AI10:AI32" si="13">SUM(AG10:AG10)*AH10/12</f>
        <v>0</v>
      </c>
      <c r="AK10" s="111">
        <f>$B10</f>
        <v>2023</v>
      </c>
      <c r="AL10" s="113">
        <f t="shared" ref="AL10:AL32" si="14">IF($B10&lt;AM$35,0,IF($B10=AM$35,AM$39,ROUND(AL9*(1+IRP21_Infl_Rate),2)))</f>
        <v>0</v>
      </c>
      <c r="AM10" s="111">
        <v>12</v>
      </c>
      <c r="AN10" s="114">
        <f t="shared" ref="AN10:AN32" si="15">SUM(AL10:AL10)*AM10/12</f>
        <v>0</v>
      </c>
      <c r="AP10" s="111">
        <f>$B10</f>
        <v>2023</v>
      </c>
      <c r="AQ10" s="113">
        <f t="shared" ref="AQ10:AQ32" si="16">IF($B10&lt;AR$35,0,IF($B10=AR$35,AR$39,ROUND(AQ9*(1+IRP21_Infl_Rate),2)))</f>
        <v>0</v>
      </c>
      <c r="AR10" s="111">
        <v>12</v>
      </c>
      <c r="AS10" s="114">
        <f t="shared" ref="AS10:AS32" si="17">SUM(AQ10:AQ10)*AR10/12</f>
        <v>0</v>
      </c>
      <c r="AU10" s="111">
        <f>$B10</f>
        <v>2023</v>
      </c>
      <c r="AV10" s="113">
        <f t="shared" ref="AV10:AV32" si="18">IF($B10&lt;AW$35,0,IF($B10=AW$35,AW$39,ROUND(AV9*(1+IRP21_Infl_Rate),2)))</f>
        <v>0</v>
      </c>
      <c r="AW10" s="111">
        <v>12</v>
      </c>
      <c r="AX10" s="114">
        <f t="shared" ref="AX10:AX32" si="19">SUM(AV10:AV10)*AW10/12</f>
        <v>0</v>
      </c>
      <c r="AZ10" s="111">
        <f>V10</f>
        <v>2023</v>
      </c>
      <c r="BA10" s="113">
        <f t="shared" ref="BA10:BA32" si="20">IF($B10&lt;BB$35,0,IF($B10=BB$35,BB$39,ROUND(BA9*(1+IRP21_Infl_Rate),2)))</f>
        <v>0</v>
      </c>
      <c r="BB10" s="111">
        <v>12</v>
      </c>
      <c r="BC10" s="114">
        <f t="shared" ref="BC10:BC32" si="21">SUM(BA10:BA10)*BB10/12</f>
        <v>0</v>
      </c>
      <c r="BE10" s="111">
        <f>AA10</f>
        <v>2023</v>
      </c>
      <c r="BF10" s="113">
        <f t="shared" ref="BF10:BF32" si="22">IF($B10&lt;BG$35,0,IF($B10=BG$35,BG$39,ROUND(BF9*(1+IRP21_Infl_Rate),2)))</f>
        <v>0</v>
      </c>
      <c r="BG10" s="111">
        <v>12</v>
      </c>
      <c r="BH10" s="114">
        <f t="shared" ref="BH10:BH32" si="23">SUM(BF10:BF10)*BG10/12</f>
        <v>0</v>
      </c>
      <c r="BJ10" s="111">
        <f>AF10</f>
        <v>2023</v>
      </c>
      <c r="BK10" s="113">
        <f t="shared" ref="BK10:BK32" si="24">IF($B10&lt;BL$35,0,IF($B10=BL$35,BL$39,ROUND(BK9*(1+IRP21_Infl_Rate),2)))</f>
        <v>0</v>
      </c>
      <c r="BL10" s="111">
        <v>12</v>
      </c>
      <c r="BM10" s="114">
        <f t="shared" ref="BM10:BM32" si="25">SUM(BK10:BK10)*BL10/12</f>
        <v>0</v>
      </c>
    </row>
    <row r="11" spans="2:65">
      <c r="B11" s="111">
        <f t="shared" ref="B11:B32" si="26">B10+1</f>
        <v>2024</v>
      </c>
      <c r="C11" s="113">
        <f t="shared" si="0"/>
        <v>0</v>
      </c>
      <c r="D11" s="111">
        <v>12</v>
      </c>
      <c r="E11" s="114">
        <f t="shared" si="1"/>
        <v>0</v>
      </c>
      <c r="G11" s="111">
        <f t="shared" ref="G11:G32" si="27">G10+1</f>
        <v>2024</v>
      </c>
      <c r="H11" s="113">
        <f t="shared" si="2"/>
        <v>0</v>
      </c>
      <c r="I11" s="111">
        <v>12</v>
      </c>
      <c r="J11" s="114">
        <f t="shared" si="3"/>
        <v>0</v>
      </c>
      <c r="L11" s="111">
        <f t="shared" ref="L11:L32" si="28">L10+1</f>
        <v>2024</v>
      </c>
      <c r="M11" s="113">
        <f t="shared" si="4"/>
        <v>0</v>
      </c>
      <c r="N11" s="111">
        <v>12</v>
      </c>
      <c r="O11" s="114">
        <f t="shared" si="5"/>
        <v>0</v>
      </c>
      <c r="P11" s="118"/>
      <c r="Q11" s="111">
        <f t="shared" ref="Q11:Q32" si="29">Q10+1</f>
        <v>2024</v>
      </c>
      <c r="R11" s="113">
        <f t="shared" si="6"/>
        <v>0</v>
      </c>
      <c r="S11" s="111">
        <v>12</v>
      </c>
      <c r="T11" s="114">
        <f t="shared" si="7"/>
        <v>0</v>
      </c>
      <c r="V11" s="111">
        <f t="shared" ref="V11:V32" si="30">V10+1</f>
        <v>2024</v>
      </c>
      <c r="W11" s="113">
        <f t="shared" si="8"/>
        <v>0</v>
      </c>
      <c r="X11" s="111">
        <v>12</v>
      </c>
      <c r="Y11" s="114">
        <f t="shared" si="9"/>
        <v>0</v>
      </c>
      <c r="AA11" s="111">
        <f t="shared" ref="AA11:AA32" si="31">AA10+1</f>
        <v>2024</v>
      </c>
      <c r="AB11" s="113">
        <f t="shared" si="10"/>
        <v>0</v>
      </c>
      <c r="AC11" s="111">
        <v>12</v>
      </c>
      <c r="AD11" s="114">
        <f t="shared" si="11"/>
        <v>0</v>
      </c>
      <c r="AF11" s="111">
        <f t="shared" ref="AF11:AF32" si="32">AF10+1</f>
        <v>2024</v>
      </c>
      <c r="AG11" s="113">
        <f t="shared" si="12"/>
        <v>0</v>
      </c>
      <c r="AH11" s="111">
        <v>12</v>
      </c>
      <c r="AI11" s="114">
        <f t="shared" si="13"/>
        <v>0</v>
      </c>
      <c r="AK11" s="111">
        <f t="shared" ref="AK11:AK32" si="33">AK10+1</f>
        <v>2024</v>
      </c>
      <c r="AL11" s="113">
        <f t="shared" si="14"/>
        <v>0</v>
      </c>
      <c r="AM11" s="111">
        <v>12</v>
      </c>
      <c r="AN11" s="114">
        <f t="shared" si="15"/>
        <v>0</v>
      </c>
      <c r="AP11" s="111">
        <f t="shared" ref="AP11:AP32" si="34">AP10+1</f>
        <v>2024</v>
      </c>
      <c r="AQ11" s="113">
        <f t="shared" si="16"/>
        <v>0</v>
      </c>
      <c r="AR11" s="111">
        <v>12</v>
      </c>
      <c r="AS11" s="114">
        <f t="shared" si="17"/>
        <v>0</v>
      </c>
      <c r="AU11" s="111">
        <f t="shared" ref="AU11:AU32" si="35">AU10+1</f>
        <v>2024</v>
      </c>
      <c r="AV11" s="113">
        <f t="shared" si="18"/>
        <v>0</v>
      </c>
      <c r="AW11" s="111">
        <v>12</v>
      </c>
      <c r="AX11" s="114">
        <f t="shared" si="19"/>
        <v>0</v>
      </c>
      <c r="AZ11" s="293">
        <f t="shared" ref="AZ11:AZ32" si="36">AZ10+1</f>
        <v>2024</v>
      </c>
      <c r="BA11" s="113">
        <f t="shared" si="20"/>
        <v>578.93401308399336</v>
      </c>
      <c r="BB11" s="111">
        <v>12</v>
      </c>
      <c r="BC11" s="114">
        <f t="shared" si="21"/>
        <v>578.93401308399336</v>
      </c>
      <c r="BE11" s="111">
        <f t="shared" ref="BE11:BE32" si="37">BE10+1</f>
        <v>2024</v>
      </c>
      <c r="BF11" s="113">
        <f t="shared" si="22"/>
        <v>0</v>
      </c>
      <c r="BG11" s="111">
        <v>12</v>
      </c>
      <c r="BH11" s="114">
        <f t="shared" si="23"/>
        <v>0</v>
      </c>
      <c r="BJ11" s="111">
        <f t="shared" ref="BJ11:BJ32" si="38">BJ10+1</f>
        <v>2024</v>
      </c>
      <c r="BK11" s="113">
        <f t="shared" si="24"/>
        <v>0</v>
      </c>
      <c r="BL11" s="111">
        <v>12</v>
      </c>
      <c r="BM11" s="114">
        <f t="shared" si="25"/>
        <v>0</v>
      </c>
    </row>
    <row r="12" spans="2:65">
      <c r="B12" s="293">
        <f t="shared" si="26"/>
        <v>2025</v>
      </c>
      <c r="C12" s="113">
        <f t="shared" si="0"/>
        <v>58.544856686682266</v>
      </c>
      <c r="D12" s="111">
        <v>12</v>
      </c>
      <c r="E12" s="114">
        <f t="shared" si="1"/>
        <v>58.544856686682266</v>
      </c>
      <c r="G12" s="111">
        <f t="shared" si="27"/>
        <v>2025</v>
      </c>
      <c r="H12" s="113">
        <f t="shared" si="2"/>
        <v>0</v>
      </c>
      <c r="I12" s="111">
        <v>12</v>
      </c>
      <c r="J12" s="114">
        <f t="shared" si="3"/>
        <v>0</v>
      </c>
      <c r="L12" s="111">
        <f t="shared" si="28"/>
        <v>2025</v>
      </c>
      <c r="M12" s="113">
        <f t="shared" si="4"/>
        <v>0</v>
      </c>
      <c r="N12" s="111">
        <v>12</v>
      </c>
      <c r="O12" s="114">
        <f t="shared" si="5"/>
        <v>0</v>
      </c>
      <c r="Q12" s="111">
        <f t="shared" si="29"/>
        <v>2025</v>
      </c>
      <c r="R12" s="113">
        <f t="shared" si="6"/>
        <v>0</v>
      </c>
      <c r="S12" s="111">
        <v>12</v>
      </c>
      <c r="T12" s="114">
        <f t="shared" si="7"/>
        <v>0</v>
      </c>
      <c r="V12" s="111">
        <f t="shared" si="30"/>
        <v>2025</v>
      </c>
      <c r="W12" s="113">
        <f t="shared" si="8"/>
        <v>0</v>
      </c>
      <c r="X12" s="111">
        <v>12</v>
      </c>
      <c r="Y12" s="114">
        <f t="shared" si="9"/>
        <v>0</v>
      </c>
      <c r="AA12" s="111">
        <f t="shared" si="31"/>
        <v>2025</v>
      </c>
      <c r="AB12" s="113">
        <f t="shared" si="10"/>
        <v>0</v>
      </c>
      <c r="AC12" s="111">
        <v>12</v>
      </c>
      <c r="AD12" s="114">
        <f t="shared" si="11"/>
        <v>0</v>
      </c>
      <c r="AF12" s="111">
        <f t="shared" si="32"/>
        <v>2025</v>
      </c>
      <c r="AG12" s="113">
        <f t="shared" si="12"/>
        <v>0</v>
      </c>
      <c r="AH12" s="111">
        <v>12</v>
      </c>
      <c r="AI12" s="114">
        <f t="shared" si="13"/>
        <v>0</v>
      </c>
      <c r="AK12" s="111">
        <f t="shared" si="33"/>
        <v>2025</v>
      </c>
      <c r="AL12" s="113">
        <f t="shared" si="14"/>
        <v>0</v>
      </c>
      <c r="AM12" s="111">
        <v>12</v>
      </c>
      <c r="AN12" s="114">
        <f t="shared" si="15"/>
        <v>0</v>
      </c>
      <c r="AP12" s="111">
        <f t="shared" si="34"/>
        <v>2025</v>
      </c>
      <c r="AQ12" s="113">
        <f t="shared" si="16"/>
        <v>0</v>
      </c>
      <c r="AR12" s="111">
        <v>12</v>
      </c>
      <c r="AS12" s="114">
        <f t="shared" si="17"/>
        <v>0</v>
      </c>
      <c r="AU12" s="111">
        <f t="shared" si="35"/>
        <v>2025</v>
      </c>
      <c r="AV12" s="113">
        <f t="shared" si="18"/>
        <v>0</v>
      </c>
      <c r="AW12" s="111">
        <v>12</v>
      </c>
      <c r="AX12" s="114">
        <f t="shared" si="19"/>
        <v>0</v>
      </c>
      <c r="AZ12" s="111">
        <f t="shared" si="36"/>
        <v>2025</v>
      </c>
      <c r="BA12" s="113">
        <f t="shared" si="20"/>
        <v>591.41</v>
      </c>
      <c r="BB12" s="111">
        <v>12</v>
      </c>
      <c r="BC12" s="114">
        <f t="shared" si="21"/>
        <v>591.41</v>
      </c>
      <c r="BE12" s="111">
        <f t="shared" si="37"/>
        <v>2025</v>
      </c>
      <c r="BF12" s="113">
        <f t="shared" si="22"/>
        <v>0</v>
      </c>
      <c r="BG12" s="111">
        <v>12</v>
      </c>
      <c r="BH12" s="114">
        <f t="shared" si="23"/>
        <v>0</v>
      </c>
      <c r="BJ12" s="111">
        <f t="shared" si="38"/>
        <v>2025</v>
      </c>
      <c r="BK12" s="113">
        <f t="shared" si="24"/>
        <v>0</v>
      </c>
      <c r="BL12" s="111">
        <v>12</v>
      </c>
      <c r="BM12" s="114">
        <f t="shared" si="25"/>
        <v>0</v>
      </c>
    </row>
    <row r="13" spans="2:65">
      <c r="B13" s="111">
        <f t="shared" si="26"/>
        <v>2026</v>
      </c>
      <c r="C13" s="113">
        <f t="shared" si="0"/>
        <v>59.81</v>
      </c>
      <c r="D13" s="111">
        <v>12</v>
      </c>
      <c r="E13" s="114">
        <f t="shared" si="1"/>
        <v>59.81</v>
      </c>
      <c r="G13" s="111">
        <f t="shared" si="27"/>
        <v>2026</v>
      </c>
      <c r="H13" s="113">
        <f t="shared" si="2"/>
        <v>0</v>
      </c>
      <c r="I13" s="111">
        <v>12</v>
      </c>
      <c r="J13" s="114">
        <f t="shared" si="3"/>
        <v>0</v>
      </c>
      <c r="L13" s="111">
        <f t="shared" si="28"/>
        <v>2026</v>
      </c>
      <c r="M13" s="113">
        <f t="shared" si="4"/>
        <v>0</v>
      </c>
      <c r="N13" s="111">
        <v>12</v>
      </c>
      <c r="O13" s="114">
        <f t="shared" si="5"/>
        <v>0</v>
      </c>
      <c r="Q13" s="111">
        <f t="shared" si="29"/>
        <v>2026</v>
      </c>
      <c r="R13" s="113">
        <f t="shared" si="6"/>
        <v>0</v>
      </c>
      <c r="S13" s="111">
        <v>12</v>
      </c>
      <c r="T13" s="114">
        <f t="shared" si="7"/>
        <v>0</v>
      </c>
      <c r="V13" s="111">
        <f t="shared" si="30"/>
        <v>2026</v>
      </c>
      <c r="W13" s="113">
        <f t="shared" si="8"/>
        <v>0</v>
      </c>
      <c r="X13" s="111">
        <v>12</v>
      </c>
      <c r="Y13" s="114">
        <f t="shared" si="9"/>
        <v>0</v>
      </c>
      <c r="AA13" s="293">
        <f t="shared" si="31"/>
        <v>2026</v>
      </c>
      <c r="AB13" s="113">
        <f t="shared" si="10"/>
        <v>54.441007169221002</v>
      </c>
      <c r="AC13" s="111">
        <v>12</v>
      </c>
      <c r="AD13" s="114">
        <f t="shared" si="11"/>
        <v>54.441007169221002</v>
      </c>
      <c r="AF13" s="111">
        <f t="shared" si="32"/>
        <v>2026</v>
      </c>
      <c r="AG13" s="113">
        <f t="shared" si="12"/>
        <v>0</v>
      </c>
      <c r="AH13" s="111">
        <v>12</v>
      </c>
      <c r="AI13" s="114">
        <f t="shared" si="13"/>
        <v>0</v>
      </c>
      <c r="AK13" s="293">
        <f t="shared" si="33"/>
        <v>2026</v>
      </c>
      <c r="AL13" s="113">
        <f t="shared" si="14"/>
        <v>24.740174248339812</v>
      </c>
      <c r="AM13" s="111">
        <v>12</v>
      </c>
      <c r="AN13" s="114">
        <f t="shared" si="15"/>
        <v>24.740174248339812</v>
      </c>
      <c r="AP13" s="111">
        <f t="shared" si="34"/>
        <v>2026</v>
      </c>
      <c r="AQ13" s="113">
        <f t="shared" si="16"/>
        <v>0</v>
      </c>
      <c r="AR13" s="111">
        <v>12</v>
      </c>
      <c r="AS13" s="114">
        <f t="shared" si="17"/>
        <v>0</v>
      </c>
      <c r="AU13" s="111">
        <f t="shared" si="35"/>
        <v>2026</v>
      </c>
      <c r="AV13" s="113">
        <f t="shared" si="18"/>
        <v>0</v>
      </c>
      <c r="AW13" s="111">
        <v>12</v>
      </c>
      <c r="AX13" s="114">
        <f t="shared" si="19"/>
        <v>0</v>
      </c>
      <c r="AZ13" s="111">
        <f t="shared" si="36"/>
        <v>2026</v>
      </c>
      <c r="BA13" s="113">
        <f t="shared" si="20"/>
        <v>604.15</v>
      </c>
      <c r="BB13" s="111">
        <v>12</v>
      </c>
      <c r="BC13" s="114">
        <f t="shared" si="21"/>
        <v>604.15</v>
      </c>
      <c r="BE13" s="293">
        <f t="shared" si="37"/>
        <v>2026</v>
      </c>
      <c r="BF13" s="113">
        <f t="shared" si="22"/>
        <v>2.5355612781817829</v>
      </c>
      <c r="BG13" s="111">
        <v>12</v>
      </c>
      <c r="BH13" s="114">
        <f t="shared" si="23"/>
        <v>2.5355612781817829</v>
      </c>
      <c r="BJ13" s="111">
        <f t="shared" si="38"/>
        <v>2026</v>
      </c>
      <c r="BK13" s="113">
        <f t="shared" si="24"/>
        <v>0</v>
      </c>
      <c r="BL13" s="111">
        <v>12</v>
      </c>
      <c r="BM13" s="114">
        <f t="shared" si="25"/>
        <v>0</v>
      </c>
    </row>
    <row r="14" spans="2:65">
      <c r="B14" s="111">
        <f t="shared" si="26"/>
        <v>2027</v>
      </c>
      <c r="C14" s="113">
        <f t="shared" si="0"/>
        <v>61.1</v>
      </c>
      <c r="D14" s="111">
        <v>12</v>
      </c>
      <c r="E14" s="114">
        <f t="shared" si="1"/>
        <v>61.1</v>
      </c>
      <c r="G14" s="111">
        <f t="shared" si="27"/>
        <v>2027</v>
      </c>
      <c r="H14" s="113">
        <f t="shared" si="2"/>
        <v>0</v>
      </c>
      <c r="I14" s="111">
        <v>12</v>
      </c>
      <c r="J14" s="114">
        <f t="shared" si="3"/>
        <v>0</v>
      </c>
      <c r="L14" s="111">
        <f t="shared" si="28"/>
        <v>2027</v>
      </c>
      <c r="M14" s="113">
        <f t="shared" si="4"/>
        <v>0</v>
      </c>
      <c r="N14" s="111">
        <v>12</v>
      </c>
      <c r="O14" s="114">
        <f t="shared" si="5"/>
        <v>0</v>
      </c>
      <c r="Q14" s="111">
        <f t="shared" si="29"/>
        <v>2027</v>
      </c>
      <c r="R14" s="113">
        <f t="shared" si="6"/>
        <v>0</v>
      </c>
      <c r="S14" s="111">
        <v>12</v>
      </c>
      <c r="T14" s="114">
        <f t="shared" si="7"/>
        <v>0</v>
      </c>
      <c r="V14" s="111">
        <f t="shared" si="30"/>
        <v>2027</v>
      </c>
      <c r="W14" s="113">
        <f t="shared" si="8"/>
        <v>0</v>
      </c>
      <c r="X14" s="111">
        <v>12</v>
      </c>
      <c r="Y14" s="114">
        <f t="shared" si="9"/>
        <v>0</v>
      </c>
      <c r="AA14" s="111">
        <f t="shared" si="31"/>
        <v>2027</v>
      </c>
      <c r="AB14" s="113">
        <f t="shared" si="10"/>
        <v>55.61</v>
      </c>
      <c r="AC14" s="111">
        <v>12</v>
      </c>
      <c r="AD14" s="114">
        <f t="shared" si="11"/>
        <v>55.609999999999992</v>
      </c>
      <c r="AF14" s="111">
        <f t="shared" si="32"/>
        <v>2027</v>
      </c>
      <c r="AG14" s="113">
        <f t="shared" si="12"/>
        <v>0</v>
      </c>
      <c r="AH14" s="111">
        <v>12</v>
      </c>
      <c r="AI14" s="114">
        <f t="shared" si="13"/>
        <v>0</v>
      </c>
      <c r="AK14" s="111">
        <f t="shared" si="33"/>
        <v>2027</v>
      </c>
      <c r="AL14" s="113">
        <f t="shared" si="14"/>
        <v>25.27</v>
      </c>
      <c r="AM14" s="111">
        <v>12</v>
      </c>
      <c r="AN14" s="114">
        <f t="shared" si="15"/>
        <v>25.27</v>
      </c>
      <c r="AP14" s="111">
        <f t="shared" si="34"/>
        <v>2027</v>
      </c>
      <c r="AQ14" s="113">
        <f t="shared" si="16"/>
        <v>0</v>
      </c>
      <c r="AR14" s="111">
        <v>12</v>
      </c>
      <c r="AS14" s="114">
        <f t="shared" si="17"/>
        <v>0</v>
      </c>
      <c r="AU14" s="111">
        <f t="shared" si="35"/>
        <v>2027</v>
      </c>
      <c r="AV14" s="113">
        <f t="shared" si="18"/>
        <v>0</v>
      </c>
      <c r="AW14" s="111">
        <v>12</v>
      </c>
      <c r="AX14" s="114">
        <f t="shared" si="19"/>
        <v>0</v>
      </c>
      <c r="AZ14" s="111">
        <f t="shared" si="36"/>
        <v>2027</v>
      </c>
      <c r="BA14" s="113">
        <f t="shared" si="20"/>
        <v>617.16999999999996</v>
      </c>
      <c r="BB14" s="111">
        <v>12</v>
      </c>
      <c r="BC14" s="114">
        <f t="shared" si="21"/>
        <v>617.16999999999996</v>
      </c>
      <c r="BD14" s="151"/>
      <c r="BE14" s="111">
        <f t="shared" si="37"/>
        <v>2027</v>
      </c>
      <c r="BF14" s="113">
        <f t="shared" si="22"/>
        <v>2.59</v>
      </c>
      <c r="BG14" s="111">
        <v>12</v>
      </c>
      <c r="BH14" s="114">
        <f t="shared" si="23"/>
        <v>2.59</v>
      </c>
      <c r="BJ14" s="111">
        <f t="shared" si="38"/>
        <v>2027</v>
      </c>
      <c r="BK14" s="113">
        <f t="shared" si="24"/>
        <v>0</v>
      </c>
      <c r="BL14" s="111">
        <v>12</v>
      </c>
      <c r="BM14" s="114">
        <f t="shared" si="25"/>
        <v>0</v>
      </c>
    </row>
    <row r="15" spans="2:65">
      <c r="B15" s="111">
        <f t="shared" si="26"/>
        <v>2028</v>
      </c>
      <c r="C15" s="113">
        <f t="shared" si="0"/>
        <v>62.42</v>
      </c>
      <c r="D15" s="111">
        <v>12</v>
      </c>
      <c r="E15" s="114">
        <f t="shared" si="1"/>
        <v>62.419999999999995</v>
      </c>
      <c r="G15" s="111">
        <f t="shared" si="27"/>
        <v>2028</v>
      </c>
      <c r="H15" s="113">
        <f t="shared" si="2"/>
        <v>0</v>
      </c>
      <c r="I15" s="111">
        <v>12</v>
      </c>
      <c r="J15" s="114">
        <f t="shared" si="3"/>
        <v>0</v>
      </c>
      <c r="L15" s="111">
        <f t="shared" si="28"/>
        <v>2028</v>
      </c>
      <c r="M15" s="113">
        <f t="shared" si="4"/>
        <v>0</v>
      </c>
      <c r="N15" s="111">
        <v>12</v>
      </c>
      <c r="O15" s="114">
        <f t="shared" si="5"/>
        <v>0</v>
      </c>
      <c r="Q15" s="111">
        <f t="shared" si="29"/>
        <v>2028</v>
      </c>
      <c r="R15" s="113">
        <f t="shared" si="6"/>
        <v>0</v>
      </c>
      <c r="S15" s="111">
        <v>12</v>
      </c>
      <c r="T15" s="114">
        <f t="shared" si="7"/>
        <v>0</v>
      </c>
      <c r="V15" s="111">
        <f t="shared" si="30"/>
        <v>2028</v>
      </c>
      <c r="W15" s="113">
        <f t="shared" si="8"/>
        <v>0</v>
      </c>
      <c r="X15" s="111">
        <v>12</v>
      </c>
      <c r="Y15" s="114">
        <f t="shared" si="9"/>
        <v>0</v>
      </c>
      <c r="AA15" s="111">
        <f t="shared" si="31"/>
        <v>2028</v>
      </c>
      <c r="AB15" s="113">
        <f t="shared" si="10"/>
        <v>56.81</v>
      </c>
      <c r="AC15" s="111">
        <v>12</v>
      </c>
      <c r="AD15" s="114">
        <f t="shared" si="11"/>
        <v>56.81</v>
      </c>
      <c r="AF15" s="111">
        <f t="shared" si="32"/>
        <v>2028</v>
      </c>
      <c r="AG15" s="113">
        <f t="shared" si="12"/>
        <v>0</v>
      </c>
      <c r="AH15" s="111">
        <v>12</v>
      </c>
      <c r="AI15" s="114">
        <f t="shared" si="13"/>
        <v>0</v>
      </c>
      <c r="AK15" s="111">
        <f t="shared" si="33"/>
        <v>2028</v>
      </c>
      <c r="AL15" s="113">
        <f t="shared" si="14"/>
        <v>25.81</v>
      </c>
      <c r="AM15" s="111">
        <v>12</v>
      </c>
      <c r="AN15" s="114">
        <f t="shared" si="15"/>
        <v>25.81</v>
      </c>
      <c r="AP15" s="293">
        <f t="shared" si="34"/>
        <v>2028</v>
      </c>
      <c r="AQ15" s="113">
        <f t="shared" si="16"/>
        <v>9.0939944302083777</v>
      </c>
      <c r="AR15" s="111">
        <v>12</v>
      </c>
      <c r="AS15" s="114">
        <f t="shared" si="17"/>
        <v>9.0939944302083777</v>
      </c>
      <c r="AU15" s="111">
        <f t="shared" si="35"/>
        <v>2028</v>
      </c>
      <c r="AV15" s="113">
        <f t="shared" si="18"/>
        <v>0</v>
      </c>
      <c r="AW15" s="111">
        <v>12</v>
      </c>
      <c r="AX15" s="114">
        <f t="shared" si="19"/>
        <v>0</v>
      </c>
      <c r="AZ15" s="111">
        <f t="shared" si="36"/>
        <v>2028</v>
      </c>
      <c r="BA15" s="113">
        <f t="shared" si="20"/>
        <v>630.47</v>
      </c>
      <c r="BB15" s="111">
        <v>12</v>
      </c>
      <c r="BC15" s="114">
        <f t="shared" si="21"/>
        <v>630.47</v>
      </c>
      <c r="BE15" s="111">
        <f t="shared" si="37"/>
        <v>2028</v>
      </c>
      <c r="BF15" s="113">
        <f t="shared" si="22"/>
        <v>2.65</v>
      </c>
      <c r="BG15" s="111">
        <v>12</v>
      </c>
      <c r="BH15" s="114">
        <f t="shared" si="23"/>
        <v>2.65</v>
      </c>
      <c r="BJ15" s="111">
        <f t="shared" si="38"/>
        <v>2028</v>
      </c>
      <c r="BK15" s="113">
        <f t="shared" si="24"/>
        <v>0</v>
      </c>
      <c r="BL15" s="111">
        <v>12</v>
      </c>
      <c r="BM15" s="114">
        <f t="shared" si="25"/>
        <v>0</v>
      </c>
    </row>
    <row r="16" spans="2:65">
      <c r="B16" s="111">
        <f t="shared" si="26"/>
        <v>2029</v>
      </c>
      <c r="C16" s="113">
        <f t="shared" si="0"/>
        <v>63.77</v>
      </c>
      <c r="D16" s="111">
        <v>12</v>
      </c>
      <c r="E16" s="114">
        <f t="shared" si="1"/>
        <v>63.77</v>
      </c>
      <c r="G16" s="111">
        <f t="shared" si="27"/>
        <v>2029</v>
      </c>
      <c r="H16" s="113">
        <f t="shared" si="2"/>
        <v>0</v>
      </c>
      <c r="I16" s="111">
        <v>12</v>
      </c>
      <c r="J16" s="114">
        <f t="shared" si="3"/>
        <v>0</v>
      </c>
      <c r="L16" s="111">
        <f t="shared" si="28"/>
        <v>2029</v>
      </c>
      <c r="M16" s="113">
        <f t="shared" si="4"/>
        <v>0</v>
      </c>
      <c r="N16" s="111">
        <v>12</v>
      </c>
      <c r="O16" s="114">
        <f t="shared" si="5"/>
        <v>0</v>
      </c>
      <c r="Q16" s="111">
        <f t="shared" si="29"/>
        <v>2029</v>
      </c>
      <c r="R16" s="113">
        <f t="shared" si="6"/>
        <v>0</v>
      </c>
      <c r="S16" s="111">
        <v>12</v>
      </c>
      <c r="T16" s="114">
        <f t="shared" si="7"/>
        <v>0</v>
      </c>
      <c r="V16" s="111">
        <f t="shared" si="30"/>
        <v>2029</v>
      </c>
      <c r="W16" s="113">
        <f t="shared" si="8"/>
        <v>0</v>
      </c>
      <c r="X16" s="111">
        <v>12</v>
      </c>
      <c r="Y16" s="114">
        <f t="shared" si="9"/>
        <v>0</v>
      </c>
      <c r="AA16" s="111">
        <f t="shared" si="31"/>
        <v>2029</v>
      </c>
      <c r="AB16" s="113">
        <f t="shared" si="10"/>
        <v>58.03</v>
      </c>
      <c r="AC16" s="111">
        <v>12</v>
      </c>
      <c r="AD16" s="114">
        <f t="shared" si="11"/>
        <v>58.03</v>
      </c>
      <c r="AF16" s="111">
        <f t="shared" si="32"/>
        <v>2029</v>
      </c>
      <c r="AG16" s="113">
        <f t="shared" si="12"/>
        <v>0</v>
      </c>
      <c r="AH16" s="111">
        <v>12</v>
      </c>
      <c r="AI16" s="114">
        <f t="shared" si="13"/>
        <v>0</v>
      </c>
      <c r="AK16" s="111">
        <f t="shared" si="33"/>
        <v>2029</v>
      </c>
      <c r="AL16" s="113">
        <f t="shared" si="14"/>
        <v>26.37</v>
      </c>
      <c r="AM16" s="111">
        <v>12</v>
      </c>
      <c r="AN16" s="114">
        <f t="shared" si="15"/>
        <v>26.37</v>
      </c>
      <c r="AP16" s="111">
        <f t="shared" si="34"/>
        <v>2029</v>
      </c>
      <c r="AQ16" s="113">
        <f t="shared" si="16"/>
        <v>9.2899999999999991</v>
      </c>
      <c r="AR16" s="111">
        <v>12</v>
      </c>
      <c r="AS16" s="114">
        <f t="shared" si="17"/>
        <v>9.2899999999999991</v>
      </c>
      <c r="AU16" s="111">
        <f t="shared" si="35"/>
        <v>2029</v>
      </c>
      <c r="AV16" s="113">
        <f t="shared" si="18"/>
        <v>0</v>
      </c>
      <c r="AW16" s="111">
        <v>12</v>
      </c>
      <c r="AX16" s="114">
        <f t="shared" si="19"/>
        <v>0</v>
      </c>
      <c r="AZ16" s="111">
        <f t="shared" si="36"/>
        <v>2029</v>
      </c>
      <c r="BA16" s="113">
        <f t="shared" si="20"/>
        <v>644.05999999999995</v>
      </c>
      <c r="BB16" s="111">
        <v>12</v>
      </c>
      <c r="BC16" s="114">
        <f t="shared" si="21"/>
        <v>644.05999999999995</v>
      </c>
      <c r="BE16" s="111">
        <f t="shared" si="37"/>
        <v>2029</v>
      </c>
      <c r="BF16" s="113">
        <f t="shared" si="22"/>
        <v>2.71</v>
      </c>
      <c r="BG16" s="111">
        <v>12</v>
      </c>
      <c r="BH16" s="114">
        <f t="shared" si="23"/>
        <v>2.7099999999999995</v>
      </c>
      <c r="BJ16" s="293">
        <f t="shared" si="38"/>
        <v>2029</v>
      </c>
      <c r="BK16" s="113">
        <f t="shared" si="24"/>
        <v>5.6747035126682794</v>
      </c>
      <c r="BL16" s="111">
        <v>12</v>
      </c>
      <c r="BM16" s="114">
        <f t="shared" si="25"/>
        <v>5.6747035126682794</v>
      </c>
    </row>
    <row r="17" spans="2:65">
      <c r="B17" s="111">
        <f t="shared" si="26"/>
        <v>2030</v>
      </c>
      <c r="C17" s="113">
        <f t="shared" si="0"/>
        <v>65.14</v>
      </c>
      <c r="D17" s="111">
        <v>12</v>
      </c>
      <c r="E17" s="114">
        <f t="shared" si="1"/>
        <v>65.14</v>
      </c>
      <c r="G17" s="111">
        <f t="shared" si="27"/>
        <v>2030</v>
      </c>
      <c r="H17" s="113">
        <f t="shared" si="2"/>
        <v>0</v>
      </c>
      <c r="I17" s="111">
        <v>12</v>
      </c>
      <c r="J17" s="114">
        <f t="shared" si="3"/>
        <v>0</v>
      </c>
      <c r="L17" s="111">
        <f t="shared" si="28"/>
        <v>2030</v>
      </c>
      <c r="M17" s="113">
        <f t="shared" si="4"/>
        <v>0</v>
      </c>
      <c r="N17" s="111">
        <v>12</v>
      </c>
      <c r="O17" s="114">
        <f t="shared" si="5"/>
        <v>0</v>
      </c>
      <c r="Q17" s="111">
        <f t="shared" si="29"/>
        <v>2030</v>
      </c>
      <c r="R17" s="113">
        <f t="shared" si="6"/>
        <v>0</v>
      </c>
      <c r="S17" s="111">
        <v>12</v>
      </c>
      <c r="T17" s="114">
        <f t="shared" si="7"/>
        <v>0</v>
      </c>
      <c r="V17" s="111">
        <f t="shared" si="30"/>
        <v>2030</v>
      </c>
      <c r="W17" s="113">
        <f t="shared" si="8"/>
        <v>0</v>
      </c>
      <c r="X17" s="111">
        <v>12</v>
      </c>
      <c r="Y17" s="114">
        <f t="shared" si="9"/>
        <v>0</v>
      </c>
      <c r="AA17" s="111">
        <f t="shared" si="31"/>
        <v>2030</v>
      </c>
      <c r="AB17" s="113">
        <f t="shared" si="10"/>
        <v>59.28</v>
      </c>
      <c r="AC17" s="111">
        <v>12</v>
      </c>
      <c r="AD17" s="114">
        <f t="shared" si="11"/>
        <v>59.28</v>
      </c>
      <c r="AF17" s="111">
        <f t="shared" si="32"/>
        <v>2030</v>
      </c>
      <c r="AG17" s="113">
        <f t="shared" si="12"/>
        <v>0</v>
      </c>
      <c r="AH17" s="111">
        <v>12</v>
      </c>
      <c r="AI17" s="114">
        <f t="shared" si="13"/>
        <v>0</v>
      </c>
      <c r="AK17" s="111">
        <f t="shared" si="33"/>
        <v>2030</v>
      </c>
      <c r="AL17" s="113">
        <f t="shared" si="14"/>
        <v>26.94</v>
      </c>
      <c r="AM17" s="111">
        <v>12</v>
      </c>
      <c r="AN17" s="114">
        <f t="shared" si="15"/>
        <v>26.94</v>
      </c>
      <c r="AP17" s="111">
        <f t="shared" si="34"/>
        <v>2030</v>
      </c>
      <c r="AQ17" s="113">
        <f t="shared" si="16"/>
        <v>9.49</v>
      </c>
      <c r="AR17" s="111">
        <v>12</v>
      </c>
      <c r="AS17" s="114">
        <f t="shared" si="17"/>
        <v>9.49</v>
      </c>
      <c r="AU17" s="111">
        <f t="shared" si="35"/>
        <v>2030</v>
      </c>
      <c r="AV17" s="113">
        <f t="shared" si="18"/>
        <v>0</v>
      </c>
      <c r="AW17" s="111">
        <v>12</v>
      </c>
      <c r="AX17" s="114">
        <f t="shared" si="19"/>
        <v>0</v>
      </c>
      <c r="AZ17" s="111">
        <f t="shared" si="36"/>
        <v>2030</v>
      </c>
      <c r="BA17" s="113">
        <f t="shared" si="20"/>
        <v>657.94</v>
      </c>
      <c r="BB17" s="111">
        <v>12</v>
      </c>
      <c r="BC17" s="114">
        <f t="shared" si="21"/>
        <v>657.94</v>
      </c>
      <c r="BE17" s="111">
        <f t="shared" si="37"/>
        <v>2030</v>
      </c>
      <c r="BF17" s="113">
        <f t="shared" si="22"/>
        <v>2.77</v>
      </c>
      <c r="BG17" s="111">
        <v>12</v>
      </c>
      <c r="BH17" s="114">
        <f t="shared" si="23"/>
        <v>2.77</v>
      </c>
      <c r="BJ17" s="111">
        <f t="shared" si="38"/>
        <v>2030</v>
      </c>
      <c r="BK17" s="113">
        <f t="shared" si="24"/>
        <v>5.8</v>
      </c>
      <c r="BL17" s="111">
        <v>12</v>
      </c>
      <c r="BM17" s="114">
        <f t="shared" si="25"/>
        <v>5.8</v>
      </c>
    </row>
    <row r="18" spans="2:65">
      <c r="B18" s="111">
        <f t="shared" si="26"/>
        <v>2031</v>
      </c>
      <c r="C18" s="113">
        <f t="shared" si="0"/>
        <v>66.540000000000006</v>
      </c>
      <c r="D18" s="111">
        <v>12</v>
      </c>
      <c r="E18" s="114">
        <f t="shared" si="1"/>
        <v>66.540000000000006</v>
      </c>
      <c r="G18" s="111">
        <f t="shared" si="27"/>
        <v>2031</v>
      </c>
      <c r="H18" s="113">
        <f t="shared" si="2"/>
        <v>0</v>
      </c>
      <c r="I18" s="111">
        <v>12</v>
      </c>
      <c r="J18" s="114">
        <f t="shared" si="3"/>
        <v>0</v>
      </c>
      <c r="L18" s="111">
        <f t="shared" si="28"/>
        <v>2031</v>
      </c>
      <c r="M18" s="113">
        <f t="shared" si="4"/>
        <v>0</v>
      </c>
      <c r="N18" s="111">
        <v>12</v>
      </c>
      <c r="O18" s="114">
        <f t="shared" si="5"/>
        <v>0</v>
      </c>
      <c r="Q18" s="111">
        <f t="shared" si="29"/>
        <v>2031</v>
      </c>
      <c r="R18" s="113">
        <f t="shared" si="6"/>
        <v>0</v>
      </c>
      <c r="S18" s="111">
        <v>12</v>
      </c>
      <c r="T18" s="114">
        <f t="shared" si="7"/>
        <v>0</v>
      </c>
      <c r="V18" s="111">
        <f t="shared" si="30"/>
        <v>2031</v>
      </c>
      <c r="W18" s="113">
        <f t="shared" si="8"/>
        <v>0</v>
      </c>
      <c r="X18" s="111">
        <v>12</v>
      </c>
      <c r="Y18" s="114">
        <f t="shared" si="9"/>
        <v>0</v>
      </c>
      <c r="AA18" s="111">
        <f t="shared" si="31"/>
        <v>2031</v>
      </c>
      <c r="AB18" s="113">
        <f t="shared" si="10"/>
        <v>60.56</v>
      </c>
      <c r="AC18" s="111">
        <v>12</v>
      </c>
      <c r="AD18" s="114">
        <f t="shared" si="11"/>
        <v>60.56</v>
      </c>
      <c r="AF18" s="111">
        <f t="shared" si="32"/>
        <v>2031</v>
      </c>
      <c r="AG18" s="113">
        <f t="shared" si="12"/>
        <v>0</v>
      </c>
      <c r="AH18" s="111">
        <v>12</v>
      </c>
      <c r="AI18" s="114">
        <f t="shared" si="13"/>
        <v>0</v>
      </c>
      <c r="AK18" s="111">
        <f t="shared" si="33"/>
        <v>2031</v>
      </c>
      <c r="AL18" s="113">
        <f t="shared" si="14"/>
        <v>27.52</v>
      </c>
      <c r="AM18" s="111">
        <v>12</v>
      </c>
      <c r="AN18" s="114">
        <f t="shared" si="15"/>
        <v>27.52</v>
      </c>
      <c r="AP18" s="111">
        <f t="shared" si="34"/>
        <v>2031</v>
      </c>
      <c r="AQ18" s="113">
        <f t="shared" si="16"/>
        <v>9.69</v>
      </c>
      <c r="AR18" s="111">
        <v>12</v>
      </c>
      <c r="AS18" s="114">
        <f t="shared" si="17"/>
        <v>9.69</v>
      </c>
      <c r="AU18" s="293">
        <f t="shared" si="35"/>
        <v>2031</v>
      </c>
      <c r="AV18" s="113">
        <f t="shared" si="18"/>
        <v>12.45513744317196</v>
      </c>
      <c r="AW18" s="111">
        <v>12</v>
      </c>
      <c r="AX18" s="114">
        <f t="shared" si="19"/>
        <v>12.455137443171958</v>
      </c>
      <c r="AZ18" s="111">
        <f t="shared" si="36"/>
        <v>2031</v>
      </c>
      <c r="BA18" s="113">
        <f t="shared" si="20"/>
        <v>672.12</v>
      </c>
      <c r="BB18" s="111">
        <v>12</v>
      </c>
      <c r="BC18" s="114">
        <f t="shared" si="21"/>
        <v>672.12</v>
      </c>
      <c r="BE18" s="111">
        <f t="shared" si="37"/>
        <v>2031</v>
      </c>
      <c r="BF18" s="113">
        <f t="shared" si="22"/>
        <v>2.83</v>
      </c>
      <c r="BG18" s="111">
        <v>12</v>
      </c>
      <c r="BH18" s="114">
        <f t="shared" si="23"/>
        <v>2.83</v>
      </c>
      <c r="BJ18" s="111">
        <f t="shared" si="38"/>
        <v>2031</v>
      </c>
      <c r="BK18" s="113">
        <f t="shared" si="24"/>
        <v>5.92</v>
      </c>
      <c r="BL18" s="111">
        <v>12</v>
      </c>
      <c r="BM18" s="114">
        <f t="shared" si="25"/>
        <v>5.919999999999999</v>
      </c>
    </row>
    <row r="19" spans="2:65">
      <c r="B19" s="111">
        <f t="shared" si="26"/>
        <v>2032</v>
      </c>
      <c r="C19" s="113">
        <f t="shared" si="0"/>
        <v>67.97</v>
      </c>
      <c r="D19" s="111">
        <v>12</v>
      </c>
      <c r="E19" s="114">
        <f t="shared" si="1"/>
        <v>67.97</v>
      </c>
      <c r="G19" s="111">
        <f t="shared" si="27"/>
        <v>2032</v>
      </c>
      <c r="H19" s="113">
        <f t="shared" si="2"/>
        <v>0</v>
      </c>
      <c r="I19" s="111">
        <v>12</v>
      </c>
      <c r="J19" s="114">
        <f t="shared" si="3"/>
        <v>0</v>
      </c>
      <c r="L19" s="293">
        <f t="shared" si="28"/>
        <v>2032</v>
      </c>
      <c r="M19" s="113">
        <f t="shared" si="4"/>
        <v>39.181880716207971</v>
      </c>
      <c r="N19" s="111">
        <v>12</v>
      </c>
      <c r="O19" s="114">
        <f t="shared" si="5"/>
        <v>39.181880716207971</v>
      </c>
      <c r="Q19" s="111">
        <f t="shared" si="29"/>
        <v>2032</v>
      </c>
      <c r="R19" s="113">
        <f t="shared" si="6"/>
        <v>0</v>
      </c>
      <c r="S19" s="111">
        <v>12</v>
      </c>
      <c r="T19" s="114">
        <f t="shared" si="7"/>
        <v>0</v>
      </c>
      <c r="V19" s="111">
        <f t="shared" si="30"/>
        <v>2032</v>
      </c>
      <c r="W19" s="113">
        <f t="shared" si="8"/>
        <v>0</v>
      </c>
      <c r="X19" s="111">
        <v>12</v>
      </c>
      <c r="Y19" s="114">
        <f t="shared" si="9"/>
        <v>0</v>
      </c>
      <c r="AA19" s="111">
        <f t="shared" si="31"/>
        <v>2032</v>
      </c>
      <c r="AB19" s="113">
        <f t="shared" si="10"/>
        <v>61.87</v>
      </c>
      <c r="AC19" s="111">
        <v>12</v>
      </c>
      <c r="AD19" s="114">
        <f t="shared" si="11"/>
        <v>61.87</v>
      </c>
      <c r="AF19" s="111">
        <f t="shared" si="32"/>
        <v>2032</v>
      </c>
      <c r="AG19" s="113">
        <f t="shared" si="12"/>
        <v>0</v>
      </c>
      <c r="AH19" s="111">
        <v>12</v>
      </c>
      <c r="AI19" s="114">
        <f t="shared" si="13"/>
        <v>0</v>
      </c>
      <c r="AK19" s="111">
        <f t="shared" si="33"/>
        <v>2032</v>
      </c>
      <c r="AL19" s="113">
        <f t="shared" si="14"/>
        <v>28.11</v>
      </c>
      <c r="AM19" s="111">
        <v>12</v>
      </c>
      <c r="AN19" s="114">
        <f t="shared" si="15"/>
        <v>28.11</v>
      </c>
      <c r="AP19" s="111">
        <f t="shared" si="34"/>
        <v>2032</v>
      </c>
      <c r="AQ19" s="113">
        <f t="shared" si="16"/>
        <v>9.9</v>
      </c>
      <c r="AR19" s="111">
        <v>12</v>
      </c>
      <c r="AS19" s="114">
        <f t="shared" si="17"/>
        <v>9.9</v>
      </c>
      <c r="AU19" s="111">
        <f t="shared" si="35"/>
        <v>2032</v>
      </c>
      <c r="AV19" s="113">
        <f t="shared" si="18"/>
        <v>12.72</v>
      </c>
      <c r="AW19" s="111">
        <v>12</v>
      </c>
      <c r="AX19" s="114">
        <f t="shared" si="19"/>
        <v>12.72</v>
      </c>
      <c r="AZ19" s="111">
        <f t="shared" si="36"/>
        <v>2032</v>
      </c>
      <c r="BA19" s="113">
        <f t="shared" si="20"/>
        <v>686.6</v>
      </c>
      <c r="BB19" s="111">
        <v>12</v>
      </c>
      <c r="BC19" s="114">
        <f t="shared" si="21"/>
        <v>686.6</v>
      </c>
      <c r="BE19" s="111">
        <f t="shared" si="37"/>
        <v>2032</v>
      </c>
      <c r="BF19" s="113">
        <f t="shared" si="22"/>
        <v>2.89</v>
      </c>
      <c r="BG19" s="111">
        <v>12</v>
      </c>
      <c r="BH19" s="114">
        <f t="shared" si="23"/>
        <v>2.89</v>
      </c>
      <c r="BJ19" s="111">
        <f t="shared" si="38"/>
        <v>2032</v>
      </c>
      <c r="BK19" s="113">
        <f t="shared" si="24"/>
        <v>6.05</v>
      </c>
      <c r="BL19" s="111">
        <v>12</v>
      </c>
      <c r="BM19" s="114">
        <f t="shared" si="25"/>
        <v>6.05</v>
      </c>
    </row>
    <row r="20" spans="2:65">
      <c r="B20" s="111">
        <f t="shared" si="26"/>
        <v>2033</v>
      </c>
      <c r="C20" s="113">
        <f t="shared" si="0"/>
        <v>69.430000000000007</v>
      </c>
      <c r="D20" s="111">
        <v>12</v>
      </c>
      <c r="E20" s="114">
        <f t="shared" si="1"/>
        <v>69.430000000000007</v>
      </c>
      <c r="G20" s="293">
        <f t="shared" si="27"/>
        <v>2033</v>
      </c>
      <c r="H20" s="113">
        <f t="shared" si="2"/>
        <v>13.177008391297024</v>
      </c>
      <c r="I20" s="111">
        <v>12</v>
      </c>
      <c r="J20" s="114">
        <f t="shared" si="3"/>
        <v>13.177008391297024</v>
      </c>
      <c r="L20" s="111">
        <f t="shared" si="28"/>
        <v>2033</v>
      </c>
      <c r="M20" s="113">
        <f t="shared" si="4"/>
        <v>40.03</v>
      </c>
      <c r="N20" s="111">
        <v>12</v>
      </c>
      <c r="O20" s="114">
        <f t="shared" si="5"/>
        <v>40.03</v>
      </c>
      <c r="Q20" s="111">
        <f t="shared" si="29"/>
        <v>2033</v>
      </c>
      <c r="R20" s="113">
        <f t="shared" si="6"/>
        <v>0</v>
      </c>
      <c r="S20" s="111">
        <v>12</v>
      </c>
      <c r="T20" s="114">
        <f t="shared" si="7"/>
        <v>0</v>
      </c>
      <c r="V20" s="111">
        <f t="shared" si="30"/>
        <v>2033</v>
      </c>
      <c r="W20" s="113">
        <f t="shared" si="8"/>
        <v>0</v>
      </c>
      <c r="X20" s="111">
        <v>12</v>
      </c>
      <c r="Y20" s="114">
        <f t="shared" si="9"/>
        <v>0</v>
      </c>
      <c r="AA20" s="111">
        <f t="shared" si="31"/>
        <v>2033</v>
      </c>
      <c r="AB20" s="113">
        <f t="shared" si="10"/>
        <v>63.2</v>
      </c>
      <c r="AC20" s="111">
        <v>12</v>
      </c>
      <c r="AD20" s="114">
        <f t="shared" si="11"/>
        <v>63.20000000000001</v>
      </c>
      <c r="AF20" s="111">
        <f t="shared" si="32"/>
        <v>2033</v>
      </c>
      <c r="AG20" s="113">
        <f t="shared" si="12"/>
        <v>0</v>
      </c>
      <c r="AH20" s="111">
        <v>12</v>
      </c>
      <c r="AI20" s="114">
        <f t="shared" si="13"/>
        <v>0</v>
      </c>
      <c r="AK20" s="111">
        <f t="shared" si="33"/>
        <v>2033</v>
      </c>
      <c r="AL20" s="113">
        <f t="shared" si="14"/>
        <v>28.72</v>
      </c>
      <c r="AM20" s="111">
        <v>12</v>
      </c>
      <c r="AN20" s="114">
        <f t="shared" si="15"/>
        <v>28.72</v>
      </c>
      <c r="AP20" s="111">
        <f t="shared" si="34"/>
        <v>2033</v>
      </c>
      <c r="AQ20" s="113">
        <f t="shared" si="16"/>
        <v>10.11</v>
      </c>
      <c r="AR20" s="111">
        <v>12</v>
      </c>
      <c r="AS20" s="114">
        <f t="shared" si="17"/>
        <v>10.11</v>
      </c>
      <c r="AU20" s="111">
        <f t="shared" si="35"/>
        <v>2033</v>
      </c>
      <c r="AV20" s="113">
        <f t="shared" si="18"/>
        <v>12.99</v>
      </c>
      <c r="AW20" s="111">
        <v>12</v>
      </c>
      <c r="AX20" s="114">
        <f t="shared" si="19"/>
        <v>12.99</v>
      </c>
      <c r="AZ20" s="111">
        <f t="shared" si="36"/>
        <v>2033</v>
      </c>
      <c r="BA20" s="113">
        <f t="shared" si="20"/>
        <v>701.4</v>
      </c>
      <c r="BB20" s="111">
        <v>12</v>
      </c>
      <c r="BC20" s="114">
        <f t="shared" si="21"/>
        <v>701.4</v>
      </c>
      <c r="BE20" s="111">
        <f t="shared" si="37"/>
        <v>2033</v>
      </c>
      <c r="BF20" s="113">
        <f t="shared" si="22"/>
        <v>2.95</v>
      </c>
      <c r="BG20" s="111">
        <v>12</v>
      </c>
      <c r="BH20" s="114">
        <f t="shared" si="23"/>
        <v>2.9500000000000006</v>
      </c>
      <c r="BJ20" s="111">
        <f t="shared" si="38"/>
        <v>2033</v>
      </c>
      <c r="BK20" s="113">
        <f t="shared" si="24"/>
        <v>6.18</v>
      </c>
      <c r="BL20" s="111">
        <v>12</v>
      </c>
      <c r="BM20" s="114">
        <f t="shared" si="25"/>
        <v>6.18</v>
      </c>
    </row>
    <row r="21" spans="2:65">
      <c r="B21" s="111">
        <f t="shared" si="26"/>
        <v>2034</v>
      </c>
      <c r="C21" s="113">
        <f t="shared" si="0"/>
        <v>70.930000000000007</v>
      </c>
      <c r="D21" s="111">
        <v>12</v>
      </c>
      <c r="E21" s="114">
        <f t="shared" si="1"/>
        <v>70.930000000000007</v>
      </c>
      <c r="G21" s="111">
        <f t="shared" si="27"/>
        <v>2034</v>
      </c>
      <c r="H21" s="113">
        <f t="shared" si="2"/>
        <v>13.46</v>
      </c>
      <c r="I21" s="111">
        <v>12</v>
      </c>
      <c r="J21" s="114">
        <f t="shared" si="3"/>
        <v>13.46</v>
      </c>
      <c r="L21" s="111">
        <f t="shared" si="28"/>
        <v>2034</v>
      </c>
      <c r="M21" s="113">
        <f t="shared" si="4"/>
        <v>40.89</v>
      </c>
      <c r="N21" s="111">
        <v>12</v>
      </c>
      <c r="O21" s="114">
        <f t="shared" si="5"/>
        <v>40.89</v>
      </c>
      <c r="Q21" s="111">
        <f t="shared" si="29"/>
        <v>2034</v>
      </c>
      <c r="R21" s="113">
        <f t="shared" si="6"/>
        <v>0</v>
      </c>
      <c r="S21" s="111">
        <v>12</v>
      </c>
      <c r="T21" s="114">
        <f t="shared" si="7"/>
        <v>0</v>
      </c>
      <c r="V21" s="111">
        <f t="shared" si="30"/>
        <v>2034</v>
      </c>
      <c r="W21" s="113">
        <f t="shared" si="8"/>
        <v>0</v>
      </c>
      <c r="X21" s="111">
        <v>12</v>
      </c>
      <c r="Y21" s="114">
        <f t="shared" si="9"/>
        <v>0</v>
      </c>
      <c r="AA21" s="111">
        <f t="shared" si="31"/>
        <v>2034</v>
      </c>
      <c r="AB21" s="113">
        <f t="shared" si="10"/>
        <v>64.56</v>
      </c>
      <c r="AC21" s="111">
        <v>12</v>
      </c>
      <c r="AD21" s="114">
        <f t="shared" si="11"/>
        <v>64.56</v>
      </c>
      <c r="AF21" s="111">
        <f t="shared" si="32"/>
        <v>2034</v>
      </c>
      <c r="AG21" s="113">
        <f t="shared" si="12"/>
        <v>0</v>
      </c>
      <c r="AH21" s="111">
        <v>12</v>
      </c>
      <c r="AI21" s="114">
        <f t="shared" si="13"/>
        <v>0</v>
      </c>
      <c r="AK21" s="111">
        <f t="shared" si="33"/>
        <v>2034</v>
      </c>
      <c r="AL21" s="113">
        <f t="shared" si="14"/>
        <v>29.34</v>
      </c>
      <c r="AM21" s="111">
        <v>12</v>
      </c>
      <c r="AN21" s="114">
        <f t="shared" si="15"/>
        <v>29.34</v>
      </c>
      <c r="AP21" s="111">
        <f t="shared" si="34"/>
        <v>2034</v>
      </c>
      <c r="AQ21" s="113">
        <f t="shared" si="16"/>
        <v>10.33</v>
      </c>
      <c r="AR21" s="111">
        <v>12</v>
      </c>
      <c r="AS21" s="114">
        <f t="shared" si="17"/>
        <v>10.33</v>
      </c>
      <c r="AU21" s="111">
        <f t="shared" si="35"/>
        <v>2034</v>
      </c>
      <c r="AV21" s="113">
        <f t="shared" si="18"/>
        <v>13.27</v>
      </c>
      <c r="AW21" s="111">
        <v>12</v>
      </c>
      <c r="AX21" s="114">
        <f t="shared" si="19"/>
        <v>13.270000000000001</v>
      </c>
      <c r="AZ21" s="111">
        <f t="shared" si="36"/>
        <v>2034</v>
      </c>
      <c r="BA21" s="113">
        <f t="shared" si="20"/>
        <v>716.52</v>
      </c>
      <c r="BB21" s="111">
        <v>12</v>
      </c>
      <c r="BC21" s="114">
        <f t="shared" si="21"/>
        <v>716.52</v>
      </c>
      <c r="BE21" s="111">
        <f t="shared" si="37"/>
        <v>2034</v>
      </c>
      <c r="BF21" s="113">
        <f t="shared" si="22"/>
        <v>3.01</v>
      </c>
      <c r="BG21" s="111">
        <v>12</v>
      </c>
      <c r="BH21" s="114">
        <f t="shared" si="23"/>
        <v>3.01</v>
      </c>
      <c r="BJ21" s="111">
        <f t="shared" si="38"/>
        <v>2034</v>
      </c>
      <c r="BK21" s="113">
        <f t="shared" si="24"/>
        <v>6.31</v>
      </c>
      <c r="BL21" s="111">
        <v>12</v>
      </c>
      <c r="BM21" s="114">
        <f t="shared" si="25"/>
        <v>6.31</v>
      </c>
    </row>
    <row r="22" spans="2:65">
      <c r="B22" s="111">
        <f t="shared" si="26"/>
        <v>2035</v>
      </c>
      <c r="C22" s="113">
        <f t="shared" si="0"/>
        <v>72.459999999999994</v>
      </c>
      <c r="D22" s="111">
        <v>12</v>
      </c>
      <c r="E22" s="114">
        <f t="shared" si="1"/>
        <v>72.459999999999994</v>
      </c>
      <c r="G22" s="111">
        <f t="shared" si="27"/>
        <v>2035</v>
      </c>
      <c r="H22" s="113">
        <f t="shared" si="2"/>
        <v>13.75</v>
      </c>
      <c r="I22" s="111">
        <v>12</v>
      </c>
      <c r="J22" s="114">
        <f t="shared" si="3"/>
        <v>13.75</v>
      </c>
      <c r="L22" s="111">
        <f t="shared" si="28"/>
        <v>2035</v>
      </c>
      <c r="M22" s="113">
        <f t="shared" si="4"/>
        <v>41.77</v>
      </c>
      <c r="N22" s="111">
        <v>12</v>
      </c>
      <c r="O22" s="114">
        <f t="shared" si="5"/>
        <v>41.77</v>
      </c>
      <c r="Q22" s="111">
        <f t="shared" si="29"/>
        <v>2035</v>
      </c>
      <c r="R22" s="113">
        <f t="shared" si="6"/>
        <v>0</v>
      </c>
      <c r="S22" s="111">
        <v>12</v>
      </c>
      <c r="T22" s="114">
        <f t="shared" si="7"/>
        <v>0</v>
      </c>
      <c r="V22" s="111">
        <f t="shared" si="30"/>
        <v>2035</v>
      </c>
      <c r="W22" s="113">
        <f t="shared" si="8"/>
        <v>0</v>
      </c>
      <c r="X22" s="111">
        <v>12</v>
      </c>
      <c r="Y22" s="114">
        <f t="shared" si="9"/>
        <v>0</v>
      </c>
      <c r="AA22" s="111">
        <f t="shared" si="31"/>
        <v>2035</v>
      </c>
      <c r="AB22" s="113">
        <f t="shared" si="10"/>
        <v>65.95</v>
      </c>
      <c r="AC22" s="111">
        <v>12</v>
      </c>
      <c r="AD22" s="114">
        <f t="shared" si="11"/>
        <v>65.95</v>
      </c>
      <c r="AF22" s="111">
        <f t="shared" si="32"/>
        <v>2035</v>
      </c>
      <c r="AG22" s="113">
        <f t="shared" si="12"/>
        <v>0</v>
      </c>
      <c r="AH22" s="111">
        <v>12</v>
      </c>
      <c r="AI22" s="114">
        <f t="shared" si="13"/>
        <v>0</v>
      </c>
      <c r="AK22" s="111">
        <f t="shared" si="33"/>
        <v>2035</v>
      </c>
      <c r="AL22" s="113">
        <f t="shared" si="14"/>
        <v>29.97</v>
      </c>
      <c r="AM22" s="111">
        <v>12</v>
      </c>
      <c r="AN22" s="114">
        <f t="shared" si="15"/>
        <v>29.97</v>
      </c>
      <c r="AP22" s="111">
        <f t="shared" si="34"/>
        <v>2035</v>
      </c>
      <c r="AQ22" s="113">
        <f t="shared" si="16"/>
        <v>10.55</v>
      </c>
      <c r="AR22" s="111">
        <v>12</v>
      </c>
      <c r="AS22" s="114">
        <f t="shared" si="17"/>
        <v>10.55</v>
      </c>
      <c r="AU22" s="111">
        <f t="shared" si="35"/>
        <v>2035</v>
      </c>
      <c r="AV22" s="113">
        <f t="shared" si="18"/>
        <v>13.56</v>
      </c>
      <c r="AW22" s="111">
        <v>12</v>
      </c>
      <c r="AX22" s="114">
        <f t="shared" si="19"/>
        <v>13.56</v>
      </c>
      <c r="AZ22" s="111">
        <f t="shared" si="36"/>
        <v>2035</v>
      </c>
      <c r="BA22" s="113">
        <f t="shared" si="20"/>
        <v>731.96</v>
      </c>
      <c r="BB22" s="111">
        <v>12</v>
      </c>
      <c r="BC22" s="114">
        <f t="shared" si="21"/>
        <v>731.96</v>
      </c>
      <c r="BE22" s="111">
        <f t="shared" si="37"/>
        <v>2035</v>
      </c>
      <c r="BF22" s="113">
        <f t="shared" si="22"/>
        <v>3.07</v>
      </c>
      <c r="BG22" s="111">
        <v>12</v>
      </c>
      <c r="BH22" s="114">
        <f t="shared" si="23"/>
        <v>3.07</v>
      </c>
      <c r="BJ22" s="111">
        <f t="shared" si="38"/>
        <v>2035</v>
      </c>
      <c r="BK22" s="113">
        <f t="shared" si="24"/>
        <v>6.45</v>
      </c>
      <c r="BL22" s="111">
        <v>12</v>
      </c>
      <c r="BM22" s="114">
        <f t="shared" si="25"/>
        <v>6.45</v>
      </c>
    </row>
    <row r="23" spans="2:65">
      <c r="B23" s="111">
        <f t="shared" si="26"/>
        <v>2036</v>
      </c>
      <c r="C23" s="113">
        <f t="shared" si="0"/>
        <v>74.02</v>
      </c>
      <c r="D23" s="111">
        <v>12</v>
      </c>
      <c r="E23" s="114">
        <f t="shared" si="1"/>
        <v>74.02</v>
      </c>
      <c r="G23" s="111">
        <f t="shared" si="27"/>
        <v>2036</v>
      </c>
      <c r="H23" s="113">
        <f t="shared" si="2"/>
        <v>14.05</v>
      </c>
      <c r="I23" s="111">
        <v>12</v>
      </c>
      <c r="J23" s="114">
        <f t="shared" si="3"/>
        <v>14.050000000000002</v>
      </c>
      <c r="L23" s="111">
        <f t="shared" si="28"/>
        <v>2036</v>
      </c>
      <c r="M23" s="113">
        <f t="shared" si="4"/>
        <v>42.67</v>
      </c>
      <c r="N23" s="111">
        <v>12</v>
      </c>
      <c r="O23" s="114">
        <f t="shared" si="5"/>
        <v>42.669999999999995</v>
      </c>
      <c r="Q23" s="111">
        <f t="shared" si="29"/>
        <v>2036</v>
      </c>
      <c r="R23" s="113">
        <f t="shared" si="6"/>
        <v>0</v>
      </c>
      <c r="S23" s="111">
        <v>12</v>
      </c>
      <c r="T23" s="114">
        <f t="shared" si="7"/>
        <v>0</v>
      </c>
      <c r="V23" s="111">
        <f t="shared" si="30"/>
        <v>2036</v>
      </c>
      <c r="W23" s="113">
        <f t="shared" si="8"/>
        <v>0</v>
      </c>
      <c r="X23" s="111">
        <v>12</v>
      </c>
      <c r="Y23" s="114">
        <f t="shared" si="9"/>
        <v>0</v>
      </c>
      <c r="AA23" s="111">
        <f t="shared" si="31"/>
        <v>2036</v>
      </c>
      <c r="AB23" s="113">
        <f t="shared" si="10"/>
        <v>67.37</v>
      </c>
      <c r="AC23" s="111">
        <v>12</v>
      </c>
      <c r="AD23" s="114">
        <f t="shared" si="11"/>
        <v>67.37</v>
      </c>
      <c r="AF23" s="111">
        <f t="shared" si="32"/>
        <v>2036</v>
      </c>
      <c r="AG23" s="113">
        <f t="shared" si="12"/>
        <v>0</v>
      </c>
      <c r="AH23" s="111">
        <v>12</v>
      </c>
      <c r="AI23" s="114">
        <f t="shared" si="13"/>
        <v>0</v>
      </c>
      <c r="AK23" s="111">
        <f t="shared" si="33"/>
        <v>2036</v>
      </c>
      <c r="AL23" s="113">
        <f t="shared" si="14"/>
        <v>30.62</v>
      </c>
      <c r="AM23" s="111">
        <v>12</v>
      </c>
      <c r="AN23" s="114">
        <f t="shared" si="15"/>
        <v>30.62</v>
      </c>
      <c r="AP23" s="111">
        <f t="shared" si="34"/>
        <v>2036</v>
      </c>
      <c r="AQ23" s="113">
        <f t="shared" si="16"/>
        <v>10.78</v>
      </c>
      <c r="AR23" s="111">
        <v>12</v>
      </c>
      <c r="AS23" s="114">
        <f t="shared" si="17"/>
        <v>10.78</v>
      </c>
      <c r="AU23" s="111">
        <f t="shared" si="35"/>
        <v>2036</v>
      </c>
      <c r="AV23" s="113">
        <f t="shared" si="18"/>
        <v>13.85</v>
      </c>
      <c r="AW23" s="111">
        <v>12</v>
      </c>
      <c r="AX23" s="114">
        <f t="shared" si="19"/>
        <v>13.85</v>
      </c>
      <c r="AZ23" s="111">
        <f t="shared" si="36"/>
        <v>2036</v>
      </c>
      <c r="BA23" s="113">
        <f t="shared" si="20"/>
        <v>747.73</v>
      </c>
      <c r="BB23" s="111">
        <v>12</v>
      </c>
      <c r="BC23" s="114">
        <f t="shared" si="21"/>
        <v>747.73</v>
      </c>
      <c r="BE23" s="111">
        <f t="shared" si="37"/>
        <v>2036</v>
      </c>
      <c r="BF23" s="113">
        <f t="shared" si="22"/>
        <v>3.14</v>
      </c>
      <c r="BG23" s="111">
        <v>12</v>
      </c>
      <c r="BH23" s="114">
        <f t="shared" si="23"/>
        <v>3.14</v>
      </c>
      <c r="BJ23" s="111">
        <f t="shared" si="38"/>
        <v>2036</v>
      </c>
      <c r="BK23" s="113">
        <f t="shared" si="24"/>
        <v>6.59</v>
      </c>
      <c r="BL23" s="111">
        <v>12</v>
      </c>
      <c r="BM23" s="114">
        <f t="shared" si="25"/>
        <v>6.59</v>
      </c>
    </row>
    <row r="24" spans="2:65">
      <c r="B24" s="111">
        <f t="shared" si="26"/>
        <v>2037</v>
      </c>
      <c r="C24" s="113">
        <f t="shared" si="0"/>
        <v>75.62</v>
      </c>
      <c r="D24" s="111">
        <v>12</v>
      </c>
      <c r="E24" s="114">
        <f t="shared" si="1"/>
        <v>75.62</v>
      </c>
      <c r="G24" s="111">
        <f t="shared" si="27"/>
        <v>2037</v>
      </c>
      <c r="H24" s="113">
        <f t="shared" si="2"/>
        <v>14.35</v>
      </c>
      <c r="I24" s="111">
        <v>12</v>
      </c>
      <c r="J24" s="114">
        <f t="shared" si="3"/>
        <v>14.35</v>
      </c>
      <c r="L24" s="111">
        <f t="shared" si="28"/>
        <v>2037</v>
      </c>
      <c r="M24" s="113">
        <f t="shared" si="4"/>
        <v>43.59</v>
      </c>
      <c r="N24" s="111">
        <v>12</v>
      </c>
      <c r="O24" s="114">
        <f t="shared" si="5"/>
        <v>43.59</v>
      </c>
      <c r="Q24" s="293">
        <f t="shared" si="29"/>
        <v>2037</v>
      </c>
      <c r="R24" s="113">
        <f t="shared" si="6"/>
        <v>0</v>
      </c>
      <c r="S24" s="111">
        <v>12</v>
      </c>
      <c r="T24" s="114">
        <f t="shared" si="7"/>
        <v>0</v>
      </c>
      <c r="V24" s="111">
        <f t="shared" si="30"/>
        <v>2037</v>
      </c>
      <c r="W24" s="113">
        <f t="shared" si="8"/>
        <v>0</v>
      </c>
      <c r="X24" s="111">
        <v>12</v>
      </c>
      <c r="Y24" s="114">
        <f t="shared" si="9"/>
        <v>0</v>
      </c>
      <c r="AA24" s="111">
        <f t="shared" si="31"/>
        <v>2037</v>
      </c>
      <c r="AB24" s="113">
        <f t="shared" si="10"/>
        <v>68.819999999999993</v>
      </c>
      <c r="AC24" s="111">
        <v>12</v>
      </c>
      <c r="AD24" s="114">
        <f t="shared" si="11"/>
        <v>68.819999999999993</v>
      </c>
      <c r="AF24" s="293">
        <f t="shared" si="32"/>
        <v>2037</v>
      </c>
      <c r="AG24" s="113">
        <f t="shared" si="12"/>
        <v>31.427114949217941</v>
      </c>
      <c r="AH24" s="111">
        <v>12</v>
      </c>
      <c r="AI24" s="114">
        <f t="shared" si="13"/>
        <v>31.427114949217941</v>
      </c>
      <c r="AK24" s="111">
        <f t="shared" si="33"/>
        <v>2037</v>
      </c>
      <c r="AL24" s="113">
        <f t="shared" si="14"/>
        <v>31.28</v>
      </c>
      <c r="AM24" s="111">
        <v>12</v>
      </c>
      <c r="AN24" s="114">
        <f t="shared" si="15"/>
        <v>31.28</v>
      </c>
      <c r="AP24" s="111">
        <f t="shared" si="34"/>
        <v>2037</v>
      </c>
      <c r="AQ24" s="113">
        <f t="shared" si="16"/>
        <v>11.01</v>
      </c>
      <c r="AR24" s="111">
        <v>12</v>
      </c>
      <c r="AS24" s="114">
        <f t="shared" si="17"/>
        <v>11.01</v>
      </c>
      <c r="AU24" s="111">
        <f t="shared" si="35"/>
        <v>2037</v>
      </c>
      <c r="AV24" s="113">
        <f t="shared" si="18"/>
        <v>14.15</v>
      </c>
      <c r="AW24" s="111">
        <v>12</v>
      </c>
      <c r="AX24" s="114">
        <f t="shared" si="19"/>
        <v>14.15</v>
      </c>
      <c r="AZ24" s="111">
        <f t="shared" si="36"/>
        <v>2037</v>
      </c>
      <c r="BA24" s="113">
        <f t="shared" si="20"/>
        <v>763.84</v>
      </c>
      <c r="BB24" s="111">
        <v>12</v>
      </c>
      <c r="BC24" s="114">
        <f t="shared" si="21"/>
        <v>763.84</v>
      </c>
      <c r="BE24" s="111">
        <f t="shared" si="37"/>
        <v>2037</v>
      </c>
      <c r="BF24" s="113">
        <f t="shared" si="22"/>
        <v>3.21</v>
      </c>
      <c r="BG24" s="111">
        <v>12</v>
      </c>
      <c r="BH24" s="114">
        <f t="shared" si="23"/>
        <v>3.2099999999999995</v>
      </c>
      <c r="BJ24" s="111">
        <f t="shared" si="38"/>
        <v>2037</v>
      </c>
      <c r="BK24" s="113">
        <f t="shared" si="24"/>
        <v>6.73</v>
      </c>
      <c r="BL24" s="111">
        <v>12</v>
      </c>
      <c r="BM24" s="114">
        <f t="shared" si="25"/>
        <v>6.73</v>
      </c>
    </row>
    <row r="25" spans="2:65">
      <c r="B25" s="111">
        <f t="shared" si="26"/>
        <v>2038</v>
      </c>
      <c r="C25" s="113">
        <f t="shared" si="0"/>
        <v>77.25</v>
      </c>
      <c r="D25" s="111">
        <v>12</v>
      </c>
      <c r="E25" s="114">
        <f t="shared" si="1"/>
        <v>77.25</v>
      </c>
      <c r="G25" s="111">
        <f t="shared" si="27"/>
        <v>2038</v>
      </c>
      <c r="H25" s="113">
        <f t="shared" si="2"/>
        <v>14.66</v>
      </c>
      <c r="I25" s="111">
        <v>12</v>
      </c>
      <c r="J25" s="114">
        <f t="shared" si="3"/>
        <v>14.660000000000002</v>
      </c>
      <c r="L25" s="111">
        <f t="shared" si="28"/>
        <v>2038</v>
      </c>
      <c r="M25" s="113">
        <f t="shared" si="4"/>
        <v>44.53</v>
      </c>
      <c r="N25" s="111">
        <v>12</v>
      </c>
      <c r="O25" s="114">
        <f t="shared" si="5"/>
        <v>44.53</v>
      </c>
      <c r="Q25" s="111">
        <f t="shared" si="29"/>
        <v>2038</v>
      </c>
      <c r="R25" s="113">
        <f t="shared" si="6"/>
        <v>0</v>
      </c>
      <c r="S25" s="111">
        <v>12</v>
      </c>
      <c r="T25" s="114">
        <f t="shared" si="7"/>
        <v>0</v>
      </c>
      <c r="V25" s="111">
        <f t="shared" si="30"/>
        <v>2038</v>
      </c>
      <c r="W25" s="113">
        <f t="shared" si="8"/>
        <v>0</v>
      </c>
      <c r="X25" s="111">
        <v>12</v>
      </c>
      <c r="Y25" s="114">
        <f t="shared" si="9"/>
        <v>0</v>
      </c>
      <c r="AA25" s="111">
        <f t="shared" si="31"/>
        <v>2038</v>
      </c>
      <c r="AB25" s="113">
        <f t="shared" si="10"/>
        <v>70.3</v>
      </c>
      <c r="AC25" s="111">
        <v>12</v>
      </c>
      <c r="AD25" s="114">
        <f t="shared" si="11"/>
        <v>70.3</v>
      </c>
      <c r="AF25" s="111">
        <f t="shared" si="32"/>
        <v>2038</v>
      </c>
      <c r="AG25" s="113">
        <f t="shared" si="12"/>
        <v>32.1</v>
      </c>
      <c r="AH25" s="111">
        <v>12</v>
      </c>
      <c r="AI25" s="114">
        <f t="shared" si="13"/>
        <v>32.1</v>
      </c>
      <c r="AK25" s="111">
        <f t="shared" si="33"/>
        <v>2038</v>
      </c>
      <c r="AL25" s="113">
        <f t="shared" si="14"/>
        <v>31.95</v>
      </c>
      <c r="AM25" s="111">
        <v>12</v>
      </c>
      <c r="AN25" s="114">
        <f t="shared" si="15"/>
        <v>31.95</v>
      </c>
      <c r="AP25" s="111">
        <f t="shared" si="34"/>
        <v>2038</v>
      </c>
      <c r="AQ25" s="113">
        <f t="shared" si="16"/>
        <v>11.25</v>
      </c>
      <c r="AR25" s="111">
        <v>12</v>
      </c>
      <c r="AS25" s="114">
        <f t="shared" si="17"/>
        <v>11.25</v>
      </c>
      <c r="AU25" s="111">
        <f t="shared" si="35"/>
        <v>2038</v>
      </c>
      <c r="AV25" s="113">
        <f t="shared" si="18"/>
        <v>14.45</v>
      </c>
      <c r="AW25" s="111">
        <v>12</v>
      </c>
      <c r="AX25" s="114">
        <f t="shared" si="19"/>
        <v>14.449999999999998</v>
      </c>
      <c r="AZ25" s="111">
        <f t="shared" si="36"/>
        <v>2038</v>
      </c>
      <c r="BA25" s="113">
        <f t="shared" si="20"/>
        <v>780.3</v>
      </c>
      <c r="BB25" s="111">
        <v>12</v>
      </c>
      <c r="BC25" s="114">
        <f t="shared" si="21"/>
        <v>780.29999999999984</v>
      </c>
      <c r="BE25" s="111">
        <f t="shared" si="37"/>
        <v>2038</v>
      </c>
      <c r="BF25" s="113">
        <f t="shared" si="22"/>
        <v>3.28</v>
      </c>
      <c r="BG25" s="111">
        <v>12</v>
      </c>
      <c r="BH25" s="114">
        <f t="shared" si="23"/>
        <v>3.28</v>
      </c>
      <c r="BJ25" s="111">
        <f t="shared" si="38"/>
        <v>2038</v>
      </c>
      <c r="BK25" s="113">
        <f t="shared" si="24"/>
        <v>6.88</v>
      </c>
      <c r="BL25" s="111">
        <v>12</v>
      </c>
      <c r="BM25" s="114">
        <f t="shared" si="25"/>
        <v>6.88</v>
      </c>
    </row>
    <row r="26" spans="2:65">
      <c r="B26" s="111">
        <f t="shared" si="26"/>
        <v>2039</v>
      </c>
      <c r="C26" s="113">
        <f t="shared" si="0"/>
        <v>78.91</v>
      </c>
      <c r="D26" s="111">
        <v>12</v>
      </c>
      <c r="E26" s="114">
        <f t="shared" si="1"/>
        <v>78.91</v>
      </c>
      <c r="G26" s="111">
        <f t="shared" si="27"/>
        <v>2039</v>
      </c>
      <c r="H26" s="113">
        <f t="shared" si="2"/>
        <v>14.98</v>
      </c>
      <c r="I26" s="111">
        <v>12</v>
      </c>
      <c r="J26" s="114">
        <f t="shared" si="3"/>
        <v>14.979999999999999</v>
      </c>
      <c r="L26" s="111">
        <f t="shared" si="28"/>
        <v>2039</v>
      </c>
      <c r="M26" s="113">
        <f t="shared" si="4"/>
        <v>45.49</v>
      </c>
      <c r="N26" s="111">
        <v>12</v>
      </c>
      <c r="O26" s="114">
        <f t="shared" si="5"/>
        <v>45.49</v>
      </c>
      <c r="Q26" s="111">
        <f t="shared" si="29"/>
        <v>2039</v>
      </c>
      <c r="R26" s="113">
        <f t="shared" si="6"/>
        <v>0</v>
      </c>
      <c r="S26" s="111">
        <v>12</v>
      </c>
      <c r="T26" s="114">
        <f t="shared" si="7"/>
        <v>0</v>
      </c>
      <c r="V26" s="111">
        <f t="shared" si="30"/>
        <v>2039</v>
      </c>
      <c r="W26" s="113">
        <f t="shared" si="8"/>
        <v>0</v>
      </c>
      <c r="X26" s="111">
        <v>12</v>
      </c>
      <c r="Y26" s="114">
        <f t="shared" si="9"/>
        <v>0</v>
      </c>
      <c r="AA26" s="111">
        <f t="shared" si="31"/>
        <v>2039</v>
      </c>
      <c r="AB26" s="113">
        <f t="shared" si="10"/>
        <v>71.81</v>
      </c>
      <c r="AC26" s="111">
        <v>12</v>
      </c>
      <c r="AD26" s="114">
        <f t="shared" si="11"/>
        <v>71.81</v>
      </c>
      <c r="AF26" s="111">
        <f t="shared" si="32"/>
        <v>2039</v>
      </c>
      <c r="AG26" s="113">
        <f t="shared" si="12"/>
        <v>32.79</v>
      </c>
      <c r="AH26" s="111">
        <v>12</v>
      </c>
      <c r="AI26" s="114">
        <f t="shared" si="13"/>
        <v>32.79</v>
      </c>
      <c r="AK26" s="111">
        <f t="shared" si="33"/>
        <v>2039</v>
      </c>
      <c r="AL26" s="113">
        <f t="shared" si="14"/>
        <v>32.64</v>
      </c>
      <c r="AM26" s="111">
        <v>12</v>
      </c>
      <c r="AN26" s="114">
        <f t="shared" si="15"/>
        <v>32.64</v>
      </c>
      <c r="AP26" s="111">
        <f t="shared" si="34"/>
        <v>2039</v>
      </c>
      <c r="AQ26" s="113">
        <f t="shared" si="16"/>
        <v>11.49</v>
      </c>
      <c r="AR26" s="111">
        <v>12</v>
      </c>
      <c r="AS26" s="114">
        <f t="shared" si="17"/>
        <v>11.49</v>
      </c>
      <c r="AU26" s="111">
        <f t="shared" si="35"/>
        <v>2039</v>
      </c>
      <c r="AV26" s="113">
        <f t="shared" si="18"/>
        <v>14.76</v>
      </c>
      <c r="AW26" s="111">
        <v>12</v>
      </c>
      <c r="AX26" s="114">
        <f t="shared" si="19"/>
        <v>14.76</v>
      </c>
      <c r="AZ26" s="111">
        <f t="shared" si="36"/>
        <v>2039</v>
      </c>
      <c r="BA26" s="113">
        <f t="shared" si="20"/>
        <v>797.12</v>
      </c>
      <c r="BB26" s="111">
        <v>12</v>
      </c>
      <c r="BC26" s="114">
        <f t="shared" si="21"/>
        <v>797.12</v>
      </c>
      <c r="BE26" s="111">
        <f t="shared" si="37"/>
        <v>2039</v>
      </c>
      <c r="BF26" s="113">
        <f t="shared" si="22"/>
        <v>3.35</v>
      </c>
      <c r="BG26" s="111">
        <v>12</v>
      </c>
      <c r="BH26" s="114">
        <f t="shared" si="23"/>
        <v>3.35</v>
      </c>
      <c r="BJ26" s="111">
        <f t="shared" si="38"/>
        <v>2039</v>
      </c>
      <c r="BK26" s="113">
        <f t="shared" si="24"/>
        <v>7.03</v>
      </c>
      <c r="BL26" s="111">
        <v>12</v>
      </c>
      <c r="BM26" s="114">
        <f t="shared" si="25"/>
        <v>7.03</v>
      </c>
    </row>
    <row r="27" spans="2:65">
      <c r="B27" s="111">
        <f t="shared" si="26"/>
        <v>2040</v>
      </c>
      <c r="C27" s="113">
        <f t="shared" si="0"/>
        <v>80.61</v>
      </c>
      <c r="D27" s="111">
        <v>12</v>
      </c>
      <c r="E27" s="114">
        <f t="shared" si="1"/>
        <v>80.61</v>
      </c>
      <c r="G27" s="111">
        <f t="shared" si="27"/>
        <v>2040</v>
      </c>
      <c r="H27" s="113">
        <f t="shared" si="2"/>
        <v>15.3</v>
      </c>
      <c r="I27" s="111">
        <v>12</v>
      </c>
      <c r="J27" s="114">
        <f t="shared" si="3"/>
        <v>15.300000000000002</v>
      </c>
      <c r="L27" s="111">
        <f t="shared" si="28"/>
        <v>2040</v>
      </c>
      <c r="M27" s="113">
        <f t="shared" si="4"/>
        <v>46.47</v>
      </c>
      <c r="N27" s="111">
        <v>12</v>
      </c>
      <c r="O27" s="114">
        <f t="shared" si="5"/>
        <v>46.47</v>
      </c>
      <c r="Q27" s="111">
        <f t="shared" si="29"/>
        <v>2040</v>
      </c>
      <c r="R27" s="113">
        <f t="shared" si="6"/>
        <v>0</v>
      </c>
      <c r="S27" s="111">
        <v>12</v>
      </c>
      <c r="T27" s="114">
        <f t="shared" si="7"/>
        <v>0</v>
      </c>
      <c r="V27" s="293">
        <f t="shared" si="30"/>
        <v>2040</v>
      </c>
      <c r="W27" s="113">
        <f t="shared" si="8"/>
        <v>17.574036807534558</v>
      </c>
      <c r="X27" s="111">
        <v>12</v>
      </c>
      <c r="Y27" s="114">
        <f t="shared" si="9"/>
        <v>17.574036807534558</v>
      </c>
      <c r="AA27" s="111">
        <f t="shared" si="31"/>
        <v>2040</v>
      </c>
      <c r="AB27" s="113">
        <f t="shared" si="10"/>
        <v>73.36</v>
      </c>
      <c r="AC27" s="111">
        <v>12</v>
      </c>
      <c r="AD27" s="114">
        <f t="shared" si="11"/>
        <v>73.36</v>
      </c>
      <c r="AF27" s="111">
        <f t="shared" si="32"/>
        <v>2040</v>
      </c>
      <c r="AG27" s="113">
        <f t="shared" si="12"/>
        <v>33.5</v>
      </c>
      <c r="AH27" s="111">
        <v>12</v>
      </c>
      <c r="AI27" s="114">
        <f t="shared" si="13"/>
        <v>33.5</v>
      </c>
      <c r="AK27" s="111">
        <f t="shared" si="33"/>
        <v>2040</v>
      </c>
      <c r="AL27" s="113">
        <f t="shared" si="14"/>
        <v>33.340000000000003</v>
      </c>
      <c r="AM27" s="111">
        <v>12</v>
      </c>
      <c r="AN27" s="114">
        <f t="shared" si="15"/>
        <v>33.340000000000003</v>
      </c>
      <c r="AP27" s="111">
        <f t="shared" si="34"/>
        <v>2040</v>
      </c>
      <c r="AQ27" s="113">
        <f t="shared" si="16"/>
        <v>11.74</v>
      </c>
      <c r="AR27" s="111">
        <v>12</v>
      </c>
      <c r="AS27" s="114">
        <f t="shared" si="17"/>
        <v>11.74</v>
      </c>
      <c r="AU27" s="111">
        <f t="shared" si="35"/>
        <v>2040</v>
      </c>
      <c r="AV27" s="113">
        <f t="shared" si="18"/>
        <v>15.08</v>
      </c>
      <c r="AW27" s="111">
        <v>12</v>
      </c>
      <c r="AX27" s="114">
        <f t="shared" si="19"/>
        <v>15.08</v>
      </c>
      <c r="AZ27" s="111">
        <f t="shared" si="36"/>
        <v>2040</v>
      </c>
      <c r="BA27" s="113">
        <f t="shared" si="20"/>
        <v>814.3</v>
      </c>
      <c r="BB27" s="111">
        <v>12</v>
      </c>
      <c r="BC27" s="114">
        <f t="shared" si="21"/>
        <v>814.29999999999984</v>
      </c>
      <c r="BE27" s="111">
        <f t="shared" si="37"/>
        <v>2040</v>
      </c>
      <c r="BF27" s="113">
        <f t="shared" si="22"/>
        <v>3.42</v>
      </c>
      <c r="BG27" s="111">
        <v>12</v>
      </c>
      <c r="BH27" s="114">
        <f t="shared" si="23"/>
        <v>3.42</v>
      </c>
      <c r="BJ27" s="111">
        <f t="shared" si="38"/>
        <v>2040</v>
      </c>
      <c r="BK27" s="113">
        <f t="shared" si="24"/>
        <v>7.18</v>
      </c>
      <c r="BL27" s="111">
        <v>12</v>
      </c>
      <c r="BM27" s="114">
        <f t="shared" si="25"/>
        <v>7.18</v>
      </c>
    </row>
    <row r="28" spans="2:65">
      <c r="B28" s="111">
        <f t="shared" si="26"/>
        <v>2041</v>
      </c>
      <c r="C28" s="113">
        <f t="shared" si="0"/>
        <v>82.35</v>
      </c>
      <c r="D28" s="111">
        <v>12</v>
      </c>
      <c r="E28" s="114">
        <f t="shared" si="1"/>
        <v>82.35</v>
      </c>
      <c r="G28" s="111">
        <f t="shared" si="27"/>
        <v>2041</v>
      </c>
      <c r="H28" s="113">
        <f t="shared" si="2"/>
        <v>15.63</v>
      </c>
      <c r="I28" s="111">
        <v>12</v>
      </c>
      <c r="J28" s="114">
        <f t="shared" si="3"/>
        <v>15.63</v>
      </c>
      <c r="L28" s="111">
        <f t="shared" si="28"/>
        <v>2041</v>
      </c>
      <c r="M28" s="113">
        <f t="shared" si="4"/>
        <v>47.47</v>
      </c>
      <c r="N28" s="111">
        <v>12</v>
      </c>
      <c r="O28" s="114">
        <f t="shared" si="5"/>
        <v>47.47</v>
      </c>
      <c r="Q28" s="111">
        <f t="shared" si="29"/>
        <v>2041</v>
      </c>
      <c r="R28" s="113">
        <f t="shared" si="6"/>
        <v>0</v>
      </c>
      <c r="S28" s="111">
        <v>12</v>
      </c>
      <c r="T28" s="114">
        <f t="shared" si="7"/>
        <v>0</v>
      </c>
      <c r="V28" s="111">
        <f t="shared" si="30"/>
        <v>2041</v>
      </c>
      <c r="W28" s="113">
        <f t="shared" si="8"/>
        <v>17.95</v>
      </c>
      <c r="X28" s="111">
        <v>12</v>
      </c>
      <c r="Y28" s="114">
        <f t="shared" si="9"/>
        <v>17.95</v>
      </c>
      <c r="AA28" s="111">
        <f t="shared" si="31"/>
        <v>2041</v>
      </c>
      <c r="AB28" s="113">
        <f t="shared" si="10"/>
        <v>74.94</v>
      </c>
      <c r="AC28" s="111">
        <v>12</v>
      </c>
      <c r="AD28" s="114">
        <f t="shared" si="11"/>
        <v>74.94</v>
      </c>
      <c r="AF28" s="111">
        <f t="shared" si="32"/>
        <v>2041</v>
      </c>
      <c r="AG28" s="113">
        <f t="shared" si="12"/>
        <v>34.22</v>
      </c>
      <c r="AH28" s="111">
        <v>12</v>
      </c>
      <c r="AI28" s="114">
        <f t="shared" si="13"/>
        <v>34.22</v>
      </c>
      <c r="AK28" s="111">
        <f t="shared" si="33"/>
        <v>2041</v>
      </c>
      <c r="AL28" s="113">
        <f t="shared" si="14"/>
        <v>34.06</v>
      </c>
      <c r="AM28" s="111">
        <v>12</v>
      </c>
      <c r="AN28" s="114">
        <f t="shared" si="15"/>
        <v>34.06</v>
      </c>
      <c r="AP28" s="111">
        <f t="shared" si="34"/>
        <v>2041</v>
      </c>
      <c r="AQ28" s="113">
        <f t="shared" si="16"/>
        <v>11.99</v>
      </c>
      <c r="AR28" s="111">
        <v>12</v>
      </c>
      <c r="AS28" s="114">
        <f t="shared" si="17"/>
        <v>11.99</v>
      </c>
      <c r="AU28" s="111">
        <f t="shared" si="35"/>
        <v>2041</v>
      </c>
      <c r="AV28" s="113">
        <f t="shared" si="18"/>
        <v>15.4</v>
      </c>
      <c r="AW28" s="111">
        <v>12</v>
      </c>
      <c r="AX28" s="114">
        <f t="shared" si="19"/>
        <v>15.4</v>
      </c>
      <c r="AZ28" s="111">
        <f t="shared" si="36"/>
        <v>2041</v>
      </c>
      <c r="BA28" s="113">
        <f t="shared" si="20"/>
        <v>831.85</v>
      </c>
      <c r="BB28" s="111">
        <v>12</v>
      </c>
      <c r="BC28" s="114">
        <f t="shared" si="21"/>
        <v>831.85</v>
      </c>
      <c r="BE28" s="111">
        <f t="shared" si="37"/>
        <v>2041</v>
      </c>
      <c r="BF28" s="113">
        <f t="shared" si="22"/>
        <v>3.49</v>
      </c>
      <c r="BG28" s="111">
        <v>12</v>
      </c>
      <c r="BH28" s="114">
        <f t="shared" si="23"/>
        <v>3.49</v>
      </c>
      <c r="BJ28" s="111">
        <f t="shared" si="38"/>
        <v>2041</v>
      </c>
      <c r="BK28" s="113">
        <f t="shared" si="24"/>
        <v>7.33</v>
      </c>
      <c r="BL28" s="111">
        <v>12</v>
      </c>
      <c r="BM28" s="114">
        <f t="shared" si="25"/>
        <v>7.330000000000001</v>
      </c>
    </row>
    <row r="29" spans="2:65">
      <c r="B29" s="111">
        <f t="shared" si="26"/>
        <v>2042</v>
      </c>
      <c r="C29" s="113">
        <f t="shared" si="0"/>
        <v>84.12</v>
      </c>
      <c r="D29" s="111">
        <v>12</v>
      </c>
      <c r="E29" s="114">
        <f t="shared" si="1"/>
        <v>84.12</v>
      </c>
      <c r="G29" s="111">
        <f t="shared" si="27"/>
        <v>2042</v>
      </c>
      <c r="H29" s="113">
        <f t="shared" si="2"/>
        <v>15.97</v>
      </c>
      <c r="I29" s="111">
        <v>12</v>
      </c>
      <c r="J29" s="114">
        <f t="shared" si="3"/>
        <v>15.97</v>
      </c>
      <c r="L29" s="111">
        <f t="shared" si="28"/>
        <v>2042</v>
      </c>
      <c r="M29" s="113">
        <f t="shared" si="4"/>
        <v>48.49</v>
      </c>
      <c r="N29" s="111">
        <v>12</v>
      </c>
      <c r="O29" s="114">
        <f t="shared" si="5"/>
        <v>48.49</v>
      </c>
      <c r="Q29" s="111">
        <f t="shared" si="29"/>
        <v>2042</v>
      </c>
      <c r="R29" s="113">
        <f t="shared" si="6"/>
        <v>0</v>
      </c>
      <c r="S29" s="111">
        <v>12</v>
      </c>
      <c r="T29" s="114">
        <f t="shared" si="7"/>
        <v>0</v>
      </c>
      <c r="V29" s="111">
        <f t="shared" si="30"/>
        <v>2042</v>
      </c>
      <c r="W29" s="113">
        <f t="shared" si="8"/>
        <v>18.34</v>
      </c>
      <c r="X29" s="111">
        <v>12</v>
      </c>
      <c r="Y29" s="114">
        <f t="shared" si="9"/>
        <v>18.34</v>
      </c>
      <c r="AA29" s="111">
        <f t="shared" si="31"/>
        <v>2042</v>
      </c>
      <c r="AB29" s="113">
        <f t="shared" si="10"/>
        <v>76.55</v>
      </c>
      <c r="AC29" s="111">
        <v>12</v>
      </c>
      <c r="AD29" s="114">
        <f t="shared" si="11"/>
        <v>76.55</v>
      </c>
      <c r="AF29" s="111">
        <f t="shared" si="32"/>
        <v>2042</v>
      </c>
      <c r="AG29" s="113">
        <f t="shared" si="12"/>
        <v>34.96</v>
      </c>
      <c r="AH29" s="111">
        <v>12</v>
      </c>
      <c r="AI29" s="114">
        <f t="shared" si="13"/>
        <v>34.96</v>
      </c>
      <c r="AK29" s="111">
        <f t="shared" si="33"/>
        <v>2042</v>
      </c>
      <c r="AL29" s="113">
        <f t="shared" si="14"/>
        <v>34.79</v>
      </c>
      <c r="AM29" s="111">
        <v>12</v>
      </c>
      <c r="AN29" s="114">
        <f t="shared" si="15"/>
        <v>34.79</v>
      </c>
      <c r="AP29" s="111">
        <f t="shared" si="34"/>
        <v>2042</v>
      </c>
      <c r="AQ29" s="113">
        <f t="shared" si="16"/>
        <v>12.25</v>
      </c>
      <c r="AR29" s="111">
        <v>12</v>
      </c>
      <c r="AS29" s="114">
        <f t="shared" si="17"/>
        <v>12.25</v>
      </c>
      <c r="AU29" s="111">
        <f t="shared" si="35"/>
        <v>2042</v>
      </c>
      <c r="AV29" s="113">
        <f t="shared" si="18"/>
        <v>15.73</v>
      </c>
      <c r="AW29" s="111">
        <v>12</v>
      </c>
      <c r="AX29" s="114">
        <f t="shared" si="19"/>
        <v>15.729999999999999</v>
      </c>
      <c r="AZ29" s="111">
        <f t="shared" si="36"/>
        <v>2042</v>
      </c>
      <c r="BA29" s="113">
        <f t="shared" si="20"/>
        <v>849.78</v>
      </c>
      <c r="BB29" s="111">
        <v>12</v>
      </c>
      <c r="BC29" s="114">
        <f t="shared" si="21"/>
        <v>849.78000000000009</v>
      </c>
      <c r="BE29" s="111">
        <f t="shared" si="37"/>
        <v>2042</v>
      </c>
      <c r="BF29" s="113">
        <f t="shared" si="22"/>
        <v>3.57</v>
      </c>
      <c r="BG29" s="111">
        <v>12</v>
      </c>
      <c r="BH29" s="114">
        <f t="shared" si="23"/>
        <v>3.57</v>
      </c>
      <c r="BJ29" s="111">
        <f t="shared" si="38"/>
        <v>2042</v>
      </c>
      <c r="BK29" s="113">
        <f t="shared" si="24"/>
        <v>7.49</v>
      </c>
      <c r="BL29" s="111">
        <v>12</v>
      </c>
      <c r="BM29" s="114">
        <f t="shared" si="25"/>
        <v>7.4899999999999993</v>
      </c>
    </row>
    <row r="30" spans="2:65">
      <c r="B30" s="111">
        <f t="shared" si="26"/>
        <v>2043</v>
      </c>
      <c r="C30" s="113">
        <f t="shared" si="0"/>
        <v>85.93</v>
      </c>
      <c r="D30" s="111">
        <v>12</v>
      </c>
      <c r="E30" s="114">
        <f t="shared" si="1"/>
        <v>85.93</v>
      </c>
      <c r="G30" s="111">
        <f t="shared" si="27"/>
        <v>2043</v>
      </c>
      <c r="H30" s="113">
        <f t="shared" si="2"/>
        <v>16.309999999999999</v>
      </c>
      <c r="I30" s="111">
        <v>12</v>
      </c>
      <c r="J30" s="114">
        <f t="shared" si="3"/>
        <v>16.309999999999999</v>
      </c>
      <c r="L30" s="111">
        <f t="shared" si="28"/>
        <v>2043</v>
      </c>
      <c r="M30" s="113">
        <f t="shared" si="4"/>
        <v>49.53</v>
      </c>
      <c r="N30" s="111">
        <v>12</v>
      </c>
      <c r="O30" s="114">
        <f t="shared" si="5"/>
        <v>49.53</v>
      </c>
      <c r="Q30" s="111">
        <f t="shared" si="29"/>
        <v>2043</v>
      </c>
      <c r="R30" s="113">
        <f t="shared" si="6"/>
        <v>0</v>
      </c>
      <c r="S30" s="111">
        <v>12</v>
      </c>
      <c r="T30" s="114">
        <f t="shared" si="7"/>
        <v>0</v>
      </c>
      <c r="V30" s="111">
        <f t="shared" si="30"/>
        <v>2043</v>
      </c>
      <c r="W30" s="113">
        <f t="shared" si="8"/>
        <v>18.739999999999998</v>
      </c>
      <c r="X30" s="111">
        <v>12</v>
      </c>
      <c r="Y30" s="114">
        <f t="shared" si="9"/>
        <v>18.739999999999998</v>
      </c>
      <c r="AA30" s="111">
        <f t="shared" si="31"/>
        <v>2043</v>
      </c>
      <c r="AB30" s="113">
        <f t="shared" si="10"/>
        <v>78.2</v>
      </c>
      <c r="AC30" s="111">
        <v>12</v>
      </c>
      <c r="AD30" s="114">
        <f t="shared" si="11"/>
        <v>78.2</v>
      </c>
      <c r="AF30" s="111">
        <f t="shared" si="32"/>
        <v>2043</v>
      </c>
      <c r="AG30" s="113">
        <f t="shared" si="12"/>
        <v>35.71</v>
      </c>
      <c r="AH30" s="111">
        <v>12</v>
      </c>
      <c r="AI30" s="114">
        <f t="shared" si="13"/>
        <v>35.71</v>
      </c>
      <c r="AK30" s="111">
        <f t="shared" si="33"/>
        <v>2043</v>
      </c>
      <c r="AL30" s="113">
        <f t="shared" si="14"/>
        <v>35.54</v>
      </c>
      <c r="AM30" s="111">
        <v>12</v>
      </c>
      <c r="AN30" s="114">
        <f t="shared" si="15"/>
        <v>35.54</v>
      </c>
      <c r="AP30" s="111">
        <f t="shared" si="34"/>
        <v>2043</v>
      </c>
      <c r="AQ30" s="113">
        <f t="shared" si="16"/>
        <v>12.51</v>
      </c>
      <c r="AR30" s="111">
        <v>12</v>
      </c>
      <c r="AS30" s="114">
        <f t="shared" si="17"/>
        <v>12.51</v>
      </c>
      <c r="AU30" s="111">
        <f t="shared" si="35"/>
        <v>2043</v>
      </c>
      <c r="AV30" s="113">
        <f t="shared" si="18"/>
        <v>16.07</v>
      </c>
      <c r="AW30" s="111">
        <v>12</v>
      </c>
      <c r="AX30" s="114">
        <f t="shared" si="19"/>
        <v>16.07</v>
      </c>
      <c r="AZ30" s="111">
        <f t="shared" si="36"/>
        <v>2043</v>
      </c>
      <c r="BA30" s="113">
        <f t="shared" si="20"/>
        <v>868.09</v>
      </c>
      <c r="BB30" s="111">
        <v>12</v>
      </c>
      <c r="BC30" s="114">
        <f t="shared" si="21"/>
        <v>868.09</v>
      </c>
      <c r="BE30" s="111">
        <f t="shared" si="37"/>
        <v>2043</v>
      </c>
      <c r="BF30" s="113">
        <f t="shared" si="22"/>
        <v>3.65</v>
      </c>
      <c r="BG30" s="111">
        <v>12</v>
      </c>
      <c r="BH30" s="114">
        <f t="shared" si="23"/>
        <v>3.65</v>
      </c>
      <c r="BJ30" s="111">
        <f t="shared" si="38"/>
        <v>2043</v>
      </c>
      <c r="BK30" s="113">
        <f t="shared" si="24"/>
        <v>7.65</v>
      </c>
      <c r="BL30" s="111">
        <v>12</v>
      </c>
      <c r="BM30" s="114">
        <f t="shared" si="25"/>
        <v>7.6500000000000012</v>
      </c>
    </row>
    <row r="31" spans="2:65">
      <c r="B31" s="111">
        <f t="shared" si="26"/>
        <v>2044</v>
      </c>
      <c r="C31" s="113">
        <f t="shared" si="0"/>
        <v>87.78</v>
      </c>
      <c r="D31" s="111">
        <v>12</v>
      </c>
      <c r="E31" s="114">
        <f t="shared" si="1"/>
        <v>87.780000000000015</v>
      </c>
      <c r="G31" s="111">
        <f t="shared" si="27"/>
        <v>2044</v>
      </c>
      <c r="H31" s="113">
        <f t="shared" si="2"/>
        <v>16.66</v>
      </c>
      <c r="I31" s="111">
        <v>12</v>
      </c>
      <c r="J31" s="114">
        <f t="shared" si="3"/>
        <v>16.66</v>
      </c>
      <c r="L31" s="111">
        <f t="shared" si="28"/>
        <v>2044</v>
      </c>
      <c r="M31" s="113">
        <f t="shared" si="4"/>
        <v>50.6</v>
      </c>
      <c r="N31" s="111">
        <v>12</v>
      </c>
      <c r="O31" s="114">
        <f t="shared" si="5"/>
        <v>50.6</v>
      </c>
      <c r="Q31" s="111">
        <f t="shared" si="29"/>
        <v>2044</v>
      </c>
      <c r="R31" s="113">
        <f t="shared" si="6"/>
        <v>0</v>
      </c>
      <c r="S31" s="111">
        <v>12</v>
      </c>
      <c r="T31" s="114">
        <f t="shared" si="7"/>
        <v>0</v>
      </c>
      <c r="V31" s="111">
        <f t="shared" si="30"/>
        <v>2044</v>
      </c>
      <c r="W31" s="113">
        <f t="shared" si="8"/>
        <v>19.14</v>
      </c>
      <c r="X31" s="111">
        <v>12</v>
      </c>
      <c r="Y31" s="114">
        <f t="shared" si="9"/>
        <v>19.14</v>
      </c>
      <c r="AA31" s="111">
        <f t="shared" si="31"/>
        <v>2044</v>
      </c>
      <c r="AB31" s="113">
        <f t="shared" si="10"/>
        <v>79.89</v>
      </c>
      <c r="AC31" s="111">
        <v>12</v>
      </c>
      <c r="AD31" s="114">
        <f t="shared" si="11"/>
        <v>79.89</v>
      </c>
      <c r="AF31" s="111">
        <f t="shared" si="32"/>
        <v>2044</v>
      </c>
      <c r="AG31" s="113">
        <f t="shared" si="12"/>
        <v>36.479999999999997</v>
      </c>
      <c r="AH31" s="111">
        <v>12</v>
      </c>
      <c r="AI31" s="114">
        <f t="shared" si="13"/>
        <v>36.479999999999997</v>
      </c>
      <c r="AK31" s="111">
        <f t="shared" si="33"/>
        <v>2044</v>
      </c>
      <c r="AL31" s="113">
        <f t="shared" si="14"/>
        <v>36.31</v>
      </c>
      <c r="AM31" s="111">
        <v>12</v>
      </c>
      <c r="AN31" s="114">
        <f t="shared" si="15"/>
        <v>36.31</v>
      </c>
      <c r="AP31" s="111">
        <f t="shared" si="34"/>
        <v>2044</v>
      </c>
      <c r="AQ31" s="113">
        <f t="shared" si="16"/>
        <v>12.78</v>
      </c>
      <c r="AR31" s="111">
        <v>12</v>
      </c>
      <c r="AS31" s="114">
        <f t="shared" si="17"/>
        <v>12.78</v>
      </c>
      <c r="AU31" s="111">
        <f t="shared" si="35"/>
        <v>2044</v>
      </c>
      <c r="AV31" s="113">
        <f t="shared" si="18"/>
        <v>16.420000000000002</v>
      </c>
      <c r="AW31" s="111">
        <v>12</v>
      </c>
      <c r="AX31" s="114">
        <f t="shared" si="19"/>
        <v>16.420000000000002</v>
      </c>
      <c r="AZ31" s="111">
        <f t="shared" si="36"/>
        <v>2044</v>
      </c>
      <c r="BA31" s="113">
        <f t="shared" si="20"/>
        <v>886.8</v>
      </c>
      <c r="BB31" s="111">
        <v>12</v>
      </c>
      <c r="BC31" s="114">
        <f t="shared" si="21"/>
        <v>886.79999999999984</v>
      </c>
      <c r="BE31" s="111">
        <f t="shared" si="37"/>
        <v>2044</v>
      </c>
      <c r="BF31" s="113">
        <f t="shared" si="22"/>
        <v>3.73</v>
      </c>
      <c r="BG31" s="111">
        <v>12</v>
      </c>
      <c r="BH31" s="114">
        <f t="shared" si="23"/>
        <v>3.73</v>
      </c>
      <c r="BJ31" s="111">
        <f t="shared" si="38"/>
        <v>2044</v>
      </c>
      <c r="BK31" s="113">
        <f t="shared" si="24"/>
        <v>7.81</v>
      </c>
      <c r="BL31" s="111">
        <v>12</v>
      </c>
      <c r="BM31" s="114">
        <f t="shared" si="25"/>
        <v>7.81</v>
      </c>
    </row>
    <row r="32" spans="2:65">
      <c r="B32" s="111">
        <f t="shared" si="26"/>
        <v>2045</v>
      </c>
      <c r="C32" s="113">
        <f t="shared" si="0"/>
        <v>89.67</v>
      </c>
      <c r="D32" s="111">
        <v>12</v>
      </c>
      <c r="E32" s="114">
        <f t="shared" si="1"/>
        <v>89.67</v>
      </c>
      <c r="G32" s="111">
        <f t="shared" si="27"/>
        <v>2045</v>
      </c>
      <c r="H32" s="113">
        <f t="shared" si="2"/>
        <v>17.02</v>
      </c>
      <c r="I32" s="111">
        <v>12</v>
      </c>
      <c r="J32" s="114">
        <f t="shared" si="3"/>
        <v>17.02</v>
      </c>
      <c r="L32" s="111">
        <f t="shared" si="28"/>
        <v>2045</v>
      </c>
      <c r="M32" s="113">
        <f t="shared" si="4"/>
        <v>51.69</v>
      </c>
      <c r="N32" s="111">
        <v>12</v>
      </c>
      <c r="O32" s="114">
        <f t="shared" si="5"/>
        <v>51.69</v>
      </c>
      <c r="Q32" s="111">
        <f t="shared" si="29"/>
        <v>2045</v>
      </c>
      <c r="R32" s="113">
        <f t="shared" si="6"/>
        <v>0</v>
      </c>
      <c r="S32" s="111">
        <v>12</v>
      </c>
      <c r="T32" s="114">
        <f t="shared" si="7"/>
        <v>0</v>
      </c>
      <c r="V32" s="111">
        <f t="shared" si="30"/>
        <v>2045</v>
      </c>
      <c r="W32" s="113">
        <f t="shared" si="8"/>
        <v>19.55</v>
      </c>
      <c r="X32" s="111">
        <v>12</v>
      </c>
      <c r="Y32" s="114">
        <f t="shared" si="9"/>
        <v>19.55</v>
      </c>
      <c r="AA32" s="111">
        <f t="shared" si="31"/>
        <v>2045</v>
      </c>
      <c r="AB32" s="113">
        <f t="shared" si="10"/>
        <v>81.61</v>
      </c>
      <c r="AC32" s="111">
        <v>12</v>
      </c>
      <c r="AD32" s="114">
        <f t="shared" si="11"/>
        <v>81.61</v>
      </c>
      <c r="AF32" s="111">
        <f t="shared" si="32"/>
        <v>2045</v>
      </c>
      <c r="AG32" s="113">
        <f t="shared" si="12"/>
        <v>37.270000000000003</v>
      </c>
      <c r="AH32" s="111">
        <v>12</v>
      </c>
      <c r="AI32" s="114">
        <f t="shared" si="13"/>
        <v>37.270000000000003</v>
      </c>
      <c r="AK32" s="111">
        <f t="shared" si="33"/>
        <v>2045</v>
      </c>
      <c r="AL32" s="113">
        <f t="shared" si="14"/>
        <v>37.090000000000003</v>
      </c>
      <c r="AM32" s="111">
        <v>12</v>
      </c>
      <c r="AN32" s="114">
        <f t="shared" si="15"/>
        <v>37.090000000000003</v>
      </c>
      <c r="AP32" s="111">
        <f t="shared" si="34"/>
        <v>2045</v>
      </c>
      <c r="AQ32" s="113">
        <f t="shared" si="16"/>
        <v>13.06</v>
      </c>
      <c r="AR32" s="111">
        <v>12</v>
      </c>
      <c r="AS32" s="114">
        <f t="shared" si="17"/>
        <v>13.06</v>
      </c>
      <c r="AU32" s="111">
        <f t="shared" si="35"/>
        <v>2045</v>
      </c>
      <c r="AV32" s="113">
        <f t="shared" si="18"/>
        <v>16.77</v>
      </c>
      <c r="AW32" s="111">
        <v>12</v>
      </c>
      <c r="AX32" s="114">
        <f t="shared" si="19"/>
        <v>16.77</v>
      </c>
      <c r="AZ32" s="111">
        <f t="shared" si="36"/>
        <v>2045</v>
      </c>
      <c r="BA32" s="113">
        <f t="shared" si="20"/>
        <v>905.91</v>
      </c>
      <c r="BB32" s="111">
        <v>12</v>
      </c>
      <c r="BC32" s="114">
        <f t="shared" si="21"/>
        <v>905.91</v>
      </c>
      <c r="BE32" s="111">
        <f t="shared" si="37"/>
        <v>2045</v>
      </c>
      <c r="BF32" s="113">
        <f t="shared" si="22"/>
        <v>3.81</v>
      </c>
      <c r="BG32" s="111">
        <v>12</v>
      </c>
      <c r="BH32" s="114">
        <f t="shared" si="23"/>
        <v>3.81</v>
      </c>
      <c r="BJ32" s="111">
        <f t="shared" si="38"/>
        <v>2045</v>
      </c>
      <c r="BK32" s="113">
        <f t="shared" si="24"/>
        <v>7.98</v>
      </c>
      <c r="BL32" s="111">
        <v>12</v>
      </c>
      <c r="BM32" s="114">
        <f t="shared" si="25"/>
        <v>7.98</v>
      </c>
    </row>
    <row r="33" spans="2:65">
      <c r="B33" s="111"/>
      <c r="C33" s="113"/>
      <c r="D33" s="111"/>
      <c r="E33" s="114"/>
      <c r="G33" s="111"/>
      <c r="H33" s="113"/>
      <c r="I33" s="111"/>
      <c r="J33" s="114"/>
      <c r="L33" s="111"/>
      <c r="M33" s="113"/>
      <c r="N33" s="111"/>
      <c r="O33" s="114"/>
      <c r="Q33" s="111"/>
      <c r="R33" s="113"/>
      <c r="S33" s="111"/>
      <c r="T33" s="114"/>
      <c r="V33" s="111"/>
      <c r="W33" s="113"/>
      <c r="X33" s="111"/>
      <c r="Y33" s="114"/>
      <c r="AA33" s="111"/>
      <c r="AB33" s="113"/>
      <c r="AC33" s="111"/>
      <c r="AD33" s="114"/>
      <c r="AF33" s="111"/>
      <c r="AG33" s="113"/>
      <c r="AH33" s="111"/>
      <c r="AI33" s="114"/>
      <c r="AK33" s="111"/>
      <c r="AL33" s="113"/>
      <c r="AM33" s="111"/>
      <c r="AN33" s="114"/>
      <c r="AP33" s="111"/>
      <c r="AQ33" s="113"/>
      <c r="AR33" s="111"/>
      <c r="AS33" s="114"/>
      <c r="AU33" s="111"/>
      <c r="AV33" s="113"/>
      <c r="AW33" s="111"/>
      <c r="AX33" s="114"/>
      <c r="AZ33" s="111"/>
      <c r="BA33" s="113"/>
      <c r="BB33" s="111"/>
      <c r="BC33" s="114"/>
      <c r="BE33" s="111"/>
      <c r="BF33" s="113"/>
      <c r="BG33" s="111"/>
      <c r="BH33" s="114"/>
      <c r="BJ33" s="111"/>
      <c r="BK33" s="113"/>
      <c r="BL33" s="111"/>
      <c r="BM33" s="114"/>
    </row>
    <row r="34" spans="2:65">
      <c r="B34" s="111"/>
      <c r="C34" s="115"/>
      <c r="D34" s="113"/>
      <c r="E34" s="113"/>
      <c r="F34" s="114"/>
      <c r="G34" s="111"/>
      <c r="H34" s="115"/>
      <c r="I34" s="113"/>
      <c r="J34" s="113"/>
      <c r="K34" s="114"/>
      <c r="L34" s="111"/>
      <c r="M34" s="115"/>
      <c r="N34" s="113"/>
      <c r="O34" s="113"/>
      <c r="Q34" s="111"/>
      <c r="R34" s="115"/>
      <c r="S34" s="113"/>
      <c r="T34" s="113"/>
      <c r="U34" s="114"/>
      <c r="V34" s="111"/>
      <c r="W34" s="115"/>
      <c r="X34" s="113"/>
      <c r="Y34" s="113"/>
      <c r="Z34" s="114"/>
      <c r="AA34" s="111"/>
      <c r="AB34" s="115"/>
      <c r="AC34" s="113"/>
      <c r="AD34" s="113"/>
      <c r="AE34" s="114"/>
      <c r="AF34" s="111"/>
      <c r="AG34" s="115"/>
      <c r="AH34" s="113"/>
      <c r="AI34" s="113"/>
      <c r="AJ34" s="114"/>
      <c r="AK34" s="111"/>
      <c r="AL34" s="115"/>
      <c r="AM34" s="113"/>
      <c r="AN34" s="113"/>
      <c r="AO34" s="114"/>
      <c r="AP34" s="111"/>
      <c r="AQ34" s="115"/>
      <c r="AR34" s="113"/>
      <c r="AS34" s="113"/>
      <c r="AT34" s="114"/>
      <c r="AU34" s="111"/>
      <c r="AV34" s="115"/>
      <c r="AW34" s="113"/>
      <c r="AX34" s="113"/>
      <c r="AY34" s="114"/>
      <c r="AZ34" s="111"/>
      <c r="BA34" s="115"/>
      <c r="BB34" s="113"/>
      <c r="BC34" s="113"/>
      <c r="BD34" s="119"/>
      <c r="BE34" s="111"/>
      <c r="BF34" s="115"/>
      <c r="BG34" s="113"/>
      <c r="BH34" s="113"/>
      <c r="BJ34" s="111"/>
      <c r="BK34" s="115"/>
      <c r="BL34" s="113"/>
      <c r="BM34" s="113"/>
    </row>
    <row r="35" spans="2:65" ht="12" customHeight="1">
      <c r="C35" s="113" t="s">
        <v>98</v>
      </c>
      <c r="D35" s="299">
        <v>2025</v>
      </c>
      <c r="H35" s="113" t="s">
        <v>98</v>
      </c>
      <c r="I35" s="299">
        <v>2033</v>
      </c>
      <c r="M35" s="113" t="s">
        <v>98</v>
      </c>
      <c r="N35" s="299">
        <v>2032</v>
      </c>
      <c r="R35" s="113" t="s">
        <v>98</v>
      </c>
      <c r="S35" s="299">
        <v>2037</v>
      </c>
      <c r="W35" s="113" t="s">
        <v>98</v>
      </c>
      <c r="X35" s="299">
        <v>2040</v>
      </c>
      <c r="AB35" s="113" t="s">
        <v>98</v>
      </c>
      <c r="AC35" s="299">
        <v>2026</v>
      </c>
      <c r="AG35" s="113" t="s">
        <v>98</v>
      </c>
      <c r="AH35" s="299">
        <v>2037</v>
      </c>
      <c r="AL35" s="113" t="s">
        <v>98</v>
      </c>
      <c r="AM35" s="299">
        <v>2026</v>
      </c>
      <c r="AQ35" s="113" t="s">
        <v>98</v>
      </c>
      <c r="AR35" s="299">
        <v>2028</v>
      </c>
      <c r="AV35" s="113" t="s">
        <v>98</v>
      </c>
      <c r="AW35" s="299">
        <v>2031</v>
      </c>
      <c r="BA35" s="113" t="s">
        <v>98</v>
      </c>
      <c r="BB35" s="299">
        <v>2024</v>
      </c>
      <c r="BF35" s="113" t="s">
        <v>98</v>
      </c>
      <c r="BG35" s="299">
        <v>2026</v>
      </c>
      <c r="BK35" s="113" t="s">
        <v>98</v>
      </c>
      <c r="BL35" s="299">
        <v>2029</v>
      </c>
    </row>
    <row r="36" spans="2:65">
      <c r="C36" s="152" t="s">
        <v>84</v>
      </c>
      <c r="D36" s="299">
        <v>1200</v>
      </c>
      <c r="H36" s="152" t="s">
        <v>84</v>
      </c>
      <c r="I36" s="299">
        <v>800</v>
      </c>
      <c r="M36" s="152" t="s">
        <v>84</v>
      </c>
      <c r="N36" s="299">
        <v>450</v>
      </c>
      <c r="R36" s="152" t="s">
        <v>84</v>
      </c>
      <c r="S36" s="299">
        <v>1500</v>
      </c>
      <c r="W36" s="152" t="s">
        <v>84</v>
      </c>
      <c r="X36" s="299">
        <v>1500</v>
      </c>
      <c r="AB36" s="152" t="s">
        <v>84</v>
      </c>
      <c r="AC36" s="299">
        <v>600</v>
      </c>
      <c r="AG36" s="152" t="s">
        <v>84</v>
      </c>
      <c r="AH36" s="299">
        <v>100</v>
      </c>
      <c r="AL36" s="152" t="s">
        <v>84</v>
      </c>
      <c r="AM36" s="299">
        <v>130</v>
      </c>
      <c r="AQ36" s="152" t="s">
        <v>84</v>
      </c>
      <c r="AR36" s="299">
        <v>460</v>
      </c>
      <c r="AV36" s="152" t="s">
        <v>84</v>
      </c>
      <c r="AW36" s="299">
        <v>1040</v>
      </c>
      <c r="BA36" s="152" t="s">
        <v>84</v>
      </c>
      <c r="BB36" s="299">
        <v>1</v>
      </c>
      <c r="BF36" s="152" t="s">
        <v>84</v>
      </c>
      <c r="BG36" s="299">
        <v>615</v>
      </c>
      <c r="BK36" s="152" t="s">
        <v>84</v>
      </c>
      <c r="BL36" s="299">
        <v>180</v>
      </c>
    </row>
    <row r="37" spans="2:65">
      <c r="B37" s="114"/>
      <c r="C37" s="113" t="s">
        <v>143</v>
      </c>
      <c r="D37" s="113">
        <v>1154.8910000000001</v>
      </c>
      <c r="G37" s="114"/>
      <c r="H37" s="113" t="s">
        <v>143</v>
      </c>
      <c r="I37" s="113">
        <v>173.29172033536</v>
      </c>
      <c r="L37" s="114"/>
      <c r="M37" s="113" t="s">
        <v>143</v>
      </c>
      <c r="N37" s="113">
        <v>289.84699060154003</v>
      </c>
      <c r="Q37" s="114"/>
      <c r="R37" s="113" t="s">
        <v>143</v>
      </c>
      <c r="S37" s="113">
        <v>0</v>
      </c>
      <c r="V37" s="114"/>
      <c r="W37" s="113" t="s">
        <v>143</v>
      </c>
      <c r="X37" s="113">
        <v>433.34500439786996</v>
      </c>
      <c r="AA37" s="114"/>
      <c r="AB37" s="113" t="s">
        <v>143</v>
      </c>
      <c r="AC37" s="113">
        <v>536.96799999999996</v>
      </c>
      <c r="AF37" s="114"/>
      <c r="AG37" s="113" t="s">
        <v>143</v>
      </c>
      <c r="AH37" s="113">
        <v>51.662511825560003</v>
      </c>
      <c r="AK37" s="114"/>
      <c r="AL37" s="113" t="s">
        <v>143</v>
      </c>
      <c r="AM37" s="113">
        <v>52.870949521059998</v>
      </c>
      <c r="AP37" s="114"/>
      <c r="AQ37" s="113" t="s">
        <v>143</v>
      </c>
      <c r="AR37" s="113">
        <v>68.767544826700004</v>
      </c>
      <c r="AU37" s="114"/>
      <c r="AV37" s="113" t="s">
        <v>143</v>
      </c>
      <c r="AW37" s="113">
        <v>212.93785126190002</v>
      </c>
      <c r="AZ37" s="114"/>
      <c r="BA37" s="113" t="s">
        <v>143</v>
      </c>
      <c r="BB37" s="113">
        <v>9.5169999999999995</v>
      </c>
      <c r="BE37" s="114"/>
      <c r="BF37" s="113" t="s">
        <v>143</v>
      </c>
      <c r="BG37" s="113">
        <v>25.63422726173</v>
      </c>
      <c r="BJ37" s="114"/>
      <c r="BK37" s="113" t="s">
        <v>143</v>
      </c>
      <c r="BL37" s="113">
        <v>16.791391384359997</v>
      </c>
    </row>
    <row r="38" spans="2:65">
      <c r="B38" s="114"/>
      <c r="C38" s="113" t="s">
        <v>144</v>
      </c>
      <c r="D38" s="297">
        <v>6.0831565943468884E-2</v>
      </c>
      <c r="G38" s="114"/>
      <c r="H38" s="113" t="s">
        <v>144</v>
      </c>
      <c r="I38" s="297">
        <v>6.0831565943468884E-2</v>
      </c>
      <c r="L38" s="114"/>
      <c r="M38" s="113" t="s">
        <v>144</v>
      </c>
      <c r="N38" s="297">
        <v>6.0831565943468884E-2</v>
      </c>
      <c r="Q38" s="114"/>
      <c r="R38" s="113" t="s">
        <v>144</v>
      </c>
      <c r="S38" s="297">
        <v>6.0831565943468884E-2</v>
      </c>
      <c r="V38" s="114"/>
      <c r="W38" s="113" t="s">
        <v>144</v>
      </c>
      <c r="X38" s="297">
        <v>6.0831565943468884E-2</v>
      </c>
      <c r="AA38" s="114"/>
      <c r="AB38" s="113" t="s">
        <v>144</v>
      </c>
      <c r="AC38" s="297">
        <v>6.0831565943468884E-2</v>
      </c>
      <c r="AF38" s="114"/>
      <c r="AG38" s="113" t="s">
        <v>144</v>
      </c>
      <c r="AH38" s="297">
        <v>6.0831565943468884E-2</v>
      </c>
      <c r="AK38" s="114"/>
      <c r="AL38" s="113" t="s">
        <v>144</v>
      </c>
      <c r="AM38" s="297">
        <v>6.0831565943468884E-2</v>
      </c>
      <c r="AP38" s="114"/>
      <c r="AQ38" s="113" t="s">
        <v>144</v>
      </c>
      <c r="AR38" s="297">
        <v>6.0831565943468884E-2</v>
      </c>
      <c r="AU38" s="114"/>
      <c r="AV38" s="113" t="s">
        <v>144</v>
      </c>
      <c r="AW38" s="297">
        <v>6.0831565943468884E-2</v>
      </c>
      <c r="AZ38" s="114"/>
      <c r="BA38" s="113" t="s">
        <v>144</v>
      </c>
      <c r="BB38" s="297">
        <v>6.0831565943468884E-2</v>
      </c>
      <c r="BE38" s="114"/>
      <c r="BF38" s="113" t="s">
        <v>144</v>
      </c>
      <c r="BG38" s="297">
        <v>6.0831565943468884E-2</v>
      </c>
      <c r="BJ38" s="114"/>
      <c r="BK38" s="113" t="s">
        <v>144</v>
      </c>
      <c r="BL38" s="297">
        <v>6.0831565943468884E-2</v>
      </c>
    </row>
    <row r="39" spans="2:65" ht="41.25" customHeight="1">
      <c r="B39" s="371" t="s">
        <v>157</v>
      </c>
      <c r="C39" s="372"/>
      <c r="D39" s="298">
        <f>D37*1000000*D38/(D36*1000)</f>
        <v>58.544856686682266</v>
      </c>
      <c r="G39" s="371" t="s">
        <v>148</v>
      </c>
      <c r="H39" s="372"/>
      <c r="I39" s="298">
        <f>I37*1000000*I38/(I36*1000)</f>
        <v>13.177008391297024</v>
      </c>
      <c r="L39" s="371" t="s">
        <v>160</v>
      </c>
      <c r="M39" s="372"/>
      <c r="N39" s="298">
        <f>N37*1000000*N38/(N36*1000)</f>
        <v>39.181880716207971</v>
      </c>
      <c r="Q39" s="372" t="s">
        <v>149</v>
      </c>
      <c r="R39" s="372"/>
      <c r="S39" s="298">
        <f>S37*1000000*S38/(S36*1000)</f>
        <v>0</v>
      </c>
      <c r="V39" s="372" t="s">
        <v>164</v>
      </c>
      <c r="W39" s="372"/>
      <c r="X39" s="298">
        <f>X37*1000000*X38/(X36*1000)</f>
        <v>17.574036807534558</v>
      </c>
      <c r="AA39" s="372" t="s">
        <v>167</v>
      </c>
      <c r="AB39" s="372"/>
      <c r="AC39" s="298">
        <f>AC37*1000000*AC38/(AC36*1000)</f>
        <v>54.441007169221002</v>
      </c>
      <c r="AF39" s="372" t="s">
        <v>149</v>
      </c>
      <c r="AG39" s="372"/>
      <c r="AH39" s="298">
        <f>AH37*1000000*AH38/(AH36*1000)</f>
        <v>31.427114949217941</v>
      </c>
      <c r="AK39" s="372" t="s">
        <v>167</v>
      </c>
      <c r="AL39" s="372"/>
      <c r="AM39" s="298">
        <f>AM37*1000000*AM38/(AM36*1000)</f>
        <v>24.740174248339812</v>
      </c>
      <c r="AP39" s="372" t="s">
        <v>169</v>
      </c>
      <c r="AQ39" s="372"/>
      <c r="AR39" s="298">
        <f>AR37*1000000*AR38/(AR36*1000)</f>
        <v>9.0939944302083777</v>
      </c>
      <c r="AU39" s="372" t="s">
        <v>170</v>
      </c>
      <c r="AV39" s="372"/>
      <c r="AW39" s="298">
        <f>AW37*1000000*AW38/(AW36*1000)</f>
        <v>12.45513744317196</v>
      </c>
      <c r="AZ39" s="372" t="s">
        <v>142</v>
      </c>
      <c r="BA39" s="372"/>
      <c r="BB39" s="298">
        <f>BB37*1000000*BB38/(BB36*1000)</f>
        <v>578.93401308399336</v>
      </c>
      <c r="BE39" s="372" t="s">
        <v>167</v>
      </c>
      <c r="BF39" s="372"/>
      <c r="BG39" s="298">
        <f>BG37*1000000*BG38/(BG36*1000)</f>
        <v>2.5355612781817829</v>
      </c>
      <c r="BJ39" s="371" t="s">
        <v>213</v>
      </c>
      <c r="BK39" s="372"/>
      <c r="BL39" s="298">
        <f>BL37*1000000*BL38/(BL36*1000)</f>
        <v>5.6747035126682794</v>
      </c>
    </row>
    <row r="40" spans="2:65">
      <c r="B40" s="111"/>
      <c r="C40" s="115"/>
      <c r="D40" s="113"/>
      <c r="E40" s="113"/>
      <c r="F40" s="114"/>
      <c r="I40" s="114"/>
      <c r="J40" s="114"/>
      <c r="K40" s="114"/>
      <c r="N40" s="114"/>
      <c r="O40" s="114"/>
      <c r="U40" s="114"/>
      <c r="X40" s="114"/>
      <c r="Y40" s="114"/>
      <c r="Z40" s="114"/>
      <c r="AC40" s="114"/>
      <c r="AD40" s="114"/>
      <c r="AE40" s="114"/>
      <c r="AH40" s="114"/>
      <c r="AI40" s="114"/>
      <c r="AJ40" s="114"/>
      <c r="AM40" s="114"/>
      <c r="AN40" s="114"/>
      <c r="AO40" s="114"/>
      <c r="AR40" s="114"/>
      <c r="AS40" s="114"/>
      <c r="AT40" s="114"/>
      <c r="AW40" s="114"/>
      <c r="AX40" s="114"/>
      <c r="AY40" s="114"/>
      <c r="BB40" s="114"/>
      <c r="BC40" s="114"/>
      <c r="BD40" s="119"/>
    </row>
    <row r="41" spans="2:65">
      <c r="E41" s="113"/>
      <c r="I41" s="114"/>
      <c r="J41" s="114"/>
      <c r="K41" s="119"/>
    </row>
    <row r="42" spans="2:65">
      <c r="D42" s="135"/>
    </row>
    <row r="43" spans="2:65">
      <c r="B43"/>
      <c r="C43"/>
      <c r="D43"/>
      <c r="E43"/>
      <c r="F43"/>
      <c r="G43"/>
      <c r="H43"/>
      <c r="I43"/>
      <c r="J43"/>
      <c r="K43"/>
    </row>
    <row r="44" spans="2:65">
      <c r="B44"/>
      <c r="C44"/>
      <c r="D44"/>
      <c r="E44"/>
      <c r="F44"/>
      <c r="G44"/>
      <c r="H44"/>
      <c r="I44"/>
      <c r="J44"/>
      <c r="K44"/>
    </row>
    <row r="45" spans="2:65">
      <c r="B45"/>
      <c r="C45"/>
      <c r="D45"/>
      <c r="E45"/>
      <c r="F45"/>
      <c r="G45"/>
      <c r="H45"/>
      <c r="I45"/>
      <c r="J45"/>
      <c r="K45"/>
    </row>
    <row r="46" spans="2:65">
      <c r="B46"/>
      <c r="C46"/>
      <c r="D46"/>
      <c r="E46"/>
      <c r="F46"/>
      <c r="G46"/>
      <c r="H46"/>
      <c r="I46"/>
      <c r="J46"/>
      <c r="K46"/>
    </row>
    <row r="47" spans="2:65">
      <c r="B47"/>
      <c r="C47"/>
      <c r="D47"/>
      <c r="E47"/>
      <c r="F47"/>
      <c r="G47"/>
      <c r="H47"/>
      <c r="I47"/>
      <c r="J47"/>
      <c r="K47"/>
    </row>
    <row r="48" spans="2:65">
      <c r="B48"/>
      <c r="C48"/>
      <c r="D48"/>
      <c r="E48"/>
      <c r="F48"/>
      <c r="G48"/>
      <c r="H48"/>
      <c r="I48"/>
      <c r="J48"/>
      <c r="K48"/>
    </row>
    <row r="49" spans="2:11">
      <c r="B49"/>
      <c r="C49"/>
      <c r="D49"/>
      <c r="E49"/>
      <c r="F49"/>
      <c r="G49"/>
      <c r="H49"/>
      <c r="I49"/>
      <c r="J49"/>
      <c r="K49"/>
    </row>
    <row r="50" spans="2:11">
      <c r="B50"/>
      <c r="C50"/>
      <c r="D50"/>
      <c r="E50"/>
      <c r="F50"/>
      <c r="G50"/>
      <c r="H50"/>
      <c r="I50"/>
      <c r="J50"/>
      <c r="K50"/>
    </row>
    <row r="51" spans="2:11">
      <c r="B51"/>
      <c r="C51"/>
      <c r="D51"/>
      <c r="E51"/>
      <c r="F51"/>
      <c r="G51"/>
      <c r="H51"/>
      <c r="I51"/>
      <c r="J51"/>
      <c r="K51"/>
    </row>
    <row r="52" spans="2:11">
      <c r="B52"/>
      <c r="C52"/>
      <c r="D52"/>
      <c r="E52"/>
      <c r="F52"/>
      <c r="G52"/>
      <c r="H52"/>
      <c r="I52"/>
      <c r="J52"/>
      <c r="K52"/>
    </row>
    <row r="64" spans="2:11">
      <c r="C64" s="131"/>
      <c r="D64" s="135"/>
    </row>
    <row r="65" spans="3:4">
      <c r="C65" s="131"/>
      <c r="D65" s="135"/>
    </row>
    <row r="66" spans="3:4">
      <c r="C66" s="131"/>
      <c r="D66" s="135"/>
    </row>
    <row r="67" spans="3:4">
      <c r="C67" s="131"/>
      <c r="D67" s="135"/>
    </row>
    <row r="68" spans="3:4">
      <c r="C68" s="131"/>
      <c r="D68" s="135"/>
    </row>
    <row r="69" spans="3:4">
      <c r="C69" s="131"/>
      <c r="D69" s="135"/>
    </row>
    <row r="70" spans="3:4">
      <c r="C70" s="131"/>
      <c r="D70" s="135"/>
    </row>
    <row r="71" spans="3:4">
      <c r="C71" s="131"/>
      <c r="D71" s="135"/>
    </row>
    <row r="72" spans="3:4">
      <c r="C72" s="131"/>
      <c r="D72" s="135"/>
    </row>
    <row r="73" spans="3:4">
      <c r="C73" s="131"/>
      <c r="D73" s="135"/>
    </row>
  </sheetData>
  <mergeCells count="26"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B1:AB91"/>
  <sheetViews>
    <sheetView view="pageBreakPreview" zoomScale="60" zoomScaleNormal="70" workbookViewId="0">
      <selection activeCell="B10" sqref="B10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16406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219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28%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Borah Solar with Storage - 28%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>
        <f>(D12+E12+F12)</f>
        <v>0</v>
      </c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>
        <f t="shared" ref="K13:K37" si="1">(D13+E13+F13)</f>
        <v>0</v>
      </c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>
        <f t="shared" si="1"/>
        <v>0</v>
      </c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>
        <f t="shared" si="1"/>
        <v>0</v>
      </c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>
        <f t="shared" si="1"/>
        <v>0</v>
      </c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>
        <f t="shared" si="1"/>
        <v>0</v>
      </c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>
        <f t="shared" si="1"/>
        <v>0</v>
      </c>
      <c r="P18" s="324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>
        <f t="shared" si="1"/>
        <v>0</v>
      </c>
      <c r="P19" s="324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>
        <v>2695.7550000000001</v>
      </c>
      <c r="D20" s="113">
        <f>C20*$C$62</f>
        <v>146.07704804045611</v>
      </c>
      <c r="E20" s="113">
        <v>37.566000000000003</v>
      </c>
      <c r="F20" s="161"/>
      <c r="G20" s="114">
        <f t="shared" ref="G20:G37" si="2">(D20+E20+F20)/(8.76*$C$63)</f>
        <v>75.13913358228838</v>
      </c>
      <c r="H20" s="113"/>
      <c r="I20" s="114">
        <f t="shared" ref="I20:I37" si="3">(G20+H20)</f>
        <v>75.13913358228838</v>
      </c>
      <c r="J20" s="114">
        <f t="shared" ref="J20:J32" si="4">ROUND(I20*$C$63*8.76,2)</f>
        <v>183.64</v>
      </c>
      <c r="K20" s="113">
        <f t="shared" si="1"/>
        <v>183.64304804045611</v>
      </c>
      <c r="P20" s="114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>
        <f t="shared" ref="D21:D37" si="5">ROUND(D20*(1+IRP21_Infl_Rate),2)</f>
        <v>149.22999999999999</v>
      </c>
      <c r="E21" s="113">
        <f t="shared" ref="E21:E37" si="6">ROUND(E20*(1+IRP21_Infl_Rate),2)</f>
        <v>38.380000000000003</v>
      </c>
      <c r="F21" s="113"/>
      <c r="G21" s="114">
        <f t="shared" si="2"/>
        <v>76.762246117084814</v>
      </c>
      <c r="H21" s="113"/>
      <c r="I21" s="114">
        <f t="shared" si="3"/>
        <v>76.762246117084814</v>
      </c>
      <c r="J21" s="114">
        <f t="shared" si="4"/>
        <v>187.61</v>
      </c>
      <c r="K21" s="113">
        <f t="shared" si="1"/>
        <v>187.60999999999999</v>
      </c>
      <c r="P21" s="114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>
        <f t="shared" si="5"/>
        <v>152.44999999999999</v>
      </c>
      <c r="E22" s="113">
        <f t="shared" si="6"/>
        <v>39.21</v>
      </c>
      <c r="F22" s="113"/>
      <c r="G22" s="114">
        <f t="shared" si="2"/>
        <v>78.419338472365425</v>
      </c>
      <c r="H22" s="113"/>
      <c r="I22" s="114">
        <f t="shared" si="3"/>
        <v>78.419338472365425</v>
      </c>
      <c r="J22" s="114">
        <f t="shared" si="4"/>
        <v>191.66</v>
      </c>
      <c r="K22" s="113">
        <f t="shared" si="1"/>
        <v>191.66</v>
      </c>
      <c r="P22" s="114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>
        <f t="shared" si="5"/>
        <v>155.74</v>
      </c>
      <c r="E23" s="113">
        <f t="shared" si="6"/>
        <v>40.049999999999997</v>
      </c>
      <c r="F23" s="113"/>
      <c r="G23" s="114">
        <f t="shared" si="2"/>
        <v>80.109163516145401</v>
      </c>
      <c r="H23" s="113"/>
      <c r="I23" s="114">
        <f t="shared" si="3"/>
        <v>80.109163516145401</v>
      </c>
      <c r="J23" s="114">
        <f t="shared" si="4"/>
        <v>195.79</v>
      </c>
      <c r="K23" s="113">
        <f t="shared" si="1"/>
        <v>195.79000000000002</v>
      </c>
      <c r="P23" s="114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>
        <f t="shared" si="5"/>
        <v>159.1</v>
      </c>
      <c r="E24" s="113">
        <f t="shared" si="6"/>
        <v>40.909999999999997</v>
      </c>
      <c r="F24" s="113"/>
      <c r="G24" s="114">
        <f t="shared" si="2"/>
        <v>81.835812834487143</v>
      </c>
      <c r="H24" s="113"/>
      <c r="I24" s="114">
        <f t="shared" si="3"/>
        <v>81.835812834487143</v>
      </c>
      <c r="J24" s="114">
        <f t="shared" si="4"/>
        <v>200.01</v>
      </c>
      <c r="K24" s="113">
        <f t="shared" si="1"/>
        <v>200.01</v>
      </c>
      <c r="P24" s="114"/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si="5"/>
        <v>162.53</v>
      </c>
      <c r="E25" s="113">
        <f t="shared" si="6"/>
        <v>41.79</v>
      </c>
      <c r="F25" s="113"/>
      <c r="G25" s="114">
        <f t="shared" si="2"/>
        <v>83.599286427390709</v>
      </c>
      <c r="H25" s="113"/>
      <c r="I25" s="114">
        <f t="shared" si="3"/>
        <v>83.599286427390709</v>
      </c>
      <c r="J25" s="114">
        <f t="shared" si="4"/>
        <v>204.32</v>
      </c>
      <c r="K25" s="113">
        <f t="shared" si="1"/>
        <v>204.32</v>
      </c>
      <c r="P25" s="114"/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si="5"/>
        <v>166.03</v>
      </c>
      <c r="E26" s="113">
        <f t="shared" si="6"/>
        <v>42.69</v>
      </c>
      <c r="F26" s="113"/>
      <c r="G26" s="114">
        <f t="shared" si="2"/>
        <v>85.399584294856055</v>
      </c>
      <c r="H26" s="113"/>
      <c r="I26" s="114">
        <f t="shared" si="3"/>
        <v>85.399584294856055</v>
      </c>
      <c r="J26" s="114">
        <f t="shared" si="4"/>
        <v>208.72</v>
      </c>
      <c r="K26" s="113">
        <f t="shared" si="1"/>
        <v>208.72</v>
      </c>
      <c r="P26" s="114"/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5"/>
        <v>169.61</v>
      </c>
      <c r="E27" s="113">
        <f t="shared" si="6"/>
        <v>43.61</v>
      </c>
      <c r="F27" s="113"/>
      <c r="G27" s="114">
        <f t="shared" si="2"/>
        <v>87.240798022945611</v>
      </c>
      <c r="H27" s="113"/>
      <c r="I27" s="114">
        <f t="shared" si="3"/>
        <v>87.240798022945611</v>
      </c>
      <c r="J27" s="114">
        <f t="shared" si="4"/>
        <v>213.22</v>
      </c>
      <c r="K27" s="113">
        <f t="shared" si="1"/>
        <v>213.22000000000003</v>
      </c>
      <c r="P27" s="114"/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173.27</v>
      </c>
      <c r="E28" s="113">
        <f t="shared" si="6"/>
        <v>44.55</v>
      </c>
      <c r="F28" s="113"/>
      <c r="G28" s="114">
        <f t="shared" si="2"/>
        <v>89.122927611659378</v>
      </c>
      <c r="H28" s="113"/>
      <c r="I28" s="114">
        <f t="shared" si="3"/>
        <v>89.122927611659378</v>
      </c>
      <c r="J28" s="114">
        <f t="shared" si="4"/>
        <v>217.82</v>
      </c>
      <c r="K28" s="113">
        <f t="shared" si="1"/>
        <v>217.82</v>
      </c>
      <c r="P28" s="114"/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177</v>
      </c>
      <c r="E29" s="113">
        <f t="shared" si="6"/>
        <v>45.51</v>
      </c>
      <c r="F29" s="113"/>
      <c r="G29" s="114">
        <f t="shared" si="2"/>
        <v>91.041881474934925</v>
      </c>
      <c r="H29" s="113"/>
      <c r="I29" s="114">
        <f t="shared" si="3"/>
        <v>91.041881474934925</v>
      </c>
      <c r="J29" s="114">
        <f t="shared" si="4"/>
        <v>222.51</v>
      </c>
      <c r="K29" s="113">
        <f t="shared" si="1"/>
        <v>222.51</v>
      </c>
      <c r="P29" s="114"/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180.81</v>
      </c>
      <c r="E30" s="113">
        <f t="shared" si="6"/>
        <v>46.49</v>
      </c>
      <c r="F30" s="113"/>
      <c r="G30" s="114">
        <f t="shared" si="2"/>
        <v>93.001751198834711</v>
      </c>
      <c r="H30" s="113"/>
      <c r="I30" s="114">
        <f t="shared" si="3"/>
        <v>93.001751198834711</v>
      </c>
      <c r="J30" s="114">
        <f t="shared" si="4"/>
        <v>227.3</v>
      </c>
      <c r="K30" s="113">
        <f t="shared" si="1"/>
        <v>227.3</v>
      </c>
      <c r="P30" s="114"/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184.71</v>
      </c>
      <c r="E31" s="113">
        <f t="shared" si="6"/>
        <v>47.49</v>
      </c>
      <c r="F31" s="113"/>
      <c r="G31" s="114">
        <f t="shared" si="2"/>
        <v>95.006628369421122</v>
      </c>
      <c r="H31" s="113"/>
      <c r="I31" s="114">
        <f t="shared" si="3"/>
        <v>95.006628369421122</v>
      </c>
      <c r="J31" s="114">
        <f t="shared" si="4"/>
        <v>232.2</v>
      </c>
      <c r="K31" s="113">
        <f t="shared" si="1"/>
        <v>232.20000000000002</v>
      </c>
      <c r="P31" s="114"/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188.69</v>
      </c>
      <c r="E32" s="113">
        <f t="shared" si="6"/>
        <v>48.51</v>
      </c>
      <c r="F32" s="113"/>
      <c r="G32" s="114">
        <f t="shared" si="2"/>
        <v>97.052421400631729</v>
      </c>
      <c r="H32" s="113"/>
      <c r="I32" s="114">
        <f t="shared" si="3"/>
        <v>97.052421400631729</v>
      </c>
      <c r="J32" s="114">
        <f t="shared" si="4"/>
        <v>237.2</v>
      </c>
      <c r="K32" s="113">
        <f t="shared" si="1"/>
        <v>237.2</v>
      </c>
      <c r="P32" s="114"/>
      <c r="R32" s="134"/>
      <c r="U32" s="134"/>
      <c r="V32" s="134"/>
      <c r="X32" s="134"/>
      <c r="Y32" s="134"/>
      <c r="Z32" s="134"/>
    </row>
    <row r="33" spans="2:16">
      <c r="B33" s="111">
        <f t="shared" si="0"/>
        <v>2039</v>
      </c>
      <c r="C33" s="115"/>
      <c r="D33" s="113">
        <f t="shared" si="5"/>
        <v>192.76</v>
      </c>
      <c r="E33" s="113">
        <f t="shared" si="6"/>
        <v>49.56</v>
      </c>
      <c r="F33" s="113"/>
      <c r="G33" s="114">
        <f t="shared" si="2"/>
        <v>99.147313464591406</v>
      </c>
      <c r="H33" s="113"/>
      <c r="I33" s="114">
        <f t="shared" si="3"/>
        <v>99.147313464591406</v>
      </c>
      <c r="J33" s="114">
        <f t="shared" ref="J33:J37" si="7">ROUND(I33*$C$63*8.76,2)</f>
        <v>242.32</v>
      </c>
      <c r="K33" s="113">
        <f t="shared" si="1"/>
        <v>242.32</v>
      </c>
      <c r="P33" s="114"/>
    </row>
    <row r="34" spans="2:16">
      <c r="B34" s="111">
        <f t="shared" si="0"/>
        <v>2040</v>
      </c>
      <c r="C34" s="115"/>
      <c r="D34" s="113">
        <f t="shared" si="5"/>
        <v>196.91</v>
      </c>
      <c r="E34" s="113">
        <f t="shared" si="6"/>
        <v>50.63</v>
      </c>
      <c r="F34" s="113"/>
      <c r="G34" s="114">
        <f t="shared" si="2"/>
        <v>101.28312138917529</v>
      </c>
      <c r="H34" s="113"/>
      <c r="I34" s="114">
        <f t="shared" si="3"/>
        <v>101.28312138917529</v>
      </c>
      <c r="J34" s="114">
        <f t="shared" si="7"/>
        <v>247.54</v>
      </c>
      <c r="K34" s="113">
        <f t="shared" si="1"/>
        <v>247.54</v>
      </c>
      <c r="P34" s="114"/>
    </row>
    <row r="35" spans="2:16">
      <c r="B35" s="111">
        <f t="shared" si="0"/>
        <v>2041</v>
      </c>
      <c r="C35" s="115"/>
      <c r="D35" s="113">
        <f t="shared" si="5"/>
        <v>201.15</v>
      </c>
      <c r="E35" s="113">
        <f t="shared" si="6"/>
        <v>51.72</v>
      </c>
      <c r="F35" s="113"/>
      <c r="G35" s="114">
        <f t="shared" si="2"/>
        <v>103.46393676044582</v>
      </c>
      <c r="H35" s="113"/>
      <c r="I35" s="114">
        <f t="shared" si="3"/>
        <v>103.46393676044582</v>
      </c>
      <c r="J35" s="114">
        <f t="shared" si="7"/>
        <v>252.87</v>
      </c>
      <c r="K35" s="113">
        <f t="shared" si="1"/>
        <v>252.87</v>
      </c>
      <c r="P35" s="114"/>
    </row>
    <row r="36" spans="2:16">
      <c r="B36" s="111">
        <f t="shared" si="0"/>
        <v>2042</v>
      </c>
      <c r="C36" s="115"/>
      <c r="D36" s="113">
        <f t="shared" si="5"/>
        <v>205.48</v>
      </c>
      <c r="E36" s="113">
        <f t="shared" si="6"/>
        <v>52.83</v>
      </c>
      <c r="F36" s="113"/>
      <c r="G36" s="114">
        <f t="shared" si="2"/>
        <v>105.68975957840297</v>
      </c>
      <c r="H36" s="113"/>
      <c r="I36" s="114">
        <f t="shared" si="3"/>
        <v>105.68975957840297</v>
      </c>
      <c r="J36" s="114">
        <f t="shared" si="7"/>
        <v>258.31</v>
      </c>
      <c r="K36" s="113">
        <f t="shared" si="1"/>
        <v>258.31</v>
      </c>
      <c r="P36" s="114"/>
    </row>
    <row r="37" spans="2:16">
      <c r="B37" s="111">
        <f t="shared" si="0"/>
        <v>2043</v>
      </c>
      <c r="C37" s="115"/>
      <c r="D37" s="113">
        <f t="shared" si="5"/>
        <v>209.91</v>
      </c>
      <c r="E37" s="113">
        <f t="shared" si="6"/>
        <v>53.97</v>
      </c>
      <c r="F37" s="113"/>
      <c r="G37" s="114">
        <f t="shared" si="2"/>
        <v>107.96877301517159</v>
      </c>
      <c r="H37" s="113"/>
      <c r="I37" s="114">
        <f t="shared" si="3"/>
        <v>107.96877301517159</v>
      </c>
      <c r="J37" s="114">
        <f t="shared" si="7"/>
        <v>263.88</v>
      </c>
      <c r="K37" s="113">
        <f t="shared" si="1"/>
        <v>263.88</v>
      </c>
      <c r="P37" s="114"/>
    </row>
    <row r="38" spans="2:16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6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6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6" ht="14.25">
      <c r="B42" s="120" t="s">
        <v>25</v>
      </c>
      <c r="C42" s="121"/>
      <c r="D42" s="121"/>
      <c r="E42" s="121"/>
      <c r="F42" s="121"/>
      <c r="G42" s="121"/>
      <c r="H42" s="121"/>
    </row>
    <row r="44" spans="2:16">
      <c r="B44" s="104" t="s">
        <v>63</v>
      </c>
      <c r="C44" s="122" t="s">
        <v>64</v>
      </c>
      <c r="D44" s="247" t="s">
        <v>155</v>
      </c>
    </row>
    <row r="45" spans="2:16">
      <c r="C45" s="122" t="str">
        <f>C7</f>
        <v>(a)</v>
      </c>
      <c r="D45" s="104" t="s">
        <v>65</v>
      </c>
    </row>
    <row r="46" spans="2:16">
      <c r="C46" s="122" t="str">
        <f>D7</f>
        <v>(b)</v>
      </c>
      <c r="D46" s="114" t="str">
        <f>"= "&amp;C7&amp;" x "&amp;C62</f>
        <v>= (a) x 0.0541878056575824</v>
      </c>
    </row>
    <row r="47" spans="2:16">
      <c r="C47" s="122" t="str">
        <f>F7</f>
        <v>(d)</v>
      </c>
      <c r="D47" s="114" t="str">
        <f>"= ("&amp;$D$7&amp;" + "&amp;$E$7&amp;") /  (8.76 x "&amp;TEXT(C63,"0.0%")&amp;")"</f>
        <v>= ((b) + (c)) /  (8.76 x 27.9%)</v>
      </c>
    </row>
    <row r="48" spans="2:16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Borah Solar with Storage - 28%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2026</v>
      </c>
    </row>
    <row r="55" spans="2:17">
      <c r="B55" t="s">
        <v>156</v>
      </c>
      <c r="C55" s="328"/>
      <c r="D55" s="104" t="s">
        <v>65</v>
      </c>
      <c r="O55" s="230">
        <v>600</v>
      </c>
      <c r="P55" s="104" t="s">
        <v>32</v>
      </c>
    </row>
    <row r="56" spans="2:17">
      <c r="B56" t="s">
        <v>156</v>
      </c>
      <c r="C56" s="129"/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156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54.441007169221002</v>
      </c>
      <c r="D60" s="104" t="s">
        <v>150</v>
      </c>
      <c r="F60" s="104" t="s">
        <v>163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0.27900000000000003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34FF1-6341-41C4-85D0-05D9A93B77B8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220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17%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Stand Alone Battery WY DJ - 17% Capacity Factor</v>
      </c>
    </row>
    <row r="10" spans="2:26" hidden="1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 hidden="1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 hidden="1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>
        <v>1006.571</v>
      </c>
      <c r="D23" s="113">
        <f>C23*$C$62</f>
        <v>87.328316133532738</v>
      </c>
      <c r="E23" s="113">
        <f>12018.7080000009/549</f>
        <v>21.892000000001637</v>
      </c>
      <c r="F23" s="161">
        <f>$C$60</f>
        <v>0</v>
      </c>
      <c r="G23" s="114">
        <f t="shared" ref="G23:G24" si="1">(D23+E23+F23)/(8.76*$C$63)</f>
        <v>74.808435707900259</v>
      </c>
      <c r="H23" s="113"/>
      <c r="I23" s="114">
        <f t="shared" ref="I23:I24" si="2">(G23+H23)</f>
        <v>74.808435707900259</v>
      </c>
      <c r="J23" s="114">
        <f t="shared" ref="J23:J24" si="3">ROUND(I23*$C$63*8.76,2)</f>
        <v>109.22</v>
      </c>
      <c r="K23" s="113">
        <f t="shared" ref="K23:K24" si="4">(D23+E23+F23)</f>
        <v>109.22031613353437</v>
      </c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>
        <f t="shared" ref="D24:F24" si="5">ROUND(D23*(1+IRP21_Infl_Rate),2)</f>
        <v>89.21</v>
      </c>
      <c r="E24" s="113">
        <f t="shared" si="5"/>
        <v>22.36</v>
      </c>
      <c r="F24" s="113">
        <f t="shared" si="5"/>
        <v>0</v>
      </c>
      <c r="G24" s="114">
        <f t="shared" si="1"/>
        <v>76.417808219178085</v>
      </c>
      <c r="H24" s="113"/>
      <c r="I24" s="114">
        <f t="shared" si="2"/>
        <v>76.417808219178085</v>
      </c>
      <c r="J24" s="114">
        <f t="shared" si="3"/>
        <v>111.57</v>
      </c>
      <c r="K24" s="113">
        <f t="shared" si="4"/>
        <v>111.57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ref="D25:F25" si="6">ROUND(D24*(1+IRP21_Infl_Rate),2)</f>
        <v>91.13</v>
      </c>
      <c r="E25" s="113">
        <f t="shared" si="6"/>
        <v>22.84</v>
      </c>
      <c r="F25" s="113">
        <f t="shared" si="6"/>
        <v>0</v>
      </c>
      <c r="G25" s="114">
        <f t="shared" ref="G25:G37" si="7">(D25+E25+F25)/(8.76*$C$63)</f>
        <v>78.061643835616437</v>
      </c>
      <c r="H25" s="113"/>
      <c r="I25" s="114">
        <f t="shared" ref="I25:I37" si="8">(G25+H25)</f>
        <v>78.061643835616437</v>
      </c>
      <c r="J25" s="114">
        <f t="shared" ref="J25:J37" si="9">ROUND(I25*$C$63*8.76,2)</f>
        <v>113.97</v>
      </c>
      <c r="K25" s="113">
        <f t="shared" ref="K25:K37" si="10">(D25+E25+F25)</f>
        <v>113.97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ref="D26:F26" si="11">ROUND(D25*(1+IRP21_Infl_Rate),2)</f>
        <v>93.09</v>
      </c>
      <c r="E26" s="113">
        <f t="shared" si="11"/>
        <v>23.33</v>
      </c>
      <c r="F26" s="113">
        <f t="shared" si="11"/>
        <v>0</v>
      </c>
      <c r="G26" s="114">
        <f t="shared" si="7"/>
        <v>79.739726027397268</v>
      </c>
      <c r="H26" s="113"/>
      <c r="I26" s="114">
        <f t="shared" si="8"/>
        <v>79.739726027397268</v>
      </c>
      <c r="J26" s="114">
        <f t="shared" si="9"/>
        <v>116.42</v>
      </c>
      <c r="K26" s="113">
        <f t="shared" si="10"/>
        <v>116.42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ref="D27:F27" si="12">ROUND(D26*(1+IRP21_Infl_Rate),2)</f>
        <v>95.1</v>
      </c>
      <c r="E27" s="113">
        <f t="shared" si="12"/>
        <v>23.83</v>
      </c>
      <c r="F27" s="113">
        <f t="shared" si="12"/>
        <v>0</v>
      </c>
      <c r="G27" s="114">
        <f t="shared" si="7"/>
        <v>81.458904109589042</v>
      </c>
      <c r="H27" s="113"/>
      <c r="I27" s="114">
        <f t="shared" si="8"/>
        <v>81.458904109589042</v>
      </c>
      <c r="J27" s="114">
        <f t="shared" si="9"/>
        <v>118.93</v>
      </c>
      <c r="K27" s="113">
        <f t="shared" si="10"/>
        <v>118.92999999999999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ref="D28:F28" si="13">ROUND(D27*(1+IRP21_Infl_Rate),2)</f>
        <v>97.15</v>
      </c>
      <c r="E28" s="113">
        <f t="shared" si="13"/>
        <v>24.34</v>
      </c>
      <c r="F28" s="113">
        <f t="shared" si="13"/>
        <v>0</v>
      </c>
      <c r="G28" s="114">
        <f t="shared" si="7"/>
        <v>83.212328767123296</v>
      </c>
      <c r="H28" s="113"/>
      <c r="I28" s="114">
        <f t="shared" si="8"/>
        <v>83.212328767123296</v>
      </c>
      <c r="J28" s="114">
        <f t="shared" si="9"/>
        <v>121.49</v>
      </c>
      <c r="K28" s="113">
        <f t="shared" si="10"/>
        <v>121.49000000000001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ref="D29:F29" si="14">ROUND(D28*(1+IRP21_Infl_Rate),2)</f>
        <v>99.24</v>
      </c>
      <c r="E29" s="113">
        <f t="shared" si="14"/>
        <v>24.86</v>
      </c>
      <c r="F29" s="113">
        <f t="shared" si="14"/>
        <v>0</v>
      </c>
      <c r="G29" s="114">
        <f t="shared" si="7"/>
        <v>85</v>
      </c>
      <c r="H29" s="113"/>
      <c r="I29" s="114">
        <f t="shared" si="8"/>
        <v>85</v>
      </c>
      <c r="J29" s="114">
        <f t="shared" si="9"/>
        <v>124.1</v>
      </c>
      <c r="K29" s="113">
        <f t="shared" si="10"/>
        <v>124.1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ref="D30:F30" si="15">ROUND(D29*(1+IRP21_Infl_Rate),2)</f>
        <v>101.38</v>
      </c>
      <c r="E30" s="113">
        <f t="shared" si="15"/>
        <v>25.4</v>
      </c>
      <c r="F30" s="113">
        <f t="shared" si="15"/>
        <v>0</v>
      </c>
      <c r="G30" s="114">
        <f t="shared" si="7"/>
        <v>86.835616438356169</v>
      </c>
      <c r="H30" s="113"/>
      <c r="I30" s="114">
        <f t="shared" si="8"/>
        <v>86.835616438356169</v>
      </c>
      <c r="J30" s="114">
        <f t="shared" si="9"/>
        <v>126.78</v>
      </c>
      <c r="K30" s="113">
        <f t="shared" si="10"/>
        <v>126.78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ref="D31:F31" si="16">ROUND(D30*(1+IRP21_Infl_Rate),2)</f>
        <v>103.56</v>
      </c>
      <c r="E31" s="113">
        <f t="shared" si="16"/>
        <v>25.95</v>
      </c>
      <c r="F31" s="113">
        <f t="shared" si="16"/>
        <v>0</v>
      </c>
      <c r="G31" s="114">
        <f t="shared" si="7"/>
        <v>88.705479452054789</v>
      </c>
      <c r="H31" s="113"/>
      <c r="I31" s="114">
        <f t="shared" si="8"/>
        <v>88.705479452054789</v>
      </c>
      <c r="J31" s="114">
        <f t="shared" si="9"/>
        <v>129.51</v>
      </c>
      <c r="K31" s="113">
        <f t="shared" si="10"/>
        <v>129.51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ref="D32:F32" si="17">ROUND(D31*(1+IRP21_Infl_Rate),2)</f>
        <v>105.79</v>
      </c>
      <c r="E32" s="113">
        <f t="shared" si="17"/>
        <v>26.51</v>
      </c>
      <c r="F32" s="113">
        <f t="shared" si="17"/>
        <v>0</v>
      </c>
      <c r="G32" s="114">
        <f t="shared" si="7"/>
        <v>90.616438356164394</v>
      </c>
      <c r="H32" s="113"/>
      <c r="I32" s="114">
        <f t="shared" si="8"/>
        <v>90.616438356164394</v>
      </c>
      <c r="J32" s="114">
        <f t="shared" si="9"/>
        <v>132.30000000000001</v>
      </c>
      <c r="K32" s="113">
        <f t="shared" si="10"/>
        <v>132.30000000000001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ref="D33:F33" si="18">ROUND(D32*(1+IRP21_Infl_Rate),2)</f>
        <v>108.07</v>
      </c>
      <c r="E33" s="113">
        <f t="shared" si="18"/>
        <v>27.08</v>
      </c>
      <c r="F33" s="113">
        <f t="shared" si="18"/>
        <v>0</v>
      </c>
      <c r="G33" s="114">
        <f t="shared" si="7"/>
        <v>92.568493150684915</v>
      </c>
      <c r="H33" s="113"/>
      <c r="I33" s="114">
        <f t="shared" si="8"/>
        <v>92.568493150684915</v>
      </c>
      <c r="J33" s="114">
        <f t="shared" si="9"/>
        <v>135.15</v>
      </c>
      <c r="K33" s="113">
        <f t="shared" si="10"/>
        <v>135.14999999999998</v>
      </c>
    </row>
    <row r="34" spans="2:12">
      <c r="B34" s="111">
        <f t="shared" si="0"/>
        <v>2040</v>
      </c>
      <c r="C34" s="115"/>
      <c r="D34" s="113">
        <f t="shared" ref="D34:F34" si="19">ROUND(D33*(1+IRP21_Infl_Rate),2)</f>
        <v>110.4</v>
      </c>
      <c r="E34" s="113">
        <f t="shared" si="19"/>
        <v>27.66</v>
      </c>
      <c r="F34" s="113">
        <f t="shared" si="19"/>
        <v>0</v>
      </c>
      <c r="G34" s="114">
        <f t="shared" si="7"/>
        <v>94.561643835616437</v>
      </c>
      <c r="H34" s="113"/>
      <c r="I34" s="114">
        <f t="shared" si="8"/>
        <v>94.561643835616437</v>
      </c>
      <c r="J34" s="114">
        <f t="shared" si="9"/>
        <v>138.06</v>
      </c>
      <c r="K34" s="113">
        <f t="shared" si="10"/>
        <v>138.06</v>
      </c>
    </row>
    <row r="35" spans="2:12">
      <c r="B35" s="111">
        <f t="shared" si="0"/>
        <v>2041</v>
      </c>
      <c r="C35" s="115"/>
      <c r="D35" s="113">
        <f t="shared" ref="D35:F35" si="20">ROUND(D34*(1+IRP21_Infl_Rate),2)</f>
        <v>112.78</v>
      </c>
      <c r="E35" s="113">
        <f t="shared" si="20"/>
        <v>28.26</v>
      </c>
      <c r="F35" s="113">
        <f t="shared" si="20"/>
        <v>0</v>
      </c>
      <c r="G35" s="114">
        <f t="shared" si="7"/>
        <v>96.602739726027394</v>
      </c>
      <c r="H35" s="113"/>
      <c r="I35" s="114">
        <f t="shared" si="8"/>
        <v>96.602739726027394</v>
      </c>
      <c r="J35" s="114">
        <f t="shared" si="9"/>
        <v>141.04</v>
      </c>
      <c r="K35" s="113">
        <f t="shared" si="10"/>
        <v>141.04</v>
      </c>
    </row>
    <row r="36" spans="2:12">
      <c r="B36" s="111">
        <f t="shared" si="0"/>
        <v>2042</v>
      </c>
      <c r="C36" s="115"/>
      <c r="D36" s="113">
        <f t="shared" ref="D36:F36" si="21">ROUND(D35*(1+IRP21_Infl_Rate),2)</f>
        <v>115.21</v>
      </c>
      <c r="E36" s="113">
        <f t="shared" si="21"/>
        <v>28.87</v>
      </c>
      <c r="F36" s="113">
        <f t="shared" si="21"/>
        <v>0</v>
      </c>
      <c r="G36" s="114">
        <f t="shared" si="7"/>
        <v>98.68493150684931</v>
      </c>
      <c r="H36" s="113"/>
      <c r="I36" s="114">
        <f t="shared" si="8"/>
        <v>98.68493150684931</v>
      </c>
      <c r="J36" s="114">
        <f t="shared" si="9"/>
        <v>144.08000000000001</v>
      </c>
      <c r="K36" s="113">
        <f t="shared" si="10"/>
        <v>144.07999999999998</v>
      </c>
    </row>
    <row r="37" spans="2:12">
      <c r="B37" s="111">
        <f t="shared" si="0"/>
        <v>2043</v>
      </c>
      <c r="C37" s="115"/>
      <c r="D37" s="113">
        <f t="shared" ref="D37:F37" si="22">ROUND(D36*(1+IRP21_Infl_Rate),2)</f>
        <v>117.69</v>
      </c>
      <c r="E37" s="113">
        <f t="shared" si="22"/>
        <v>29.49</v>
      </c>
      <c r="F37" s="113">
        <f t="shared" si="22"/>
        <v>0</v>
      </c>
      <c r="G37" s="114">
        <f t="shared" si="7"/>
        <v>100.8082191780822</v>
      </c>
      <c r="H37" s="113"/>
      <c r="I37" s="114">
        <f t="shared" si="8"/>
        <v>100.8082191780822</v>
      </c>
      <c r="J37" s="114">
        <f t="shared" si="9"/>
        <v>147.18</v>
      </c>
      <c r="K37" s="113">
        <f t="shared" si="10"/>
        <v>147.18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0.0867582278185371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16.7%)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Stand Alone Battery WY DJ - 17%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2029</v>
      </c>
    </row>
    <row r="55" spans="2:17">
      <c r="B55" t="s">
        <v>200</v>
      </c>
      <c r="C55" s="115">
        <v>1006.571</v>
      </c>
      <c r="D55" s="104" t="s">
        <v>65</v>
      </c>
      <c r="O55" s="230">
        <v>549</v>
      </c>
      <c r="P55" s="104" t="s">
        <v>32</v>
      </c>
    </row>
    <row r="56" spans="2:17">
      <c r="B56" t="s">
        <v>200</v>
      </c>
      <c r="C56" s="113">
        <v>21.891999999999999</v>
      </c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200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>
        <v>0</v>
      </c>
      <c r="C60" s="134"/>
      <c r="D60" s="104" t="s">
        <v>150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8.6758227818537134E-2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0.16666666666666666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36</vt:i4>
      </vt:variant>
    </vt:vector>
  </HeadingPairs>
  <TitlesOfParts>
    <vt:vector size="59" baseType="lpstr">
      <vt:lpstr>Appendix B.3</vt:lpstr>
      <vt:lpstr>Table 1</vt:lpstr>
      <vt:lpstr>Table 2</vt:lpstr>
      <vt:lpstr>Table 4</vt:lpstr>
      <vt:lpstr>Table3ACsummary</vt:lpstr>
      <vt:lpstr>Table 5</vt:lpstr>
      <vt:lpstr>Table 3 TransCost</vt:lpstr>
      <vt:lpstr>Table 3 PV wS Borah_2026</vt:lpstr>
      <vt:lpstr>Table 3 StdBat  DJ_2029</vt:lpstr>
      <vt:lpstr>Table 3 PNC Wind_2026</vt:lpstr>
      <vt:lpstr>Table 3 PNC Wind_2038</vt:lpstr>
      <vt:lpstr>Table 3 WV Wind_2026</vt:lpstr>
      <vt:lpstr>Table 3 YK WindwS_2029</vt:lpstr>
      <vt:lpstr>Table 3 WYE Wind_2029</vt:lpstr>
      <vt:lpstr>Table 3 WYE_DJ Wind_2028</vt:lpstr>
      <vt:lpstr>Table 3 PV wS SOR_2028</vt:lpstr>
      <vt:lpstr>Table 3 PV wS SOR_2030</vt:lpstr>
      <vt:lpstr>Table 3 PV wS YK_2029</vt:lpstr>
      <vt:lpstr>Table 3 PV wS UTN_2031</vt:lpstr>
      <vt:lpstr>Table 3 PV wS UTS_2032</vt:lpstr>
      <vt:lpstr>Table 3 SmNuc 345MW (NTN) 2028</vt:lpstr>
      <vt:lpstr>Table 3 NonE 206MW (UTN) 2031</vt:lpstr>
      <vt:lpstr>Table 3 NonE 206MW (Hgtn)</vt:lpstr>
      <vt:lpstr>Discount_Rate</vt:lpstr>
      <vt:lpstr>IRP21_Infl_Rate</vt:lpstr>
      <vt:lpstr>'Appendix B.3'!Print_Area</vt:lpstr>
      <vt:lpstr>'Table 1'!Print_Area</vt:lpstr>
      <vt:lpstr>'Table 2'!Print_Area</vt:lpstr>
      <vt:lpstr>'Table 3 NonE 206MW (Hgtn)'!Print_Area</vt:lpstr>
      <vt:lpstr>'Table 3 NonE 206MW (UTN) 2031'!Print_Area</vt:lpstr>
      <vt:lpstr>'Table 3 PNC Wind_2026'!Print_Area</vt:lpstr>
      <vt:lpstr>'Table 3 PNC Wind_2038'!Print_Area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UTS_2032'!Print_Area</vt:lpstr>
      <vt:lpstr>'Table 3 PV wS YK_2029'!Print_Area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Wind_2029'!Print_Area</vt:lpstr>
      <vt:lpstr>'Table 3 WYE_DJ Wind_2028'!Print_Area</vt:lpstr>
      <vt:lpstr>'Table 3 YK WindwS_2029'!Print_Area</vt:lpstr>
      <vt:lpstr>'Table 4'!Print_Area</vt:lpstr>
      <vt:lpstr>Table3ACsummary!Print_Area</vt:lpstr>
      <vt:lpstr>'Table 2'!Print_Titles</vt:lpstr>
      <vt:lpstr>'Table 3 NonE 206MW (Hgtn)'!Print_Titles</vt:lpstr>
      <vt:lpstr>'Table 3 NonE 206MW (UTN) 2031'!Print_Titles</vt:lpstr>
      <vt:lpstr>'Table 3 SmNuc 345MW (NTN) 2028'!Print_Titles</vt:lpstr>
      <vt:lpstr>'Table 2'!Study_Cap_Adj</vt:lpstr>
      <vt:lpstr>'Table 3 NonE 206MW (Hgtn)'!Study_Cap_Adj</vt:lpstr>
      <vt:lpstr>'Table 3 NonE 206MW (UTN) 2031'!Study_Cap_Adj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2019-11-05T18:26:50Z</cp:lastPrinted>
  <dcterms:created xsi:type="dcterms:W3CDTF">2001-03-19T15:45:46Z</dcterms:created>
  <dcterms:modified xsi:type="dcterms:W3CDTF">2023-03-28T22:43:38Z</dcterms:modified>
</cp:coreProperties>
</file>