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xr:revisionPtr revIDLastSave="0" documentId="8_{ABC0EF66-9EE5-47BB-B091-4B4D107779E5}" xr6:coauthVersionLast="47" xr6:coauthVersionMax="47" xr10:uidLastSave="{00000000-0000-0000-0000-000000000000}"/>
  <bookViews>
    <workbookView xWindow="3510" yWindow="2430" windowWidth="19365" windowHeight="13770" activeTab="1" xr2:uid="{00000000-000D-0000-FFFF-FFFF00000000}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Order1" hidden="1">255</definedName>
    <definedName name="_Order2" hidden="1">0</definedName>
    <definedName name="Discount_Rate" localSheetId="0">Total!$B$41</definedName>
    <definedName name="Discount_Rate">Total!$B$41</definedName>
    <definedName name="_xlnm.Print_Area" localSheetId="4">Capacity!$A$1:$J$37</definedName>
    <definedName name="_xlnm.Print_Area" localSheetId="3">Energy!$A$1:$F$37</definedName>
    <definedName name="_xlnm.Print_Area" localSheetId="1">Incremental!$A$1:$F$41</definedName>
    <definedName name="_xlnm.Print_Area" localSheetId="2">Total!$A$1:$F$40</definedName>
    <definedName name="Study_CF">#REF!</definedName>
    <definedName name="Study_MW">#REF!</definedName>
    <definedName name="Study_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2" l="1"/>
  <c r="B43" i="5"/>
  <c r="D11" i="12"/>
  <c r="D11" i="10"/>
  <c r="C11" i="12"/>
  <c r="C11" i="10"/>
  <c r="E11" i="12"/>
  <c r="E11" i="10"/>
  <c r="D10" i="6"/>
  <c r="E7" i="12" l="1"/>
  <c r="D7" i="6" s="1"/>
  <c r="D7" i="12"/>
  <c r="D8" i="10"/>
  <c r="B3" i="10"/>
  <c r="B1" i="10"/>
  <c r="B39" i="6" l="1"/>
  <c r="B38" i="5" l="1"/>
  <c r="B38" i="6" l="1"/>
  <c r="H8" i="10" l="1"/>
  <c r="E8" i="10"/>
  <c r="D7" i="5" l="1"/>
  <c r="C7" i="6"/>
  <c r="C5" i="14" s="1"/>
  <c r="B11" i="5" l="1"/>
  <c r="B11" i="6" s="1"/>
  <c r="B37" i="5" l="1"/>
  <c r="B37" i="6" s="1"/>
  <c r="B34" i="10"/>
  <c r="B35" i="12"/>
  <c r="C6" i="14" l="1"/>
  <c r="E7" i="5"/>
  <c r="I8" i="10" l="1"/>
  <c r="B4" i="10"/>
  <c r="G11" i="10" l="1"/>
  <c r="B12" i="10"/>
  <c r="D12" i="10" s="1"/>
  <c r="C12" i="10" l="1"/>
  <c r="E12" i="10"/>
  <c r="G12" i="10"/>
  <c r="B13" i="10"/>
  <c r="D13" i="10" s="1"/>
  <c r="E13" i="10" l="1"/>
  <c r="C13" i="10"/>
  <c r="G13" i="10" s="1"/>
  <c r="B14" i="10"/>
  <c r="D14" i="10" s="1"/>
  <c r="E14" i="10" l="1"/>
  <c r="C14" i="10"/>
  <c r="G14" i="10" s="1"/>
  <c r="B15" i="10"/>
  <c r="D15" i="10" s="1"/>
  <c r="C15" i="10" l="1"/>
  <c r="G15" i="10" s="1"/>
  <c r="E15" i="10"/>
  <c r="B16" i="10"/>
  <c r="D16" i="10" s="1"/>
  <c r="C16" i="10" l="1"/>
  <c r="E16" i="10"/>
  <c r="G16" i="10"/>
  <c r="B17" i="10"/>
  <c r="D17" i="10" s="1"/>
  <c r="E17" i="10" l="1"/>
  <c r="C17" i="10"/>
  <c r="G17" i="10" s="1"/>
  <c r="B18" i="10"/>
  <c r="D18" i="10" s="1"/>
  <c r="E18" i="10" l="1"/>
  <c r="C18" i="10"/>
  <c r="G18" i="10" s="1"/>
  <c r="B19" i="10"/>
  <c r="D19" i="10" s="1"/>
  <c r="C19" i="10" l="1"/>
  <c r="E19" i="10"/>
  <c r="G19" i="10"/>
  <c r="B20" i="10"/>
  <c r="D20" i="10" s="1"/>
  <c r="C20" i="10" l="1"/>
  <c r="E20" i="10"/>
  <c r="G20" i="10"/>
  <c r="B21" i="10"/>
  <c r="D21" i="10" s="1"/>
  <c r="E21" i="10" l="1"/>
  <c r="C21" i="10"/>
  <c r="G21" i="10" s="1"/>
  <c r="B22" i="10"/>
  <c r="D22" i="10" s="1"/>
  <c r="E22" i="10" l="1"/>
  <c r="C22" i="10"/>
  <c r="G22" i="10" s="1"/>
  <c r="B23" i="10"/>
  <c r="D23" i="10" s="1"/>
  <c r="C23" i="10" l="1"/>
  <c r="E23" i="10"/>
  <c r="G23" i="10"/>
  <c r="B24" i="10"/>
  <c r="D24" i="10" s="1"/>
  <c r="C24" i="10" l="1"/>
  <c r="G24" i="10" s="1"/>
  <c r="E24" i="10"/>
  <c r="B25" i="10"/>
  <c r="D25" i="10" s="1"/>
  <c r="E25" i="10" l="1"/>
  <c r="C25" i="10"/>
  <c r="G25" i="10" s="1"/>
  <c r="B30" i="10"/>
  <c r="B26" i="10"/>
  <c r="D26" i="10" s="1"/>
  <c r="E26" i="10" l="1"/>
  <c r="C26" i="10"/>
  <c r="G26" i="10" s="1"/>
  <c r="B31" i="10"/>
  <c r="B27" i="10"/>
  <c r="D27" i="10" s="1"/>
  <c r="C27" i="10" l="1"/>
  <c r="E27" i="10"/>
  <c r="G27" i="10"/>
  <c r="B32" i="10"/>
  <c r="C7" i="12" l="1"/>
  <c r="C8" i="5" l="1"/>
  <c r="C7" i="5"/>
  <c r="B1" i="12" l="1"/>
  <c r="B3" i="12"/>
  <c r="B34" i="12"/>
  <c r="B12" i="12" l="1"/>
  <c r="D12" i="12" s="1"/>
  <c r="E12" i="12" l="1"/>
  <c r="C12" i="12"/>
  <c r="C11" i="5"/>
  <c r="B13" i="12"/>
  <c r="D13" i="12" s="1"/>
  <c r="C13" i="12" l="1"/>
  <c r="E13" i="12"/>
  <c r="C12" i="5"/>
  <c r="B14" i="12"/>
  <c r="D14" i="12" s="1"/>
  <c r="C14" i="12" l="1"/>
  <c r="E14" i="12"/>
  <c r="C13" i="5"/>
  <c r="B15" i="12"/>
  <c r="D15" i="12" s="1"/>
  <c r="C15" i="12" l="1"/>
  <c r="E15" i="12"/>
  <c r="C14" i="5"/>
  <c r="B16" i="12"/>
  <c r="D16" i="12" s="1"/>
  <c r="E16" i="12" l="1"/>
  <c r="C16" i="12"/>
  <c r="C15" i="5"/>
  <c r="B17" i="12"/>
  <c r="D17" i="12" s="1"/>
  <c r="E17" i="12" l="1"/>
  <c r="C17" i="12"/>
  <c r="C16" i="5"/>
  <c r="B18" i="12"/>
  <c r="D18" i="12" s="1"/>
  <c r="C18" i="12" l="1"/>
  <c r="E18" i="12"/>
  <c r="C17" i="5"/>
  <c r="B19" i="12"/>
  <c r="D19" i="12" s="1"/>
  <c r="C19" i="12" l="1"/>
  <c r="E19" i="12"/>
  <c r="C18" i="5"/>
  <c r="B20" i="12"/>
  <c r="D20" i="12" s="1"/>
  <c r="C20" i="12" l="1"/>
  <c r="E20" i="12"/>
  <c r="C19" i="5"/>
  <c r="B21" i="12"/>
  <c r="D21" i="12" s="1"/>
  <c r="C21" i="12" l="1"/>
  <c r="E21" i="12"/>
  <c r="C20" i="5"/>
  <c r="B22" i="12"/>
  <c r="D22" i="12" s="1"/>
  <c r="E22" i="12" l="1"/>
  <c r="C22" i="12"/>
  <c r="C21" i="5"/>
  <c r="B23" i="12"/>
  <c r="D23" i="12" s="1"/>
  <c r="C23" i="12" l="1"/>
  <c r="E23" i="12"/>
  <c r="C22" i="5"/>
  <c r="B24" i="12"/>
  <c r="D24" i="12" s="1"/>
  <c r="C24" i="12" l="1"/>
  <c r="E24" i="12"/>
  <c r="B25" i="12"/>
  <c r="D25" i="12" s="1"/>
  <c r="C23" i="5"/>
  <c r="C25" i="12" l="1"/>
  <c r="E25" i="12"/>
  <c r="B30" i="12"/>
  <c r="B26" i="12"/>
  <c r="D26" i="12" s="1"/>
  <c r="C24" i="5"/>
  <c r="E26" i="12" l="1"/>
  <c r="C26" i="12"/>
  <c r="B31" i="12"/>
  <c r="B27" i="12"/>
  <c r="D27" i="12" s="1"/>
  <c r="C25" i="5"/>
  <c r="B34" i="6"/>
  <c r="C27" i="12" l="1"/>
  <c r="E27" i="12"/>
  <c r="B32" i="12"/>
  <c r="C26" i="5"/>
  <c r="C27" i="5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16" i="5"/>
  <c r="B27" i="6" l="1"/>
  <c r="B32" i="6" s="1"/>
  <c r="H3" i="14" s="1"/>
  <c r="B17" i="5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E10" i="6" l="1"/>
  <c r="H14" i="10" l="1"/>
  <c r="D14" i="5" s="1"/>
  <c r="H15" i="10"/>
  <c r="D15" i="5" s="1"/>
  <c r="H16" i="10"/>
  <c r="D16" i="5" s="1"/>
  <c r="H17" i="10"/>
  <c r="D17" i="5" s="1"/>
  <c r="C15" i="6" l="1"/>
  <c r="H12" i="10"/>
  <c r="H11" i="10"/>
  <c r="C17" i="6"/>
  <c r="C14" i="6"/>
  <c r="H13" i="10"/>
  <c r="C16" i="6"/>
  <c r="D12" i="5" l="1"/>
  <c r="D13" i="5"/>
  <c r="D11" i="5"/>
  <c r="C13" i="6" l="1"/>
  <c r="H18" i="10"/>
  <c r="H19" i="10"/>
  <c r="D19" i="5" s="1"/>
  <c r="C11" i="6"/>
  <c r="C12" i="6"/>
  <c r="D18" i="5" l="1"/>
  <c r="C19" i="6"/>
  <c r="H22" i="10" l="1"/>
  <c r="D22" i="5" s="1"/>
  <c r="H20" i="10"/>
  <c r="C18" i="6"/>
  <c r="D20" i="5" l="1"/>
  <c r="C22" i="6"/>
  <c r="H21" i="10"/>
  <c r="D21" i="5" s="1"/>
  <c r="C21" i="6" l="1"/>
  <c r="C20" i="6"/>
  <c r="H24" i="10"/>
  <c r="D24" i="5" s="1"/>
  <c r="H25" i="10" l="1"/>
  <c r="D25" i="5" s="1"/>
  <c r="H23" i="10"/>
  <c r="C24" i="6"/>
  <c r="D23" i="5" l="1"/>
  <c r="C25" i="6"/>
  <c r="C23" i="6" l="1"/>
  <c r="H26" i="10" l="1"/>
  <c r="H27" i="10" l="1"/>
  <c r="D26" i="5"/>
  <c r="C26" i="6" l="1"/>
  <c r="D27" i="5"/>
  <c r="C27" i="6" l="1"/>
  <c r="I14" i="10" l="1"/>
  <c r="I13" i="10" l="1"/>
  <c r="I12" i="10"/>
  <c r="I15" i="10"/>
  <c r="I11" i="10"/>
  <c r="I18" i="10" l="1"/>
  <c r="I17" i="10"/>
  <c r="I25" i="10"/>
  <c r="I22" i="10"/>
  <c r="I19" i="10"/>
  <c r="I26" i="10"/>
  <c r="I21" i="10"/>
  <c r="I23" i="10"/>
  <c r="I24" i="10"/>
  <c r="I27" i="10"/>
  <c r="I20" i="10"/>
  <c r="I16" i="10" l="1"/>
  <c r="E14" i="5" l="1"/>
  <c r="D14" i="6" l="1"/>
  <c r="E14" i="6" s="1"/>
  <c r="E13" i="5"/>
  <c r="D13" i="6" s="1"/>
  <c r="E12" i="5"/>
  <c r="D12" i="6" s="1"/>
  <c r="E20" i="5"/>
  <c r="E19" i="5"/>
  <c r="E16" i="5"/>
  <c r="E18" i="5"/>
  <c r="E15" i="5"/>
  <c r="E17" i="5"/>
  <c r="E11" i="5"/>
  <c r="D11" i="6" s="1"/>
  <c r="D16" i="6" l="1"/>
  <c r="E16" i="6" s="1"/>
  <c r="D18" i="6"/>
  <c r="E18" i="6" s="1"/>
  <c r="D17" i="6"/>
  <c r="E17" i="6" s="1"/>
  <c r="D19" i="6"/>
  <c r="E19" i="6" s="1"/>
  <c r="D15" i="6"/>
  <c r="E15" i="6" s="1"/>
  <c r="D20" i="6"/>
  <c r="E20" i="6" s="1"/>
  <c r="E11" i="6"/>
  <c r="E12" i="6"/>
  <c r="E13" i="6"/>
  <c r="E23" i="5" l="1"/>
  <c r="E24" i="5"/>
  <c r="E22" i="5"/>
  <c r="D24" i="6" l="1"/>
  <c r="E24" i="6" s="1"/>
  <c r="D22" i="6"/>
  <c r="E22" i="6" s="1"/>
  <c r="D23" i="6"/>
  <c r="E23" i="6" s="1"/>
  <c r="E21" i="5"/>
  <c r="D21" i="6" s="1"/>
  <c r="E27" i="5"/>
  <c r="E26" i="5"/>
  <c r="E25" i="5"/>
  <c r="D27" i="6" l="1"/>
  <c r="E27" i="6" s="1"/>
  <c r="D25" i="6"/>
  <c r="E25" i="6" s="1"/>
  <c r="D26" i="6"/>
  <c r="E26" i="6" s="1"/>
  <c r="E21" i="6"/>
  <c r="B40" i="5" l="1"/>
  <c r="B36" i="5" l="1"/>
  <c r="B39" i="12"/>
  <c r="C8" i="10"/>
  <c r="G8" i="10" s="1"/>
  <c r="B36" i="6" l="1"/>
  <c r="B36" i="12"/>
  <c r="B39" i="10" l="1"/>
  <c r="B35" i="10"/>
  <c r="B41" i="5" l="1"/>
  <c r="C32" i="5" l="1"/>
  <c r="H4" i="14" s="1"/>
  <c r="B41" i="6"/>
  <c r="B40" i="10"/>
  <c r="B40" i="12"/>
  <c r="C31" i="5"/>
  <c r="F4" i="14" s="1"/>
  <c r="D30" i="5"/>
  <c r="D31" i="5"/>
  <c r="C30" i="5"/>
  <c r="D4" i="14" s="1"/>
  <c r="D32" i="5"/>
  <c r="B29" i="5"/>
  <c r="B29" i="6" s="1"/>
  <c r="C2" i="14" s="1"/>
  <c r="E31" i="5"/>
  <c r="E30" i="5"/>
  <c r="D30" i="6" s="1"/>
  <c r="E32" i="5"/>
  <c r="D32" i="6" s="1"/>
  <c r="D31" i="6" l="1"/>
  <c r="C32" i="6"/>
  <c r="C31" i="6"/>
  <c r="G5" i="14" s="1"/>
  <c r="C31" i="12"/>
  <c r="C32" i="12"/>
  <c r="B29" i="12"/>
  <c r="C30" i="12"/>
  <c r="D31" i="12"/>
  <c r="D32" i="12"/>
  <c r="D30" i="12"/>
  <c r="E31" i="12"/>
  <c r="E32" i="12"/>
  <c r="E30" i="12"/>
  <c r="C30" i="10"/>
  <c r="B29" i="10"/>
  <c r="D31" i="10"/>
  <c r="G32" i="10"/>
  <c r="G31" i="10"/>
  <c r="D32" i="10"/>
  <c r="H32" i="10"/>
  <c r="G30" i="10"/>
  <c r="C32" i="10"/>
  <c r="H30" i="10"/>
  <c r="H31" i="10"/>
  <c r="C31" i="10"/>
  <c r="D30" i="10"/>
  <c r="E31" i="10"/>
  <c r="E30" i="10"/>
  <c r="E32" i="10"/>
  <c r="I30" i="10"/>
  <c r="I32" i="10"/>
  <c r="I31" i="10"/>
  <c r="C30" i="6"/>
  <c r="I6" i="14"/>
  <c r="H7" i="14"/>
  <c r="D7" i="14"/>
  <c r="E6" i="14"/>
  <c r="F7" i="14"/>
  <c r="G6" i="14"/>
  <c r="I5" i="14"/>
  <c r="E32" i="6" l="1"/>
  <c r="G32" i="6" s="1"/>
  <c r="E5" i="14"/>
  <c r="E30" i="6"/>
  <c r="G30" i="6" s="1"/>
  <c r="E31" i="6"/>
  <c r="G31" i="6" s="1"/>
</calcChain>
</file>

<file path=xl/sharedStrings.xml><?xml version="1.0" encoding="utf-8"?>
<sst xmlns="http://schemas.openxmlformats.org/spreadsheetml/2006/main" count="33" uniqueCount="26">
  <si>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</si>
  <si>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</si>
  <si>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</si>
  <si>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</si>
  <si>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</si>
  <si>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</si>
  <si>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</si>
  <si>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</si>
  <si>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</si>
  <si>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</si>
  <si>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</si>
  <si>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</si>
  <si>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</si>
  <si>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</si>
  <si>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</si>
  <si>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</si>
  <si>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</si>
  <si>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</si>
  <si>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</si>
  <si>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(4)</t>
  </si>
  <si>
    <t>(5)</t>
  </si>
  <si>
    <t xml:space="preserve">       2021 IRP Update Preferred Portfolio.</t>
  </si>
  <si>
    <t>2022.Q3</t>
  </si>
  <si>
    <t>2022.Q4</t>
  </si>
  <si>
    <t>2022.Q3 As Filed</t>
  </si>
  <si>
    <t>2022.Q4 As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</si>
</sst>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87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" fontId="1" fillId="0" borderId="0" xfId="2" applyNumberFormat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Border="1" applyAlignment="1">
      <alignment horizontal="center"/>
    </xf>
    <xf numFmtId="165" fontId="3" fillId="0" borderId="3" xfId="0" applyFont="1" applyBorder="1"/>
    <xf numFmtId="165" fontId="3" fillId="0" borderId="0" xfId="0" applyFont="1" applyAlignment="1">
      <alignment horizontal="center"/>
    </xf>
    <xf numFmtId="168" fontId="4" fillId="0" borderId="0" xfId="0" applyNumberFormat="1" applyFont="1"/>
    <xf numFmtId="167" fontId="4" fillId="0" borderId="0" xfId="0" applyNumberFormat="1" applyFo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Alignment="1">
      <alignment horizontal="center"/>
    </xf>
    <xf numFmtId="7" fontId="4" fillId="0" borderId="0" xfId="4" applyNumberFormat="1" applyFont="1" applyAlignment="1">
      <alignment horizontal="center"/>
    </xf>
    <xf numFmtId="165" fontId="4" fillId="0" borderId="0" xfId="4" quotePrefix="1" applyFont="1"/>
    <xf numFmtId="7" fontId="4" fillId="0" borderId="2" xfId="4" applyNumberFormat="1" applyFont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8" fontId="4" fillId="0" borderId="0" xfId="0" applyNumberFormat="1" applyFont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8" fontId="4" fillId="0" borderId="2" xfId="4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2" xfId="0" applyNumberFormat="1" applyFont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2" fillId="6" borderId="0" xfId="0" applyFont="1" applyFill="1"/>
    <xf numFmtId="165" fontId="0" fillId="6" borderId="0" xfId="0" applyFill="1"/>
    <xf numFmtId="165" fontId="0" fillId="0" borderId="0" xfId="0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Alignment="1">
      <alignment horizontal="center"/>
    </xf>
    <xf numFmtId="176" fontId="0" fillId="0" borderId="0" xfId="0" applyNumberFormat="1"/>
    <xf numFmtId="165" fontId="4" fillId="0" borderId="10" xfId="4" applyFont="1" applyBorder="1"/>
    <xf numFmtId="8" fontId="4" fillId="0" borderId="10" xfId="4" applyNumberFormat="1" applyFont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/>
    <xf numFmtId="177" fontId="4" fillId="0" borderId="0" xfId="0" applyNumberFormat="1" applyFont="1"/>
    <xf numFmtId="177" fontId="4" fillId="0" borderId="0" xfId="0" applyNumberFormat="1" applyFont="1" applyAlignment="1">
      <alignment horizontal="center"/>
    </xf>
    <xf numFmtId="8" fontId="4" fillId="0" borderId="0" xfId="4" applyNumberFormat="1" applyFont="1" applyAlignment="1">
      <alignment horizontal="center"/>
    </xf>
    <xf numFmtId="8" fontId="4" fillId="0" borderId="11" xfId="4" applyNumberFormat="1" applyFont="1" applyBorder="1" applyAlignment="1">
      <alignment horizontal="center"/>
    </xf>
    <xf numFmtId="8" fontId="4" fillId="0" borderId="12" xfId="4" applyNumberFormat="1" applyFont="1" applyBorder="1" applyAlignment="1">
      <alignment horizontal="center"/>
    </xf>
    <xf numFmtId="8" fontId="4" fillId="0" borderId="13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Border="1" applyAlignment="1">
      <alignment horizontal="center"/>
    </xf>
    <xf numFmtId="165" fontId="3" fillId="0" borderId="14" xfId="4" quotePrefix="1" applyFont="1" applyBorder="1" applyAlignment="1">
      <alignment horizontal="center"/>
    </xf>
    <xf numFmtId="165" fontId="4" fillId="0" borderId="11" xfId="4" applyFont="1" applyBorder="1"/>
    <xf numFmtId="8" fontId="4" fillId="0" borderId="1" xfId="4" applyNumberFormat="1" applyFont="1" applyBorder="1" applyAlignment="1">
      <alignment horizontal="center"/>
    </xf>
    <xf numFmtId="168" fontId="1" fillId="0" borderId="0" xfId="4" applyNumberFormat="1"/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 xr:uid="{00000000-0005-0000-0000-000001000000}"/>
    <cellStyle name="Currency 2" xfId="8" xr:uid="{00000000-0005-0000-0000-000002000000}"/>
    <cellStyle name="Currency No Comma" xfId="9" xr:uid="{00000000-0005-0000-0000-000003000000}"/>
    <cellStyle name="Input" xfId="1" builtinId="20" customBuiltin="1"/>
    <cellStyle name="MCP" xfId="10" xr:uid="{00000000-0005-0000-0000-000005000000}"/>
    <cellStyle name="noninput" xfId="11" xr:uid="{00000000-0005-0000-0000-000006000000}"/>
    <cellStyle name="Normal" xfId="0" builtinId="0" customBuiltin="1"/>
    <cellStyle name="Normal 2" xfId="4" xr:uid="{00000000-0005-0000-0000-000008000000}"/>
    <cellStyle name="Normal 2 2" xfId="6" xr:uid="{00000000-0005-0000-0000-000009000000}"/>
    <cellStyle name="Normal 3" xfId="12" xr:uid="{00000000-0005-0000-0000-00000A000000}"/>
    <cellStyle name="Normal 5" xfId="5" xr:uid="{00000000-0005-0000-0000-00000B000000}"/>
    <cellStyle name="Normal_T-INF-10-15-04-TEMPLATE" xfId="2" xr:uid="{00000000-0005-0000-0000-00000C000000}"/>
    <cellStyle name="Normal_UT 2008.Q2 - Compliance - Appendix B - AC Study_2008 08 05" xfId="18" xr:uid="{00000000-0005-0000-0000-00000D000000}"/>
    <cellStyle name="Password" xfId="13" xr:uid="{00000000-0005-0000-0000-00000E000000}"/>
    <cellStyle name="Percent" xfId="3" builtinId="5"/>
    <cellStyle name="Unprot" xfId="14" xr:uid="{00000000-0005-0000-0000-000010000000}"/>
    <cellStyle name="Unprot$" xfId="15" xr:uid="{00000000-0005-0000-0000-000011000000}"/>
    <cellStyle name="Unprotect" xfId="16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tep%20study\_UT%202022.Q4%20-%20Step%20Study%20_2023%2003%2016%20(Detaile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tep%20study\Scenarios\112.1%20-%20UTSch382022Q3%20-%201%20-%20Avoided%20Cost%20Study%202023%2003%2006%20OFCP22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enarios\08.1%20-%20UTSch382022Q4%20-%201%20-%20Avoided%20Cost%20Study%202023%2003%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Source%20Files\_All%20Data%20Series%20Files_2023%2001%2005%20(202212%20OFPC)\GNw_Market%20Price%20Index%20(2212)%20CON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enarios\112.1%20-%20UTSch382022Q3%20-%201a%20-%20GRID%20AC%20Study%20CONF%20_2022%2011%203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tep%20study\Scenarios\112.1%20-%20UTSch382022Q3%20-%201a%20-%20GRID%20AC%20Study%20CONF%20_2023%2003%2006%20OFPC22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enarios\08.1%20-%20UTSch382022Q4%20-%201a%20-%20GRID%20AC%20Study%20CONF%20_2023%2003%2009%20Th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enarios\112.1%20-%20UTSch382022Q3%20-%201b%20-%20GRID%20AC%20Study%20CONF%20_2022%2011%203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tep%20study\Scenarios\112.1%20-%20UTSch382022Q3%20-%201b%20-%20GRID%20AC%20Study%20CONF%20_2023%2003%2006%20OFPC221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enarios\08.1%20-%20UTSch382022Q4%20-%201b%20-%20GRID%20AC%20Study%20CONF%20_2023%2003%2009%20Th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enarios\112.1%20-%20UTSch382022Q3%20-%201%20-%20Avoided%20Cost%20Study%202022%2011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remental"/>
      <sheetName val="Total"/>
      <sheetName val="Energy"/>
      <sheetName val="Capacity"/>
    </sheetNames>
    <sheetDataSet>
      <sheetData sheetId="0">
        <row r="7">
          <cell r="I7" t="str">
            <v>OFPC</v>
          </cell>
          <cell r="L7" t="str">
            <v>Queue</v>
          </cell>
        </row>
        <row r="39">
          <cell r="B39" t="str">
            <v>Discount Rate - 2021 IRP</v>
          </cell>
        </row>
        <row r="40">
          <cell r="B40">
            <v>6.88E-2</v>
          </cell>
        </row>
      </sheetData>
      <sheetData sheetId="1">
        <row r="1">
          <cell r="B1" t="str">
            <v>Appendix C</v>
          </cell>
        </row>
        <row r="3">
          <cell r="B3" t="str">
            <v>Utah Quarterly Compliance Filing</v>
          </cell>
        </row>
        <row r="35">
          <cell r="B35" t="str">
            <v>(3)   Discount Rate - 2021 IRP</v>
          </cell>
        </row>
      </sheetData>
      <sheetData sheetId="2">
        <row r="7">
          <cell r="C7" t="str">
            <v>2022.Q3</v>
          </cell>
          <cell r="D7" t="str">
            <v>OFPC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112"/>
    </sheetNames>
    <sheetDataSet>
      <sheetData sheetId="0">
        <row r="13">
          <cell r="B13">
            <v>2023</v>
          </cell>
          <cell r="C13">
            <v>0</v>
          </cell>
        </row>
        <row r="14">
          <cell r="B14">
            <v>2024</v>
          </cell>
          <cell r="C14">
            <v>0</v>
          </cell>
        </row>
        <row r="15">
          <cell r="B15">
            <v>2025</v>
          </cell>
          <cell r="C15">
            <v>0</v>
          </cell>
        </row>
        <row r="16">
          <cell r="B16">
            <v>2026</v>
          </cell>
          <cell r="C16">
            <v>0</v>
          </cell>
        </row>
        <row r="17">
          <cell r="B17">
            <v>2027</v>
          </cell>
          <cell r="C17">
            <v>0</v>
          </cell>
        </row>
        <row r="18">
          <cell r="B18">
            <v>2028</v>
          </cell>
          <cell r="C18">
            <v>0</v>
          </cell>
        </row>
        <row r="19">
          <cell r="B19">
            <v>2029</v>
          </cell>
          <cell r="C19">
            <v>0</v>
          </cell>
        </row>
        <row r="20">
          <cell r="B20">
            <v>2030</v>
          </cell>
          <cell r="C20">
            <v>0</v>
          </cell>
        </row>
        <row r="21">
          <cell r="B21">
            <v>2031</v>
          </cell>
          <cell r="C21">
            <v>119.28815572074085</v>
          </cell>
        </row>
        <row r="22">
          <cell r="B22">
            <v>2032</v>
          </cell>
          <cell r="C22">
            <v>121.85224839400429</v>
          </cell>
        </row>
        <row r="23">
          <cell r="B23">
            <v>2033</v>
          </cell>
          <cell r="C23">
            <v>124.47537473233405</v>
          </cell>
        </row>
        <row r="24">
          <cell r="B24">
            <v>2034</v>
          </cell>
          <cell r="C24">
            <v>127.1627408993576</v>
          </cell>
        </row>
        <row r="25">
          <cell r="B25">
            <v>2035</v>
          </cell>
          <cell r="C25">
            <v>129.90364025695931</v>
          </cell>
        </row>
        <row r="26">
          <cell r="B26">
            <v>2036</v>
          </cell>
          <cell r="C26">
            <v>132.69807280513919</v>
          </cell>
        </row>
        <row r="27">
          <cell r="B27">
            <v>2037</v>
          </cell>
          <cell r="C27">
            <v>135.55674518201286</v>
          </cell>
        </row>
        <row r="28">
          <cell r="B28">
            <v>2038</v>
          </cell>
          <cell r="C28">
            <v>138.46895074946465</v>
          </cell>
        </row>
        <row r="29">
          <cell r="B29">
            <v>2039</v>
          </cell>
          <cell r="C29">
            <v>141.45610278372592</v>
          </cell>
        </row>
        <row r="30">
          <cell r="B30">
            <v>2040</v>
          </cell>
          <cell r="C30">
            <v>144.50749464668095</v>
          </cell>
        </row>
        <row r="31">
          <cell r="B31">
            <v>2041</v>
          </cell>
          <cell r="C31" t="e">
            <v>#N/A</v>
          </cell>
        </row>
        <row r="32">
          <cell r="B32">
            <v>2042</v>
          </cell>
          <cell r="C32" t="e">
            <v>#N/A</v>
          </cell>
        </row>
        <row r="33">
          <cell r="B33">
            <v>2043</v>
          </cell>
          <cell r="C33" t="e">
            <v>#N/A</v>
          </cell>
        </row>
        <row r="34">
          <cell r="B34">
            <v>2044</v>
          </cell>
          <cell r="C34" t="e">
            <v>#N/A</v>
          </cell>
        </row>
        <row r="35">
          <cell r="B35"/>
          <cell r="C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08"/>
    </sheetNames>
    <sheetDataSet>
      <sheetData sheetId="0">
        <row r="13">
          <cell r="B13">
            <v>2023</v>
          </cell>
          <cell r="C13">
            <v>0</v>
          </cell>
        </row>
        <row r="14">
          <cell r="B14">
            <v>2024</v>
          </cell>
          <cell r="C14">
            <v>0</v>
          </cell>
        </row>
        <row r="15">
          <cell r="B15">
            <v>2025</v>
          </cell>
          <cell r="C15">
            <v>0</v>
          </cell>
        </row>
        <row r="16">
          <cell r="B16">
            <v>2026</v>
          </cell>
          <cell r="C16">
            <v>0</v>
          </cell>
        </row>
        <row r="17">
          <cell r="B17">
            <v>2027</v>
          </cell>
          <cell r="C17">
            <v>0</v>
          </cell>
        </row>
        <row r="18">
          <cell r="B18">
            <v>2028</v>
          </cell>
          <cell r="C18">
            <v>0</v>
          </cell>
        </row>
        <row r="19">
          <cell r="B19">
            <v>2029</v>
          </cell>
          <cell r="C19">
            <v>0</v>
          </cell>
        </row>
        <row r="20">
          <cell r="B20">
            <v>2030</v>
          </cell>
          <cell r="C20">
            <v>0</v>
          </cell>
        </row>
        <row r="21">
          <cell r="B21">
            <v>2031</v>
          </cell>
          <cell r="C21">
            <v>119.28815572074085</v>
          </cell>
        </row>
        <row r="22">
          <cell r="B22">
            <v>2032</v>
          </cell>
          <cell r="C22">
            <v>121.85224839400429</v>
          </cell>
        </row>
        <row r="23">
          <cell r="B23">
            <v>2033</v>
          </cell>
          <cell r="C23">
            <v>124.47537473233405</v>
          </cell>
        </row>
        <row r="24">
          <cell r="B24">
            <v>2034</v>
          </cell>
          <cell r="C24">
            <v>127.1627408993576</v>
          </cell>
        </row>
        <row r="25">
          <cell r="B25">
            <v>2035</v>
          </cell>
          <cell r="C25">
            <v>129.90364025695931</v>
          </cell>
        </row>
        <row r="26">
          <cell r="B26">
            <v>2036</v>
          </cell>
          <cell r="C26">
            <v>132.69807280513919</v>
          </cell>
        </row>
        <row r="27">
          <cell r="B27">
            <v>2037</v>
          </cell>
          <cell r="C27">
            <v>135.55674518201286</v>
          </cell>
        </row>
        <row r="28">
          <cell r="B28">
            <v>2038</v>
          </cell>
          <cell r="C28">
            <v>138.46895074946465</v>
          </cell>
        </row>
        <row r="29">
          <cell r="B29">
            <v>2039</v>
          </cell>
          <cell r="C29">
            <v>141.45610278372592</v>
          </cell>
        </row>
        <row r="30">
          <cell r="B30">
            <v>2040</v>
          </cell>
          <cell r="C30">
            <v>144.50749464668095</v>
          </cell>
        </row>
        <row r="31">
          <cell r="B31">
            <v>2041</v>
          </cell>
          <cell r="C31" t="e">
            <v>#N/A</v>
          </cell>
        </row>
        <row r="32">
          <cell r="B32">
            <v>2042</v>
          </cell>
          <cell r="C32" t="e">
            <v>#N/A</v>
          </cell>
        </row>
        <row r="33">
          <cell r="B33">
            <v>2043</v>
          </cell>
          <cell r="C33" t="e">
            <v>#N/A</v>
          </cell>
        </row>
        <row r="34">
          <cell r="B34">
            <v>2044</v>
          </cell>
          <cell r="C34" t="e">
            <v>#N/A</v>
          </cell>
        </row>
        <row r="35">
          <cell r="B35"/>
          <cell r="C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</sheetNames>
    <sheetDataSet>
      <sheetData sheetId="0"/>
      <sheetData sheetId="1"/>
      <sheetData sheetId="2">
        <row r="2">
          <cell r="G2">
            <v>44925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112"/>
    </sheetNames>
    <sheetDataSet>
      <sheetData sheetId="0"/>
      <sheetData sheetId="1"/>
      <sheetData sheetId="2">
        <row r="5">
          <cell r="C5">
            <v>2023</v>
          </cell>
          <cell r="D5">
            <v>2024</v>
          </cell>
          <cell r="E5">
            <v>2025</v>
          </cell>
          <cell r="F5">
            <v>2026</v>
          </cell>
          <cell r="G5">
            <v>2027</v>
          </cell>
          <cell r="H5">
            <v>2028</v>
          </cell>
          <cell r="I5">
            <v>2029</v>
          </cell>
          <cell r="J5">
            <v>2030</v>
          </cell>
          <cell r="K5">
            <v>2031</v>
          </cell>
          <cell r="L5">
            <v>2032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</row>
        <row r="7">
          <cell r="C7">
            <v>14308414.202439904</v>
          </cell>
          <cell r="D7">
            <v>11175532.348239958</v>
          </cell>
          <cell r="E7">
            <v>9930684.5214099586</v>
          </cell>
          <cell r="F7">
            <v>12955607.898800015</v>
          </cell>
          <cell r="G7">
            <v>9613573.4681999981</v>
          </cell>
          <cell r="H7">
            <v>7834838.4288019985</v>
          </cell>
          <cell r="I7">
            <v>6662969.1251869798</v>
          </cell>
          <cell r="J7">
            <v>5484373.28292799</v>
          </cell>
          <cell r="K7">
            <v>3653569.0188201964</v>
          </cell>
          <cell r="L7">
            <v>2936235.1463410109</v>
          </cell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</row>
        <row r="9">
          <cell r="C9">
            <v>-6500782.5</v>
          </cell>
          <cell r="D9">
            <v>-5751615.5999999996</v>
          </cell>
          <cell r="E9">
            <v>-424415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295.5557891856879</v>
          </cell>
          <cell r="E10">
            <v>9909.7631981052109</v>
          </cell>
          <cell r="F10">
            <v>23063.104461294133</v>
          </cell>
          <cell r="G10">
            <v>33598.916001886129</v>
          </cell>
          <cell r="H10">
            <v>89509.041549786925</v>
          </cell>
          <cell r="I10">
            <v>103303.60541313421</v>
          </cell>
          <cell r="J10">
            <v>212865.0961387828</v>
          </cell>
          <cell r="K10">
            <v>2092451.1093458105</v>
          </cell>
          <cell r="L10">
            <v>1448971.672956055</v>
          </cell>
        </row>
        <row r="11">
          <cell r="C11">
            <v>-2316305.9900000095</v>
          </cell>
          <cell r="D11">
            <v>-1983518.5999999642</v>
          </cell>
          <cell r="E11">
            <v>1569156.1999999285</v>
          </cell>
          <cell r="F11">
            <v>-3863958.0000000596</v>
          </cell>
          <cell r="G11">
            <v>-2957545.8000000119</v>
          </cell>
          <cell r="H11">
            <v>-2091177.7000000179</v>
          </cell>
          <cell r="I11">
            <v>-2162559.7000000179</v>
          </cell>
          <cell r="J11">
            <v>-1959560.2999999523</v>
          </cell>
          <cell r="K11">
            <v>-1424766.6999999583</v>
          </cell>
          <cell r="L11">
            <v>-1067044.3999999464</v>
          </cell>
        </row>
        <row r="12">
          <cell r="C12">
            <v>0</v>
          </cell>
          <cell r="D12">
            <v>-2123.7992472052574</v>
          </cell>
          <cell r="E12">
            <v>38339.69542491436</v>
          </cell>
          <cell r="F12">
            <v>25575.556461393833</v>
          </cell>
          <cell r="G12">
            <v>32986.780313074589</v>
          </cell>
          <cell r="H12">
            <v>28646.63340434432</v>
          </cell>
          <cell r="I12">
            <v>16687.116198629141</v>
          </cell>
          <cell r="J12">
            <v>-540.3927139043808</v>
          </cell>
          <cell r="K12">
            <v>-775.74009039998055</v>
          </cell>
          <cell r="L12">
            <v>-9025.062980145216</v>
          </cell>
        </row>
        <row r="13">
          <cell r="C13">
            <v>59239.491750001907</v>
          </cell>
          <cell r="D13">
            <v>57028.053709983826</v>
          </cell>
          <cell r="E13">
            <v>60933.033569991589</v>
          </cell>
          <cell r="F13">
            <v>84893.640179991722</v>
          </cell>
          <cell r="G13">
            <v>60651.835819989443</v>
          </cell>
          <cell r="H13">
            <v>55414.651659995317</v>
          </cell>
          <cell r="I13">
            <v>2481.9454999864101</v>
          </cell>
          <cell r="J13">
            <v>1902.838799983263</v>
          </cell>
          <cell r="K13">
            <v>2223.3573000133038</v>
          </cell>
          <cell r="L13">
            <v>1655.342099994421</v>
          </cell>
        </row>
        <row r="14">
          <cell r="C14">
            <v>-7576578.589163065</v>
          </cell>
          <cell r="D14">
            <v>-4170403.6814879179</v>
          </cell>
          <cell r="E14">
            <v>-6426662.9876670241</v>
          </cell>
          <cell r="F14">
            <v>-3612039.6508488655</v>
          </cell>
          <cell r="G14">
            <v>-3506592.0498309731</v>
          </cell>
          <cell r="H14">
            <v>-3306000.8068529963</v>
          </cell>
          <cell r="I14">
            <v>-2985861.222450912</v>
          </cell>
          <cell r="J14">
            <v>-2860545.5244640112</v>
          </cell>
          <cell r="K14">
            <v>-4457427.6423660517</v>
          </cell>
          <cell r="L14">
            <v>-4293064.7181659937</v>
          </cell>
        </row>
        <row r="15">
          <cell r="C15">
            <v>-4501569.255869925</v>
          </cell>
          <cell r="D15">
            <v>-2380059.7168900371</v>
          </cell>
          <cell r="E15">
            <v>-992176.34863990545</v>
          </cell>
          <cell r="F15">
            <v>-1128687.8942599893</v>
          </cell>
          <cell r="G15">
            <v>-1027678.8981900215</v>
          </cell>
          <cell r="H15">
            <v>-1271904.0315600038</v>
          </cell>
          <cell r="I15">
            <v>-1355561.1441999674</v>
          </cell>
          <cell r="J15">
            <v>-350725.09495002031</v>
          </cell>
          <cell r="K15">
            <v>-659008.65921002626</v>
          </cell>
          <cell r="L15">
            <v>-938446.36432999372</v>
          </cell>
        </row>
        <row r="16">
          <cell r="C16">
            <v>0</v>
          </cell>
          <cell r="D16">
            <v>2123.798241666364</v>
          </cell>
          <cell r="E16">
            <v>-23155.452408574783</v>
          </cell>
          <cell r="F16">
            <v>-22620.860326336668</v>
          </cell>
          <cell r="G16">
            <v>-24061.101068074</v>
          </cell>
          <cell r="H16">
            <v>-20032.237430232693</v>
          </cell>
          <cell r="I16">
            <v>-18403.09001320471</v>
          </cell>
          <cell r="J16">
            <v>-6879.4880649881088</v>
          </cell>
          <cell r="K16">
            <v>-20950.778667859966</v>
          </cell>
          <cell r="L16">
            <v>-50741.870510480134</v>
          </cell>
        </row>
        <row r="17">
          <cell r="C17">
            <v>-9090832</v>
          </cell>
          <cell r="D17">
            <v>-7475566.9999999944</v>
          </cell>
          <cell r="E17">
            <v>-6867655.1154000014</v>
          </cell>
          <cell r="F17">
            <v>-222296.90819999948</v>
          </cell>
          <cell r="G17">
            <v>-146657.81139999628</v>
          </cell>
          <cell r="H17">
            <v>-182904.83694680408</v>
          </cell>
          <cell r="I17">
            <v>-94185.642944574356</v>
          </cell>
          <cell r="J17">
            <v>-124585.12521591783</v>
          </cell>
          <cell r="K17">
            <v>-41228.610057700425</v>
          </cell>
          <cell r="L17">
            <v>-17344.931574095041</v>
          </cell>
        </row>
        <row r="18">
          <cell r="C18">
            <v>-6349912.7790700048</v>
          </cell>
          <cell r="D18">
            <v>-22203644.434620023</v>
          </cell>
          <cell r="E18">
            <v>-18140269.368370026</v>
          </cell>
          <cell r="F18">
            <v>-22261868.172899961</v>
          </cell>
          <cell r="G18">
            <v>-23188474.254429936</v>
          </cell>
          <cell r="H18">
            <v>-24762137.786940098</v>
          </cell>
          <cell r="I18">
            <v>-26306811.375299931</v>
          </cell>
          <cell r="J18">
            <v>-25566294.542999983</v>
          </cell>
          <cell r="K18">
            <v>-22293481.270209968</v>
          </cell>
          <cell r="L18">
            <v>-21860804.818799913</v>
          </cell>
        </row>
        <row r="19">
          <cell r="C19">
            <v>-50585155.824792907</v>
          </cell>
          <cell r="D19">
            <v>-55083017.772744261</v>
          </cell>
          <cell r="E19">
            <v>-41126680.101702549</v>
          </cell>
          <cell r="F19">
            <v>-43933547.084232546</v>
          </cell>
          <cell r="G19">
            <v>-40337345.850984067</v>
          </cell>
          <cell r="H19">
            <v>-39295425.501918025</v>
          </cell>
          <cell r="I19">
            <v>-39463878.632983834</v>
          </cell>
          <cell r="J19">
            <v>-36138735.816398002</v>
          </cell>
          <cell r="K19">
            <v>-30456533.952776335</v>
          </cell>
          <cell r="L19">
            <v>-29722080.297645528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C22">
            <v>156378.68699999992</v>
          </cell>
          <cell r="D22">
            <v>169555.75140000042</v>
          </cell>
          <cell r="E22">
            <v>149128.35500000045</v>
          </cell>
          <cell r="F22">
            <v>194270.81199999992</v>
          </cell>
          <cell r="G22">
            <v>159079.33799999952</v>
          </cell>
          <cell r="H22">
            <v>138803.40719999978</v>
          </cell>
          <cell r="I22">
            <v>117729.18130000029</v>
          </cell>
          <cell r="J22">
            <v>102761.96619999968</v>
          </cell>
          <cell r="K22">
            <v>73059.786890000105</v>
          </cell>
          <cell r="L22">
            <v>58931.123099999968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</row>
        <row r="24">
          <cell r="C24">
            <v>-40000.001199999999</v>
          </cell>
          <cell r="D24">
            <v>-41599.997919999994</v>
          </cell>
          <cell r="E24">
            <v>-3326.1737599999906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-21471.106999998912</v>
          </cell>
          <cell r="D25">
            <v>-33078.036999999546</v>
          </cell>
          <cell r="E25">
            <v>-1287.4360000025481</v>
          </cell>
          <cell r="F25">
            <v>-50977.496999999508</v>
          </cell>
          <cell r="G25">
            <v>-41304.264999998733</v>
          </cell>
          <cell r="H25">
            <v>-30854.571000004187</v>
          </cell>
          <cell r="I25">
            <v>-33125.951000001281</v>
          </cell>
          <cell r="J25">
            <v>-32989.671000001952</v>
          </cell>
          <cell r="K25">
            <v>-25110.723000001162</v>
          </cell>
          <cell r="L25">
            <v>-18707.496999997646</v>
          </cell>
        </row>
        <row r="26">
          <cell r="C26">
            <v>0</v>
          </cell>
          <cell r="D26">
            <v>-57.955447000451386</v>
          </cell>
          <cell r="E26">
            <v>-52403.125457612798</v>
          </cell>
          <cell r="F26">
            <v>-35604.750657716766</v>
          </cell>
          <cell r="G26">
            <v>-29412.882140705362</v>
          </cell>
          <cell r="H26">
            <v>-26453.516732411459</v>
          </cell>
          <cell r="I26">
            <v>-12399.232219718397</v>
          </cell>
          <cell r="J26">
            <v>-8319.0245073642582</v>
          </cell>
          <cell r="K26">
            <v>-2421.6973242014647</v>
          </cell>
          <cell r="L26">
            <v>-24162.439956851304</v>
          </cell>
        </row>
        <row r="27">
          <cell r="C27">
            <v>-420249.96516498923</v>
          </cell>
          <cell r="D27">
            <v>-231383.02372099459</v>
          </cell>
          <cell r="E27">
            <v>-361592.52087000012</v>
          </cell>
          <cell r="F27">
            <v>-213305.43409999833</v>
          </cell>
          <cell r="G27">
            <v>-200925.90130600333</v>
          </cell>
          <cell r="H27">
            <v>-182004.35988699645</v>
          </cell>
          <cell r="I27">
            <v>-154536.66955399886</v>
          </cell>
          <cell r="J27">
            <v>-146945.10042300075</v>
          </cell>
          <cell r="K27">
            <v>-230180.7608080022</v>
          </cell>
          <cell r="L27">
            <v>-217123.00641300157</v>
          </cell>
        </row>
        <row r="28">
          <cell r="C28">
            <v>-132110.78027630039</v>
          </cell>
          <cell r="D28">
            <v>-80157.235377700999</v>
          </cell>
          <cell r="E28">
            <v>-33378.414942100644</v>
          </cell>
          <cell r="F28">
            <v>-38157.240669097751</v>
          </cell>
          <cell r="G28">
            <v>-33118.716129798442</v>
          </cell>
          <cell r="H28">
            <v>-37570.465368300676</v>
          </cell>
          <cell r="I28">
            <v>-38164.581122102216</v>
          </cell>
          <cell r="J28">
            <v>-11528.259315000847</v>
          </cell>
          <cell r="K28">
            <v>-20440.32398899924</v>
          </cell>
          <cell r="L28">
            <v>-26857.051165999845</v>
          </cell>
        </row>
        <row r="29">
          <cell r="C29">
            <v>0</v>
          </cell>
          <cell r="D29">
            <v>-61.02870450168848</v>
          </cell>
          <cell r="E29">
            <v>1088.2344397306442</v>
          </cell>
          <cell r="F29">
            <v>1063.1102700587362</v>
          </cell>
          <cell r="G29">
            <v>1090.2175382021815</v>
          </cell>
          <cell r="H29">
            <v>907.66821160912514</v>
          </cell>
          <cell r="I29">
            <v>-1571.3878598203883</v>
          </cell>
          <cell r="J29">
            <v>-9284.0891366796568</v>
          </cell>
          <cell r="K29">
            <v>-20950.778667859733</v>
          </cell>
          <cell r="L29">
            <v>-50741.870510480367</v>
          </cell>
        </row>
        <row r="30">
          <cell r="C30">
            <v>-39999.999999999942</v>
          </cell>
          <cell r="D30">
            <v>-41600</v>
          </cell>
          <cell r="E30">
            <v>-47655.34612799999</v>
          </cell>
          <cell r="F30">
            <v>-8179.2685730005614</v>
          </cell>
          <cell r="G30">
            <v>-5384.922925000079</v>
          </cell>
          <cell r="H30">
            <v>-11672.612010699697</v>
          </cell>
          <cell r="I30">
            <v>-7908.3833800647408</v>
          </cell>
          <cell r="J30">
            <v>-9219.2248779181391</v>
          </cell>
          <cell r="K30">
            <v>-4662.7197166997939</v>
          </cell>
          <cell r="L30">
            <v>-10801.498049098998</v>
          </cell>
        </row>
        <row r="31">
          <cell r="C31">
            <v>-65789.307536000037</v>
          </cell>
          <cell r="D31">
            <v>-280906.79914599983</v>
          </cell>
          <cell r="E31">
            <v>-228316.58110199962</v>
          </cell>
          <cell r="F31">
            <v>-336567.93847700022</v>
          </cell>
          <cell r="G31">
            <v>-407864.1037879996</v>
          </cell>
          <cell r="H31">
            <v>-451948.70517200138</v>
          </cell>
          <cell r="I31">
            <v>-510564.46579999942</v>
          </cell>
          <cell r="J31">
            <v>-554952.53571700118</v>
          </cell>
          <cell r="K31">
            <v>-499173.33363200165</v>
          </cell>
          <cell r="L31">
            <v>-471075.62110600062</v>
          </cell>
        </row>
        <row r="32">
          <cell r="C32">
            <v>-875999.84817728854</v>
          </cell>
          <cell r="D32">
            <v>-878399.82871619752</v>
          </cell>
          <cell r="E32">
            <v>-875999.7188199854</v>
          </cell>
          <cell r="F32">
            <v>-875999.83120675432</v>
          </cell>
          <cell r="G32">
            <v>-875999.91175130289</v>
          </cell>
          <cell r="H32">
            <v>-878399.96915880451</v>
          </cell>
          <cell r="I32">
            <v>-875999.85223570559</v>
          </cell>
          <cell r="J32">
            <v>-875999.87117696647</v>
          </cell>
          <cell r="K32">
            <v>-876000.12402776536</v>
          </cell>
          <cell r="L32">
            <v>-878400.10730143031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91.498493029551469</v>
          </cell>
          <cell r="D35">
            <v>65.910665111416151</v>
          </cell>
          <cell r="E35">
            <v>66.5915246058332</v>
          </cell>
          <cell r="F35">
            <v>66.688391145449174</v>
          </cell>
          <cell r="G35">
            <v>60.432571502152136</v>
          </cell>
          <cell r="H35">
            <v>56.44557714287874</v>
          </cell>
          <cell r="I35">
            <v>56.595731420303046</v>
          </cell>
          <cell r="J35">
            <v>53.36968029839047</v>
          </cell>
          <cell r="K35">
            <v>50.007934245976706</v>
          </cell>
          <cell r="L35">
            <v>49.824863194250113</v>
          </cell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</row>
        <row r="37">
          <cell r="C37">
            <v>162.51955762441327</v>
          </cell>
          <cell r="D37">
            <v>138.25999729761526</v>
          </cell>
          <cell r="E37">
            <v>127.59856538583276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3.3647068171410027E-4</v>
          </cell>
          <cell r="E38">
            <v>1.1312518697442219E-2</v>
          </cell>
          <cell r="F38">
            <v>2.6327749891827044E-2</v>
          </cell>
          <cell r="G38">
            <v>3.8354930806688128E-2</v>
          </cell>
          <cell r="H38">
            <v>0.10190009641678929</v>
          </cell>
          <cell r="I38">
            <v>0.11792651008956823</v>
          </cell>
          <cell r="J38">
            <v>0.24299672082460905</v>
          </cell>
          <cell r="K38">
            <v>2.3886424806938602</v>
          </cell>
          <cell r="L38">
            <v>1.6495577139755839</v>
          </cell>
        </row>
        <row r="39">
          <cell r="C39">
            <v>107.88013817825633</v>
          </cell>
          <cell r="D39">
            <v>59.964821975378754</v>
          </cell>
          <cell r="E39">
            <v>-1218.822683222174</v>
          </cell>
          <cell r="F39">
            <v>75.797326808730858</v>
          </cell>
          <cell r="G39">
            <v>71.603884005685671</v>
          </cell>
          <cell r="H39">
            <v>67.775296567880787</v>
          </cell>
          <cell r="I39">
            <v>65.282946895620725</v>
          </cell>
          <cell r="J39">
            <v>59.399207103333538</v>
          </cell>
          <cell r="K39">
            <v>56.73937385235353</v>
          </cell>
          <cell r="L39">
            <v>57.038330675668725</v>
          </cell>
        </row>
        <row r="40">
          <cell r="C40">
            <v>0</v>
          </cell>
          <cell r="D40">
            <v>36.645377736258617</v>
          </cell>
          <cell r="E40">
            <v>-0.73162993791135811</v>
          </cell>
          <cell r="F40">
            <v>-0.71831865099301673</v>
          </cell>
          <cell r="G40">
            <v>-1.1215079214363424</v>
          </cell>
          <cell r="H40">
            <v>-1.0829045413552068</v>
          </cell>
          <cell r="I40">
            <v>-1.3458185073823972</v>
          </cell>
          <cell r="J40">
            <v>6.4958663533928582E-2</v>
          </cell>
          <cell r="K40">
            <v>0.32032908598756232</v>
          </cell>
          <cell r="L40">
            <v>0.37351620930096269</v>
          </cell>
        </row>
        <row r="41">
          <cell r="C41">
            <v>18.028742932051205</v>
          </cell>
          <cell r="D41">
            <v>18.023810106815176</v>
          </cell>
          <cell r="E41">
            <v>17.773218793918417</v>
          </cell>
          <cell r="F41">
            <v>16.933650406466104</v>
          </cell>
          <cell r="G41">
            <v>17.452165335769987</v>
          </cell>
          <cell r="H41">
            <v>18.16440446209991</v>
          </cell>
          <cell r="I41">
            <v>19.321376803759705</v>
          </cell>
          <cell r="J41">
            <v>19.466763547947878</v>
          </cell>
          <cell r="K41">
            <v>19.364900987898245</v>
          </cell>
          <cell r="L41">
            <v>19.772500340198494</v>
          </cell>
        </row>
        <row r="42">
          <cell r="C42">
            <v>34.07420080674121</v>
          </cell>
          <cell r="D42">
            <v>29.692387788515816</v>
          </cell>
          <cell r="E42">
            <v>29.725088814461948</v>
          </cell>
          <cell r="F42">
            <v>29.579913915894739</v>
          </cell>
          <cell r="G42">
            <v>31.030155099079195</v>
          </cell>
          <cell r="H42">
            <v>33.853826911421415</v>
          </cell>
          <cell r="I42">
            <v>35.518826732646168</v>
          </cell>
          <cell r="J42">
            <v>30.423074756277249</v>
          </cell>
          <cell r="K42">
            <v>32.240617103950875</v>
          </cell>
          <cell r="L42">
            <v>34.942271157379942</v>
          </cell>
        </row>
        <row r="43">
          <cell r="C43">
            <v>0</v>
          </cell>
          <cell r="D43">
            <v>-34.799988939755472</v>
          </cell>
          <cell r="E43">
            <v>-21.277999999987259</v>
          </cell>
          <cell r="F43">
            <v>-21.278000000025283</v>
          </cell>
          <cell r="G43">
            <v>-22.06999999995584</v>
          </cell>
          <cell r="H43">
            <v>-22.070000000021267</v>
          </cell>
          <cell r="I43">
            <v>11.711360691884313</v>
          </cell>
          <cell r="J43">
            <v>0.74099763193877255</v>
          </cell>
          <cell r="K43">
            <v>1.0000000000000111</v>
          </cell>
          <cell r="L43">
            <v>0.99999999999999545</v>
          </cell>
        </row>
        <row r="44">
          <cell r="C44">
            <v>227.27080000000032</v>
          </cell>
          <cell r="D44">
            <v>179.70112980769218</v>
          </cell>
          <cell r="E44">
            <v>144.11090619201059</v>
          </cell>
          <cell r="F44">
            <v>27.17809131904443</v>
          </cell>
          <cell r="G44">
            <v>27.234895177259038</v>
          </cell>
          <cell r="H44">
            <v>15.669572224206922</v>
          </cell>
          <cell r="I44">
            <v>11.909594972595185</v>
          </cell>
          <cell r="J44">
            <v>13.513622551319228</v>
          </cell>
          <cell r="K44">
            <v>8.8421806504984275</v>
          </cell>
          <cell r="L44">
            <v>1.6057894465427283</v>
          </cell>
        </row>
        <row r="45">
          <cell r="C45">
            <v>96.518917995835722</v>
          </cell>
          <cell r="D45">
            <v>79.042744789811209</v>
          </cell>
          <cell r="E45">
            <v>79.452264398904632</v>
          </cell>
          <cell r="F45">
            <v>66.1437577020464</v>
          </cell>
          <cell r="G45">
            <v>56.853432403266574</v>
          </cell>
          <cell r="H45">
            <v>54.789708441616604</v>
          </cell>
          <cell r="I45">
            <v>51.524955490351246</v>
          </cell>
          <cell r="J45">
            <v>46.069335479237367</v>
          </cell>
          <cell r="K45">
            <v>44.660801705896148</v>
          </cell>
          <cell r="L45">
            <v>46.40614763182753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</row>
        <row r="47">
          <cell r="C47">
            <v>57.745621680239459</v>
          </cell>
          <cell r="D47">
            <v>62.708365794252735</v>
          </cell>
          <cell r="E47">
            <v>46.948280025822619</v>
          </cell>
          <cell r="F47">
            <v>50.152460673092648</v>
          </cell>
          <cell r="G47">
            <v>46.047203098846744</v>
          </cell>
          <cell r="H47">
            <v>44.735230967219977</v>
          </cell>
          <cell r="I47">
            <v>45.050097362762195</v>
          </cell>
          <cell r="J47">
            <v>41.25427069737249</v>
          </cell>
          <cell r="K47">
            <v>34.767727900242853</v>
          </cell>
          <cell r="L47">
            <v>33.836608227378264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112"/>
    </sheetNames>
    <sheetDataSet>
      <sheetData sheetId="0"/>
      <sheetData sheetId="1"/>
      <sheetData sheetId="2">
        <row r="5">
          <cell r="C5">
            <v>2023</v>
          </cell>
          <cell r="D5">
            <v>2024</v>
          </cell>
          <cell r="E5">
            <v>2025</v>
          </cell>
          <cell r="F5">
            <v>2026</v>
          </cell>
          <cell r="G5">
            <v>2027</v>
          </cell>
          <cell r="H5">
            <v>2028</v>
          </cell>
          <cell r="I5">
            <v>2029</v>
          </cell>
          <cell r="J5">
            <v>2030</v>
          </cell>
          <cell r="K5">
            <v>2031</v>
          </cell>
          <cell r="L5">
            <v>2032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</row>
        <row r="7">
          <cell r="C7">
            <v>9902965.8418200016</v>
          </cell>
          <cell r="D7">
            <v>7706891.5928900242</v>
          </cell>
          <cell r="E7">
            <v>8237591.8716300726</v>
          </cell>
          <cell r="F7">
            <v>9482706.8783200383</v>
          </cell>
          <cell r="G7">
            <v>7860648.0675400198</v>
          </cell>
          <cell r="H7">
            <v>6583446.6520700157</v>
          </cell>
          <cell r="I7">
            <v>7538368.0433900356</v>
          </cell>
          <cell r="J7">
            <v>7246885.8362460136</v>
          </cell>
          <cell r="K7">
            <v>5695315.5391089916</v>
          </cell>
          <cell r="L7">
            <v>5062343.4290299714</v>
          </cell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</row>
        <row r="9">
          <cell r="C9">
            <v>-12039545.5</v>
          </cell>
          <cell r="D9">
            <v>-8651492</v>
          </cell>
          <cell r="E9">
            <v>-563838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-425.23181100322108</v>
          </cell>
          <cell r="E10">
            <v>4299.3445354309224</v>
          </cell>
          <cell r="F10">
            <v>100.51859499071725</v>
          </cell>
          <cell r="G10">
            <v>137.23329134797677</v>
          </cell>
          <cell r="H10">
            <v>55671.02038127929</v>
          </cell>
          <cell r="I10">
            <v>17567.196978992783</v>
          </cell>
          <cell r="J10">
            <v>35687.231723146513</v>
          </cell>
          <cell r="K10">
            <v>1176156.0921835201</v>
          </cell>
          <cell r="L10">
            <v>1660820.5823130384</v>
          </cell>
        </row>
        <row r="11">
          <cell r="C11">
            <v>-13463749.656399846</v>
          </cell>
          <cell r="D11">
            <v>-29956732.209320188</v>
          </cell>
          <cell r="E11">
            <v>-20770919.435319901</v>
          </cell>
          <cell r="F11">
            <v>-31547227.340576231</v>
          </cell>
          <cell r="G11">
            <v>-26987876.598350972</v>
          </cell>
          <cell r="H11">
            <v>-29003723.22736451</v>
          </cell>
          <cell r="I11">
            <v>-27097958.811260015</v>
          </cell>
          <cell r="J11">
            <v>-26050754.455170274</v>
          </cell>
          <cell r="K11">
            <v>-20351444.443039864</v>
          </cell>
          <cell r="L11">
            <v>-19167822.155999839</v>
          </cell>
        </row>
        <row r="12">
          <cell r="C12">
            <v>4509.0955301523209</v>
          </cell>
          <cell r="D12">
            <v>1390.1357148885727</v>
          </cell>
          <cell r="E12">
            <v>39316.555987000465</v>
          </cell>
          <cell r="F12">
            <v>6004.3192777037621</v>
          </cell>
          <cell r="G12">
            <v>7183.4534984529018</v>
          </cell>
          <cell r="H12">
            <v>9895.5651453435421</v>
          </cell>
          <cell r="I12">
            <v>4147.4389424622059</v>
          </cell>
          <cell r="J12">
            <v>1766.716334939003</v>
          </cell>
          <cell r="K12">
            <v>-503.76228979229927</v>
          </cell>
          <cell r="L12">
            <v>-6102.275548517704</v>
          </cell>
        </row>
        <row r="13">
          <cell r="C13">
            <v>61913.153229981661</v>
          </cell>
          <cell r="D13">
            <v>74219.486129999161</v>
          </cell>
          <cell r="E13">
            <v>58608.44960001111</v>
          </cell>
          <cell r="F13">
            <v>18967.825769990683</v>
          </cell>
          <cell r="G13">
            <v>4269.850250005722</v>
          </cell>
          <cell r="H13">
            <v>5642.9816100001335</v>
          </cell>
          <cell r="I13">
            <v>4559.7355999946594</v>
          </cell>
          <cell r="J13">
            <v>2794.0692200064659</v>
          </cell>
          <cell r="K13">
            <v>2804.6603800058365</v>
          </cell>
          <cell r="L13">
            <v>2348.8436000049114</v>
          </cell>
        </row>
        <row r="14">
          <cell r="C14">
            <v>-8126401.9018329382</v>
          </cell>
          <cell r="D14">
            <v>-4771094.8890179396</v>
          </cell>
          <cell r="E14">
            <v>-6914200.0399820805</v>
          </cell>
          <cell r="F14">
            <v>-4070971.7779721022</v>
          </cell>
          <cell r="G14">
            <v>-3517097.0402609706</v>
          </cell>
          <cell r="H14">
            <v>-3032646.9574240446</v>
          </cell>
          <cell r="I14">
            <v>-3141486.471200943</v>
          </cell>
          <cell r="J14">
            <v>-2682863.5719040036</v>
          </cell>
          <cell r="K14">
            <v>-4530618.6800159216</v>
          </cell>
          <cell r="L14">
            <v>-3653541.3420159817</v>
          </cell>
        </row>
        <row r="15">
          <cell r="C15">
            <v>-5830643.2608100176</v>
          </cell>
          <cell r="D15">
            <v>-4043662.0311698914</v>
          </cell>
          <cell r="E15">
            <v>-1725754.1008599997</v>
          </cell>
          <cell r="F15">
            <v>-2113003.2529400587</v>
          </cell>
          <cell r="G15">
            <v>-1208735.1235300303</v>
          </cell>
          <cell r="H15">
            <v>-875888.48619997501</v>
          </cell>
          <cell r="I15">
            <v>-779787.0558899641</v>
          </cell>
          <cell r="J15">
            <v>-392016.19658994675</v>
          </cell>
          <cell r="K15">
            <v>-855809.78596997261</v>
          </cell>
          <cell r="L15">
            <v>-791996.8869600296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-1856.8150010200116</v>
          </cell>
          <cell r="I16">
            <v>-5221.1547770220677</v>
          </cell>
          <cell r="J16">
            <v>-8050.4916374099921</v>
          </cell>
          <cell r="K16">
            <v>-20588.873612019932</v>
          </cell>
          <cell r="L16">
            <v>-49337.397496940102</v>
          </cell>
        </row>
        <row r="17">
          <cell r="C17">
            <v>-10461124</v>
          </cell>
          <cell r="D17">
            <v>-8817959</v>
          </cell>
          <cell r="E17">
            <v>-8639184.370000001</v>
          </cell>
          <cell r="F17">
            <v>-767066.57649999857</v>
          </cell>
          <cell r="G17">
            <v>-497479.03790000454</v>
          </cell>
          <cell r="H17">
            <v>-241060.33358599991</v>
          </cell>
          <cell r="I17">
            <v>-194044.90173413232</v>
          </cell>
          <cell r="J17">
            <v>-154959.49432920292</v>
          </cell>
          <cell r="K17">
            <v>-113048.3687924929</v>
          </cell>
          <cell r="L17">
            <v>-80594.337807759643</v>
          </cell>
        </row>
        <row r="18">
          <cell r="C18">
            <v>-115339.16740000003</v>
          </cell>
          <cell r="D18">
            <v>-580344.1174000001</v>
          </cell>
          <cell r="E18">
            <v>-974581.85777000012</v>
          </cell>
          <cell r="F18">
            <v>-688291.15709999995</v>
          </cell>
          <cell r="G18">
            <v>-1009599.6186700007</v>
          </cell>
          <cell r="H18">
            <v>-1969101.0397499995</v>
          </cell>
          <cell r="I18">
            <v>-2097751.5154999979</v>
          </cell>
          <cell r="J18">
            <v>-3882036.4169000052</v>
          </cell>
          <cell r="K18">
            <v>-4037504.3320800066</v>
          </cell>
          <cell r="L18">
            <v>-6136167.6212399974</v>
          </cell>
        </row>
        <row r="19">
          <cell r="C19">
            <v>-59873347.079502672</v>
          </cell>
          <cell r="D19">
            <v>-64452991.449764155</v>
          </cell>
          <cell r="E19">
            <v>-47723845.32543961</v>
          </cell>
          <cell r="F19">
            <v>-48644194.319765739</v>
          </cell>
          <cell r="G19">
            <v>-41069844.949212193</v>
          </cell>
          <cell r="H19">
            <v>-41636513.944258943</v>
          </cell>
          <cell r="I19">
            <v>-40828343.582230657</v>
          </cell>
          <cell r="J19">
            <v>-40377318.445498765</v>
          </cell>
          <cell r="K19">
            <v>-34425873.032345533</v>
          </cell>
          <cell r="L19">
            <v>-33284736.020185992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C22">
            <v>73991.008999999613</v>
          </cell>
          <cell r="D22">
            <v>97206.327999999747</v>
          </cell>
          <cell r="E22">
            <v>76858.833600000478</v>
          </cell>
          <cell r="F22">
            <v>122355.25900000054</v>
          </cell>
          <cell r="G22">
            <v>131791.26499999966</v>
          </cell>
          <cell r="H22">
            <v>118077.79300000006</v>
          </cell>
          <cell r="I22">
            <v>139469.78300000075</v>
          </cell>
          <cell r="J22">
            <v>135418.35750000039</v>
          </cell>
          <cell r="K22">
            <v>107690.56829999993</v>
          </cell>
          <cell r="L22">
            <v>91502.455700000748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</row>
        <row r="24">
          <cell r="C24">
            <v>-40000.001199999999</v>
          </cell>
          <cell r="D24">
            <v>-41599.997919999994</v>
          </cell>
          <cell r="E24">
            <v>-3326.1737599999906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-109865.58548930101</v>
          </cell>
          <cell r="D25">
            <v>-298819.57539060246</v>
          </cell>
          <cell r="E25">
            <v>-216163.39156800322</v>
          </cell>
          <cell r="F25">
            <v>-383320.99293008819</v>
          </cell>
          <cell r="G25">
            <v>-442969.15467589907</v>
          </cell>
          <cell r="H25">
            <v>-487684.18073601462</v>
          </cell>
          <cell r="I25">
            <v>-475285.8546219971</v>
          </cell>
          <cell r="J25">
            <v>-474865.62303950451</v>
          </cell>
          <cell r="K25">
            <v>-380267.6087654978</v>
          </cell>
          <cell r="L25">
            <v>-353515.21527499892</v>
          </cell>
        </row>
        <row r="26">
          <cell r="C26">
            <v>-1193.2355365697294</v>
          </cell>
          <cell r="D26">
            <v>-1282.2731305798516</v>
          </cell>
          <cell r="E26">
            <v>-72094.337968530133</v>
          </cell>
          <cell r="F26">
            <v>-44954.988990653306</v>
          </cell>
          <cell r="G26">
            <v>-33941.755594262853</v>
          </cell>
          <cell r="H26">
            <v>-28651.577074499801</v>
          </cell>
          <cell r="I26">
            <v>-17043.236611204222</v>
          </cell>
          <cell r="J26">
            <v>-7138.1988823022693</v>
          </cell>
          <cell r="K26">
            <v>-2275.0431153029203</v>
          </cell>
          <cell r="L26">
            <v>-20542.579224603251</v>
          </cell>
        </row>
        <row r="27">
          <cell r="C27">
            <v>-453971.9938560091</v>
          </cell>
          <cell r="D27">
            <v>-266139.38387400284</v>
          </cell>
          <cell r="E27">
            <v>-388535.09917399287</v>
          </cell>
          <cell r="F27">
            <v>-239797.89764099568</v>
          </cell>
          <cell r="G27">
            <v>-201419.47268399969</v>
          </cell>
          <cell r="H27">
            <v>-167135.88358499855</v>
          </cell>
          <cell r="I27">
            <v>-162290.21459300071</v>
          </cell>
          <cell r="J27">
            <v>-138355.43421000615</v>
          </cell>
          <cell r="K27">
            <v>-232292.36305700056</v>
          </cell>
          <cell r="L27">
            <v>-185314.17227499746</v>
          </cell>
        </row>
        <row r="28">
          <cell r="C28">
            <v>-156306.07965509966</v>
          </cell>
          <cell r="D28">
            <v>-128337.76389819756</v>
          </cell>
          <cell r="E28">
            <v>-58159.315123002976</v>
          </cell>
          <cell r="F28">
            <v>-61583.806326800957</v>
          </cell>
          <cell r="G28">
            <v>-36752.841656900942</v>
          </cell>
          <cell r="H28">
            <v>-27710.125646902248</v>
          </cell>
          <cell r="I28">
            <v>-24802.566821400076</v>
          </cell>
          <cell r="J28">
            <v>-12892.82738349773</v>
          </cell>
          <cell r="K28">
            <v>-26359.556163998321</v>
          </cell>
          <cell r="L28">
            <v>-22589.000535999425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84.132985999807715</v>
          </cell>
          <cell r="I29">
            <v>-1487.9534024707973</v>
          </cell>
          <cell r="J29">
            <v>-8050.491637410596</v>
          </cell>
          <cell r="K29">
            <v>-20588.873612019233</v>
          </cell>
          <cell r="L29">
            <v>-49337.397496941499</v>
          </cell>
        </row>
        <row r="30">
          <cell r="C30">
            <v>-39999.999999999942</v>
          </cell>
          <cell r="D30">
            <v>-41600</v>
          </cell>
          <cell r="E30">
            <v>-55320.080984999993</v>
          </cell>
          <cell r="F30">
            <v>-16712.148792600259</v>
          </cell>
          <cell r="G30">
            <v>-10831.015207000542</v>
          </cell>
          <cell r="H30">
            <v>-12201.754331500269</v>
          </cell>
          <cell r="I30">
            <v>-12684.883866137825</v>
          </cell>
          <cell r="J30">
            <v>-12047.042938198894</v>
          </cell>
          <cell r="K30">
            <v>-9315.6204075012356</v>
          </cell>
          <cell r="L30">
            <v>-13554.837427761406</v>
          </cell>
        </row>
        <row r="31">
          <cell r="C31">
            <v>-671.51821699999982</v>
          </cell>
          <cell r="D31">
            <v>-3414.7246560000003</v>
          </cell>
          <cell r="E31">
            <v>-5542.7700686000026</v>
          </cell>
          <cell r="F31">
            <v>-7275.0015510000012</v>
          </cell>
          <cell r="G31">
            <v>-18294.085656699979</v>
          </cell>
          <cell r="H31">
            <v>-37021.948170999996</v>
          </cell>
          <cell r="I31">
            <v>-42934.917120000027</v>
          </cell>
          <cell r="J31">
            <v>-87231.122129999974</v>
          </cell>
          <cell r="K31">
            <v>-97210.84777400014</v>
          </cell>
          <cell r="L31">
            <v>-142045.14179979998</v>
          </cell>
        </row>
        <row r="32">
          <cell r="C32">
            <v>-875999.42295397911</v>
          </cell>
          <cell r="D32">
            <v>-878400.0468693825</v>
          </cell>
          <cell r="E32">
            <v>-876000.00224712957</v>
          </cell>
          <cell r="F32">
            <v>-876000.09523213899</v>
          </cell>
          <cell r="G32">
            <v>-875999.59047476272</v>
          </cell>
          <cell r="H32">
            <v>-878399.12955891574</v>
          </cell>
          <cell r="I32">
            <v>-875999.41003621148</v>
          </cell>
          <cell r="J32">
            <v>-875999.09772092057</v>
          </cell>
          <cell r="K32">
            <v>-876000.48119532014</v>
          </cell>
          <cell r="L32">
            <v>-878400.79973510269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133.84012430240077</v>
          </cell>
          <cell r="D35">
            <v>79.283846550504862</v>
          </cell>
          <cell r="E35">
            <v>107.17820562436978</v>
          </cell>
          <cell r="F35">
            <v>77.501424587887925</v>
          </cell>
          <cell r="G35">
            <v>59.644681819694497</v>
          </cell>
          <cell r="H35">
            <v>55.755163479978087</v>
          </cell>
          <cell r="I35">
            <v>54.050188372272686</v>
          </cell>
          <cell r="J35">
            <v>53.514796442912051</v>
          </cell>
          <cell r="K35">
            <v>52.885927050205709</v>
          </cell>
          <cell r="L35">
            <v>55.324672876838754</v>
          </cell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</row>
        <row r="37">
          <cell r="C37">
            <v>300.98862847034115</v>
          </cell>
          <cell r="D37">
            <v>207.96856809073611</v>
          </cell>
          <cell r="E37">
            <v>169.5154975908419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-4.8409811966511969E-4</v>
          </cell>
          <cell r="E38">
            <v>4.907927539271887E-3</v>
          </cell>
          <cell r="F38">
            <v>1.1474724208115519E-4</v>
          </cell>
          <cell r="G38">
            <v>1.5665908162537027E-4</v>
          </cell>
          <cell r="H38">
            <v>6.3377818246739673E-2</v>
          </cell>
          <cell r="I38">
            <v>2.0053891335687773E-2</v>
          </cell>
          <cell r="J38">
            <v>4.0738890960040575E-2</v>
          </cell>
          <cell r="K38">
            <v>1.3426432033217968</v>
          </cell>
          <cell r="L38">
            <v>1.8907320927006079</v>
          </cell>
        </row>
        <row r="39">
          <cell r="C39">
            <v>122.54747104325021</v>
          </cell>
          <cell r="D39">
            <v>100.25023350683168</v>
          </cell>
          <cell r="E39">
            <v>96.088978270798179</v>
          </cell>
          <cell r="F39">
            <v>82.299764224835855</v>
          </cell>
          <cell r="G39">
            <v>60.92495676837094</v>
          </cell>
          <cell r="H39">
            <v>59.472347828859228</v>
          </cell>
          <cell r="I39">
            <v>57.014023345616884</v>
          </cell>
          <cell r="J39">
            <v>54.859213198937098</v>
          </cell>
          <cell r="K39">
            <v>53.518743048109911</v>
          </cell>
          <cell r="L39">
            <v>54.220642642182234</v>
          </cell>
        </row>
        <row r="40">
          <cell r="C40">
            <v>-3.7788813624466013</v>
          </cell>
          <cell r="D40">
            <v>-1.084118259781319</v>
          </cell>
          <cell r="E40">
            <v>-0.54534873465600753</v>
          </cell>
          <cell r="F40">
            <v>-0.13356291287163108</v>
          </cell>
          <cell r="G40">
            <v>-0.2116405993939546</v>
          </cell>
          <cell r="H40">
            <v>-0.34537593234791591</v>
          </cell>
          <cell r="I40">
            <v>-0.24334808212048642</v>
          </cell>
          <cell r="J40">
            <v>-0.24750169672621777</v>
          </cell>
          <cell r="K40">
            <v>0.22142977704632366</v>
          </cell>
          <cell r="L40">
            <v>0.29705498427428167</v>
          </cell>
        </row>
        <row r="41">
          <cell r="C41">
            <v>17.900667908625376</v>
          </cell>
          <cell r="D41">
            <v>17.927053183818511</v>
          </cell>
          <cell r="E41">
            <v>17.795560953647019</v>
          </cell>
          <cell r="F41">
            <v>16.976678352980404</v>
          </cell>
          <cell r="G41">
            <v>17.461554205232318</v>
          </cell>
          <cell r="H41">
            <v>18.144798665462901</v>
          </cell>
          <cell r="I41">
            <v>19.357214352567809</v>
          </cell>
          <cell r="J41">
            <v>19.391096469920758</v>
          </cell>
          <cell r="K41">
            <v>19.503950196176639</v>
          </cell>
          <cell r="L41">
            <v>19.715390880057999</v>
          </cell>
        </row>
        <row r="42">
          <cell r="C42">
            <v>37.302728554613751</v>
          </cell>
          <cell r="D42">
            <v>31.507967010999813</v>
          </cell>
          <cell r="E42">
            <v>29.672875225750985</v>
          </cell>
          <cell r="F42">
            <v>34.31102068825016</v>
          </cell>
          <cell r="G42">
            <v>32.88820861292696</v>
          </cell>
          <cell r="H42">
            <v>31.60896840963591</v>
          </cell>
          <cell r="I42">
            <v>31.439772403602621</v>
          </cell>
          <cell r="J42">
            <v>30.405758560896487</v>
          </cell>
          <cell r="K42">
            <v>32.466775261520944</v>
          </cell>
          <cell r="L42">
            <v>35.061174384313617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-22.070000000050577</v>
          </cell>
          <cell r="I43">
            <v>3.5089504606475996</v>
          </cell>
          <cell r="J43">
            <v>0.99999999999992495</v>
          </cell>
          <cell r="K43">
            <v>1.000000000000034</v>
          </cell>
          <cell r="L43">
            <v>0.99999999999997169</v>
          </cell>
        </row>
        <row r="44">
          <cell r="C44">
            <v>261.52810000000039</v>
          </cell>
          <cell r="D44">
            <v>211.97016826923078</v>
          </cell>
          <cell r="E44">
            <v>156.16724010838868</v>
          </cell>
          <cell r="F44">
            <v>45.898740252937273</v>
          </cell>
          <cell r="G44">
            <v>45.930970310009613</v>
          </cell>
          <cell r="H44">
            <v>19.756202840740219</v>
          </cell>
          <cell r="I44">
            <v>15.297333722710171</v>
          </cell>
          <cell r="J44">
            <v>12.862865611431971</v>
          </cell>
          <cell r="K44">
            <v>12.135355869745695</v>
          </cell>
          <cell r="L44">
            <v>5.9457989250904557</v>
          </cell>
        </row>
        <row r="45">
          <cell r="C45">
            <v>171.75880635863683</v>
          </cell>
          <cell r="D45">
            <v>169.95341524250853</v>
          </cell>
          <cell r="E45">
            <v>175.82938597634464</v>
          </cell>
          <cell r="F45">
            <v>94.610448159339484</v>
          </cell>
          <cell r="G45">
            <v>55.187213923438009</v>
          </cell>
          <cell r="H45">
            <v>53.187396585802425</v>
          </cell>
          <cell r="I45">
            <v>48.858869568489723</v>
          </cell>
          <cell r="J45">
            <v>44.502882940272528</v>
          </cell>
          <cell r="K45">
            <v>41.533475167982964</v>
          </cell>
          <cell r="L45">
            <v>43.198715165411159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</row>
        <row r="47">
          <cell r="C47">
            <v>68.348614748628819</v>
          </cell>
          <cell r="D47">
            <v>73.375441724388111</v>
          </cell>
          <cell r="E47">
            <v>54.479275345910523</v>
          </cell>
          <cell r="F47">
            <v>55.529896154720262</v>
          </cell>
          <cell r="G47">
            <v>46.88340656295707</v>
          </cell>
          <cell r="H47">
            <v>47.400449912975823</v>
          </cell>
          <cell r="I47">
            <v>46.607729542355422</v>
          </cell>
          <cell r="J47">
            <v>46.092876751298135</v>
          </cell>
          <cell r="K47">
            <v>39.298920230466933</v>
          </cell>
          <cell r="L47">
            <v>37.892424540396128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08"/>
    </sheetNames>
    <sheetDataSet>
      <sheetData sheetId="0"/>
      <sheetData sheetId="1"/>
      <sheetData sheetId="2">
        <row r="5">
          <cell r="C5">
            <v>2023</v>
          </cell>
          <cell r="D5">
            <v>2024</v>
          </cell>
          <cell r="E5">
            <v>2025</v>
          </cell>
          <cell r="F5">
            <v>2026</v>
          </cell>
          <cell r="G5">
            <v>2027</v>
          </cell>
          <cell r="H5">
            <v>2028</v>
          </cell>
          <cell r="I5">
            <v>2029</v>
          </cell>
          <cell r="J5">
            <v>2030</v>
          </cell>
          <cell r="K5">
            <v>2031</v>
          </cell>
          <cell r="L5">
            <v>2032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</row>
        <row r="7">
          <cell r="C7">
            <v>9902965.8418200016</v>
          </cell>
          <cell r="D7">
            <v>8012263.6474500895</v>
          </cell>
          <cell r="E7">
            <v>7929127.763399899</v>
          </cell>
          <cell r="F7">
            <v>9196940.6763498783</v>
          </cell>
          <cell r="G7">
            <v>7807117.7331600189</v>
          </cell>
          <cell r="H7">
            <v>6497027.4933099449</v>
          </cell>
          <cell r="I7">
            <v>7560498.645963043</v>
          </cell>
          <cell r="J7">
            <v>7246572.9368379712</v>
          </cell>
          <cell r="K7">
            <v>5680053.3530530334</v>
          </cell>
          <cell r="L7">
            <v>5060127.0137049854</v>
          </cell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</row>
        <row r="9">
          <cell r="C9">
            <v>-12039545.5</v>
          </cell>
          <cell r="D9">
            <v>-8651560.8000000007</v>
          </cell>
          <cell r="E9">
            <v>-1258500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-432.09174166126468</v>
          </cell>
          <cell r="E10">
            <v>4180.1009652503417</v>
          </cell>
          <cell r="F10">
            <v>-419.59259700356051</v>
          </cell>
          <cell r="G10">
            <v>-449.85556255606934</v>
          </cell>
          <cell r="H10">
            <v>54349.323684207164</v>
          </cell>
          <cell r="I10">
            <v>16519.675019699149</v>
          </cell>
          <cell r="J10">
            <v>30989.972770258784</v>
          </cell>
          <cell r="K10">
            <v>1175526.911847244</v>
          </cell>
          <cell r="L10">
            <v>1657948.1483381521</v>
          </cell>
        </row>
        <row r="11">
          <cell r="C11">
            <v>-13463749.656399846</v>
          </cell>
          <cell r="D11">
            <v>-29528623.610399961</v>
          </cell>
          <cell r="E11">
            <v>-20924358.423919916</v>
          </cell>
          <cell r="F11">
            <v>-31620794.288103253</v>
          </cell>
          <cell r="G11">
            <v>-26820895.181664973</v>
          </cell>
          <cell r="H11">
            <v>-28918289.53042385</v>
          </cell>
          <cell r="I11">
            <v>-26899116.366239905</v>
          </cell>
          <cell r="J11">
            <v>-25985213.276600003</v>
          </cell>
          <cell r="K11">
            <v>-20300280.428750068</v>
          </cell>
          <cell r="L11">
            <v>-19105322.597900003</v>
          </cell>
        </row>
        <row r="12">
          <cell r="C12">
            <v>4509.0955301523209</v>
          </cell>
          <cell r="D12">
            <v>1406.9489809274673</v>
          </cell>
          <cell r="E12">
            <v>39522.454967975616</v>
          </cell>
          <cell r="F12">
            <v>6091.2805657684803</v>
          </cell>
          <cell r="G12">
            <v>7215.5995345413685</v>
          </cell>
          <cell r="H12">
            <v>9907.1754327714443</v>
          </cell>
          <cell r="I12">
            <v>4148.9070014953613</v>
          </cell>
          <cell r="J12">
            <v>1779.4334273338318</v>
          </cell>
          <cell r="K12">
            <v>-473.20504793524742</v>
          </cell>
          <cell r="L12">
            <v>-6116.5159445106983</v>
          </cell>
        </row>
        <row r="13">
          <cell r="C13">
            <v>61913.153229981661</v>
          </cell>
          <cell r="D13">
            <v>75086.943159997463</v>
          </cell>
          <cell r="E13">
            <v>58492.486339986324</v>
          </cell>
          <cell r="F13">
            <v>19512.877350002527</v>
          </cell>
          <cell r="G13">
            <v>4810.4314900040627</v>
          </cell>
          <cell r="H13">
            <v>6529.711009979248</v>
          </cell>
          <cell r="I13">
            <v>6314.839300006628</v>
          </cell>
          <cell r="J13">
            <v>3183.3287000060081</v>
          </cell>
          <cell r="K13">
            <v>3245.0854199826717</v>
          </cell>
          <cell r="L13">
            <v>2120.3009000122547</v>
          </cell>
        </row>
        <row r="14">
          <cell r="C14">
            <v>-8126401.9018329382</v>
          </cell>
          <cell r="D14">
            <v>-4764906.7397481203</v>
          </cell>
          <cell r="E14">
            <v>-6918363.5138169527</v>
          </cell>
          <cell r="F14">
            <v>-4098371.8732420802</v>
          </cell>
          <cell r="G14">
            <v>-3560621.3930209279</v>
          </cell>
          <cell r="H14">
            <v>-3060801.7764238119</v>
          </cell>
          <cell r="I14">
            <v>-3163242.6768310666</v>
          </cell>
          <cell r="J14">
            <v>-2699912.8377839923</v>
          </cell>
          <cell r="K14">
            <v>-4547223.8728858232</v>
          </cell>
          <cell r="L14">
            <v>-3675133.5930559039</v>
          </cell>
        </row>
        <row r="15">
          <cell r="C15">
            <v>-5830643.2608100176</v>
          </cell>
          <cell r="D15">
            <v>-4034885.3910200596</v>
          </cell>
          <cell r="E15">
            <v>-1763345.9620400667</v>
          </cell>
          <cell r="F15">
            <v>-2123645.5126899481</v>
          </cell>
          <cell r="G15">
            <v>-1210311.8131200075</v>
          </cell>
          <cell r="H15">
            <v>-880526.86570012569</v>
          </cell>
          <cell r="I15">
            <v>-788191.1810400486</v>
          </cell>
          <cell r="J15">
            <v>-388274.82586991787</v>
          </cell>
          <cell r="K15">
            <v>-847617.71658992767</v>
          </cell>
          <cell r="L15">
            <v>-781306.04116988182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-1856.8150010200116</v>
          </cell>
          <cell r="I16">
            <v>-5547.9756883220507</v>
          </cell>
          <cell r="J16">
            <v>-7803.6593685400003</v>
          </cell>
          <cell r="K16">
            <v>-20264.833192670019</v>
          </cell>
          <cell r="L16">
            <v>-49547.046880745096</v>
          </cell>
        </row>
        <row r="17">
          <cell r="C17">
            <v>-10461124</v>
          </cell>
          <cell r="D17">
            <v>-8818040.0000000112</v>
          </cell>
          <cell r="E17">
            <v>-7809949.2546999939</v>
          </cell>
          <cell r="F17">
            <v>-793430.67379999906</v>
          </cell>
          <cell r="G17">
            <v>-534561.31599999964</v>
          </cell>
          <cell r="H17">
            <v>-264176.9270673953</v>
          </cell>
          <cell r="I17">
            <v>-232480.10513582453</v>
          </cell>
          <cell r="J17">
            <v>-150263.0235135965</v>
          </cell>
          <cell r="K17">
            <v>-117996.56590260193</v>
          </cell>
          <cell r="L17">
            <v>-87095.582480199635</v>
          </cell>
        </row>
        <row r="18">
          <cell r="C18">
            <v>-115339.16740000003</v>
          </cell>
          <cell r="D18">
            <v>-567170.99499999988</v>
          </cell>
          <cell r="E18">
            <v>-928869.05475000059</v>
          </cell>
          <cell r="F18">
            <v>-683496.38120000018</v>
          </cell>
          <cell r="G18">
            <v>-1013247.9004999995</v>
          </cell>
          <cell r="H18">
            <v>-1977793.7267499994</v>
          </cell>
          <cell r="I18">
            <v>-2100803.0852000006</v>
          </cell>
          <cell r="J18">
            <v>-3893634.2752999999</v>
          </cell>
          <cell r="K18">
            <v>-4051897.8707800061</v>
          </cell>
          <cell r="L18">
            <v>-6139274.9460999891</v>
          </cell>
        </row>
        <row r="19">
          <cell r="C19">
            <v>-59873347.079502672</v>
          </cell>
          <cell r="D19">
            <v>-64301389.383218981</v>
          </cell>
          <cell r="E19">
            <v>-47430318.930353619</v>
          </cell>
          <cell r="F19">
            <v>-48491494.840066396</v>
          </cell>
          <cell r="G19">
            <v>-40935179.162003934</v>
          </cell>
          <cell r="H19">
            <v>-41529686.924549192</v>
          </cell>
          <cell r="I19">
            <v>-40722896.614777014</v>
          </cell>
          <cell r="J19">
            <v>-40335722.100376412</v>
          </cell>
          <cell r="K19">
            <v>-34387035.848934837</v>
          </cell>
          <cell r="L19">
            <v>-33243854.887998052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C22">
            <v>73991.008999999613</v>
          </cell>
          <cell r="D22">
            <v>99576.273000000045</v>
          </cell>
          <cell r="E22">
            <v>75095.320699999109</v>
          </cell>
          <cell r="F22">
            <v>120386.39199999999</v>
          </cell>
          <cell r="G22">
            <v>130812.18500000006</v>
          </cell>
          <cell r="H22">
            <v>116950.08699999936</v>
          </cell>
          <cell r="I22">
            <v>139700.24809999904</v>
          </cell>
          <cell r="J22">
            <v>135519.89529999997</v>
          </cell>
          <cell r="K22">
            <v>107449.95940000005</v>
          </cell>
          <cell r="L22">
            <v>91424.912500000093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</row>
        <row r="24">
          <cell r="C24">
            <v>-40000.001199999999</v>
          </cell>
          <cell r="D24">
            <v>-41600.002080000006</v>
          </cell>
          <cell r="E24">
            <v>-7423.9775999999983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-109865.58548930101</v>
          </cell>
          <cell r="D25">
            <v>-297056.67413000204</v>
          </cell>
          <cell r="E25">
            <v>-216846.13062498905</v>
          </cell>
          <cell r="F25">
            <v>-382899.90523444861</v>
          </cell>
          <cell r="G25">
            <v>-440694.67627679743</v>
          </cell>
          <cell r="H25">
            <v>-486362.06729951873</v>
          </cell>
          <cell r="I25">
            <v>-472465.7313980069</v>
          </cell>
          <cell r="J25">
            <v>-473925.50935149938</v>
          </cell>
          <cell r="K25">
            <v>-379484.91113499179</v>
          </cell>
          <cell r="L25">
            <v>-351968.04345200025</v>
          </cell>
        </row>
        <row r="26">
          <cell r="C26">
            <v>-1193.2355365697294</v>
          </cell>
          <cell r="D26">
            <v>-1289.3793150000274</v>
          </cell>
          <cell r="E26">
            <v>-72259.682000664994</v>
          </cell>
          <cell r="F26">
            <v>-45115.194794632494</v>
          </cell>
          <cell r="G26">
            <v>-34268.27401307784</v>
          </cell>
          <cell r="H26">
            <v>-28711.779868710786</v>
          </cell>
          <cell r="I26">
            <v>-17207.253616897389</v>
          </cell>
          <cell r="J26">
            <v>-7003.679093901068</v>
          </cell>
          <cell r="K26">
            <v>-2226.2486829012632</v>
          </cell>
          <cell r="L26">
            <v>-20525.492721499875</v>
          </cell>
        </row>
        <row r="27">
          <cell r="C27">
            <v>-453971.9938560091</v>
          </cell>
          <cell r="D27">
            <v>-265825.22380499542</v>
          </cell>
          <cell r="E27">
            <v>-388711.60167100281</v>
          </cell>
          <cell r="F27">
            <v>-241336.34655399621</v>
          </cell>
          <cell r="G27">
            <v>-203874.99274500087</v>
          </cell>
          <cell r="H27">
            <v>-168717.51935400069</v>
          </cell>
          <cell r="I27">
            <v>-163382.58769699931</v>
          </cell>
          <cell r="J27">
            <v>-139246.02425400168</v>
          </cell>
          <cell r="K27">
            <v>-233076.49232900329</v>
          </cell>
          <cell r="L27">
            <v>-186319.92379599623</v>
          </cell>
        </row>
        <row r="28">
          <cell r="C28">
            <v>-156306.07965509966</v>
          </cell>
          <cell r="D28">
            <v>-128055.468220599</v>
          </cell>
          <cell r="E28">
            <v>-59120.710844701156</v>
          </cell>
          <cell r="F28">
            <v>-61811.897558299825</v>
          </cell>
          <cell r="G28">
            <v>-36695.54818539694</v>
          </cell>
          <cell r="H28">
            <v>-27869.697589902207</v>
          </cell>
          <cell r="I28">
            <v>-25058.246059000492</v>
          </cell>
          <cell r="J28">
            <v>-12776.244827000424</v>
          </cell>
          <cell r="K28">
            <v>-26125.969617001712</v>
          </cell>
          <cell r="L28">
            <v>-22304.329902000725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84.132985999807715</v>
          </cell>
          <cell r="I29">
            <v>-1814.7743137683719</v>
          </cell>
          <cell r="J29">
            <v>-7803.6593685382977</v>
          </cell>
          <cell r="K29">
            <v>-20264.833192668855</v>
          </cell>
          <cell r="L29">
            <v>-49547.046880745329</v>
          </cell>
        </row>
        <row r="30">
          <cell r="C30">
            <v>-39999.999999999942</v>
          </cell>
          <cell r="D30">
            <v>-41600</v>
          </cell>
          <cell r="E30">
            <v>-51138.514943000002</v>
          </cell>
          <cell r="F30">
            <v>-17175.127638000529</v>
          </cell>
          <cell r="G30">
            <v>-11250.959126000758</v>
          </cell>
          <cell r="H30">
            <v>-12645.875393100083</v>
          </cell>
          <cell r="I30">
            <v>-13255.691350222565</v>
          </cell>
          <cell r="J30">
            <v>-12283.623703602701</v>
          </cell>
          <cell r="K30">
            <v>-9871.4021005984396</v>
          </cell>
          <cell r="L30">
            <v>-13932.60850800015</v>
          </cell>
        </row>
        <row r="31">
          <cell r="C31">
            <v>-671.51821699999982</v>
          </cell>
          <cell r="D31">
            <v>-3396.5282129999978</v>
          </cell>
          <cell r="E31">
            <v>-5403.9971640000003</v>
          </cell>
          <cell r="F31">
            <v>-7275.5905550000025</v>
          </cell>
          <cell r="G31">
            <v>-18403.016502999992</v>
          </cell>
          <cell r="H31">
            <v>-37225.885942000023</v>
          </cell>
          <cell r="I31">
            <v>-43115.267410000029</v>
          </cell>
          <cell r="J31">
            <v>-87440.608909999952</v>
          </cell>
          <cell r="K31">
            <v>-97499.86158399994</v>
          </cell>
          <cell r="L31">
            <v>-142377.92831300013</v>
          </cell>
        </row>
        <row r="32">
          <cell r="C32">
            <v>-875999.42295397911</v>
          </cell>
          <cell r="D32">
            <v>-878399.54876359657</v>
          </cell>
          <cell r="E32">
            <v>-875999.9355483572</v>
          </cell>
          <cell r="F32">
            <v>-876000.45433437766</v>
          </cell>
          <cell r="G32">
            <v>-875999.65184927383</v>
          </cell>
          <cell r="H32">
            <v>-878398.77946123201</v>
          </cell>
          <cell r="I32">
            <v>-875999.79994489416</v>
          </cell>
          <cell r="J32">
            <v>-875999.24480854347</v>
          </cell>
          <cell r="K32">
            <v>-875999.67804116535</v>
          </cell>
          <cell r="L32">
            <v>-878400.28607324278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133.84012430240077</v>
          </cell>
          <cell r="D35">
            <v>80.46358239828966</v>
          </cell>
          <cell r="E35">
            <v>105.58750784321496</v>
          </cell>
          <cell r="F35">
            <v>76.395184900548216</v>
          </cell>
          <cell r="G35">
            <v>59.681884628408397</v>
          </cell>
          <cell r="H35">
            <v>55.5538491673801</v>
          </cell>
          <cell r="I35">
            <v>54.119436069656452</v>
          </cell>
          <cell r="J35">
            <v>53.472391790122437</v>
          </cell>
          <cell r="K35">
            <v>52.862312696723372</v>
          </cell>
          <cell r="L35">
            <v>55.347354187568733</v>
          </cell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</row>
        <row r="37">
          <cell r="C37">
            <v>300.98862847034115</v>
          </cell>
          <cell r="D37">
            <v>207.97020113995148</v>
          </cell>
          <cell r="E37">
            <v>169.51829165001794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-4.9190797316490129E-4</v>
          </cell>
          <cell r="E38">
            <v>4.7718051059372369E-3</v>
          </cell>
          <cell r="F38">
            <v>-4.7898673445595958E-4</v>
          </cell>
          <cell r="G38">
            <v>-5.1353395130512261E-4</v>
          </cell>
          <cell r="H38">
            <v>6.18731775988378E-2</v>
          </cell>
          <cell r="I38">
            <v>1.885808081319007E-2</v>
          </cell>
          <cell r="J38">
            <v>3.537671174252198E-2</v>
          </cell>
          <cell r="K38">
            <v>1.3419261916578047</v>
          </cell>
          <cell r="L38">
            <v>1.8874631243003819</v>
          </cell>
        </row>
        <row r="39">
          <cell r="C39">
            <v>122.54747104325021</v>
          </cell>
          <cell r="D39">
            <v>99.40400664917307</v>
          </cell>
          <cell r="E39">
            <v>96.49403641011348</v>
          </cell>
          <cell r="F39">
            <v>82.58240301402509</v>
          </cell>
          <cell r="G39">
            <v>60.860492820700529</v>
          </cell>
          <cell r="H39">
            <v>59.458357209043932</v>
          </cell>
          <cell r="I39">
            <v>56.933475972207575</v>
          </cell>
          <cell r="J39">
            <v>54.829741729153014</v>
          </cell>
          <cell r="K39">
            <v>53.494301968514307</v>
          </cell>
          <cell r="L39">
            <v>54.281412626329804</v>
          </cell>
        </row>
        <row r="40">
          <cell r="C40">
            <v>-3.7788813624466013</v>
          </cell>
          <cell r="D40">
            <v>-1.0911831487908099</v>
          </cell>
          <cell r="E40">
            <v>-0.54695030304190795</v>
          </cell>
          <cell r="F40">
            <v>-0.13501616458704022</v>
          </cell>
          <cell r="G40">
            <v>-0.21056209401698117</v>
          </cell>
          <cell r="H40">
            <v>-0.34505612254181356</v>
          </cell>
          <cell r="I40">
            <v>-0.24111384035283626</v>
          </cell>
          <cell r="J40">
            <v>-0.25407123934096226</v>
          </cell>
          <cell r="K40">
            <v>0.21255713774013926</v>
          </cell>
          <cell r="L40">
            <v>0.29799605921780481</v>
          </cell>
        </row>
        <row r="41">
          <cell r="C41">
            <v>17.900667908625376</v>
          </cell>
          <cell r="D41">
            <v>17.924960887998989</v>
          </cell>
          <cell r="E41">
            <v>17.79819147171354</v>
          </cell>
          <cell r="F41">
            <v>16.981991862237447</v>
          </cell>
          <cell r="G41">
            <v>17.464728484255147</v>
          </cell>
          <cell r="H41">
            <v>18.141576453608717</v>
          </cell>
          <cell r="I41">
            <v>19.36095346156133</v>
          </cell>
          <cell r="J41">
            <v>19.389514725813807</v>
          </cell>
          <cell r="K41">
            <v>19.509577424338051</v>
          </cell>
          <cell r="L41">
            <v>19.724855604169573</v>
          </cell>
        </row>
        <row r="42">
          <cell r="C42">
            <v>37.302728554613751</v>
          </cell>
          <cell r="D42">
            <v>31.508887883407137</v>
          </cell>
          <cell r="E42">
            <v>29.826196891847946</v>
          </cell>
          <cell r="F42">
            <v>34.356581767886439</v>
          </cell>
          <cell r="G42">
            <v>32.982524392472584</v>
          </cell>
          <cell r="H42">
            <v>31.594417659528517</v>
          </cell>
          <cell r="I42">
            <v>31.45436353303522</v>
          </cell>
          <cell r="J42">
            <v>30.390371437573343</v>
          </cell>
          <cell r="K42">
            <v>32.443493160856036</v>
          </cell>
          <cell r="L42">
            <v>35.029343836050316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-22.070000000050577</v>
          </cell>
          <cell r="I43">
            <v>3.0571160536219515</v>
          </cell>
          <cell r="J43">
            <v>1.0000000000002183</v>
          </cell>
          <cell r="K43">
            <v>1.0000000000000575</v>
          </cell>
          <cell r="L43">
            <v>0.99999999999999534</v>
          </cell>
        </row>
        <row r="44">
          <cell r="C44">
            <v>261.52810000000039</v>
          </cell>
          <cell r="D44">
            <v>211.97211538461565</v>
          </cell>
          <cell r="E44">
            <v>152.72147154459057</v>
          </cell>
          <cell r="F44">
            <v>46.196493587885065</v>
          </cell>
          <cell r="G44">
            <v>47.512510712499022</v>
          </cell>
          <cell r="H44">
            <v>20.890362972541787</v>
          </cell>
          <cell r="I44">
            <v>17.53813505411177</v>
          </cell>
          <cell r="J44">
            <v>12.232792793019653</v>
          </cell>
          <cell r="K44">
            <v>11.95337447508582</v>
          </cell>
          <cell r="L44">
            <v>6.2512043190038007</v>
          </cell>
        </row>
        <row r="45">
          <cell r="C45">
            <v>171.75880635863683</v>
          </cell>
          <cell r="D45">
            <v>166.98550974173824</v>
          </cell>
          <cell r="E45">
            <v>171.88555555466988</v>
          </cell>
          <cell r="F45">
            <v>93.943766630776267</v>
          </cell>
          <cell r="G45">
            <v>55.058794319660777</v>
          </cell>
          <cell r="H45">
            <v>53.129527389395399</v>
          </cell>
          <cell r="I45">
            <v>48.725270916741351</v>
          </cell>
          <cell r="J45">
            <v>44.528901660641488</v>
          </cell>
          <cell r="K45">
            <v>41.557985877642892</v>
          </cell>
          <cell r="L45">
            <v>43.119569295906302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</row>
        <row r="47">
          <cell r="C47">
            <v>68.348614748628819</v>
          </cell>
          <cell r="D47">
            <v>73.202894370480138</v>
          </cell>
          <cell r="E47">
            <v>54.14420367584075</v>
          </cell>
          <cell r="F47">
            <v>55.355559007001077</v>
          </cell>
          <cell r="G47">
            <v>46.729675149514009</v>
          </cell>
          <cell r="H47">
            <v>47.278853176482698</v>
          </cell>
          <cell r="I47">
            <v>46.487335519184754</v>
          </cell>
          <cell r="J47">
            <v>46.045384558741375</v>
          </cell>
          <cell r="K47">
            <v>39.254621560852797</v>
          </cell>
          <cell r="L47">
            <v>37.845906262860794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112"/>
    </sheetNames>
    <sheetDataSet>
      <sheetData sheetId="0"/>
      <sheetData sheetId="1"/>
      <sheetData sheetId="2">
        <row r="5">
          <cell r="C5">
            <v>2033</v>
          </cell>
          <cell r="D5">
            <v>2034</v>
          </cell>
          <cell r="E5">
            <v>2035</v>
          </cell>
          <cell r="F5">
            <v>2036</v>
          </cell>
          <cell r="G5">
            <v>2037</v>
          </cell>
          <cell r="H5">
            <v>2038</v>
          </cell>
          <cell r="I5">
            <v>2039</v>
          </cell>
          <cell r="J5">
            <v>2040</v>
          </cell>
          <cell r="K5">
            <v>2041</v>
          </cell>
          <cell r="L5">
            <v>2042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</row>
        <row r="7">
          <cell r="C7">
            <v>3441903.3326169848</v>
          </cell>
          <cell r="D7">
            <v>3181044.6271339953</v>
          </cell>
          <cell r="E7">
            <v>3172509.6791089922</v>
          </cell>
          <cell r="F7">
            <v>3215926.158969909</v>
          </cell>
          <cell r="G7">
            <v>2425464.7994831949</v>
          </cell>
          <cell r="H7">
            <v>3986397.7418298796</v>
          </cell>
          <cell r="I7">
            <v>3014336.1627726406</v>
          </cell>
          <cell r="J7">
            <v>4826028.3077590168</v>
          </cell>
          <cell r="K7">
            <v>0</v>
          </cell>
          <cell r="L7">
            <v>0</v>
          </cell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2472519.6330965757</v>
          </cell>
          <cell r="D10">
            <v>2126942.0138632953</v>
          </cell>
          <cell r="E10">
            <v>2347922.2215616703</v>
          </cell>
          <cell r="F10">
            <v>2191092.5017714761</v>
          </cell>
          <cell r="G10">
            <v>150127.8479748033</v>
          </cell>
          <cell r="H10">
            <v>130329.94992932677</v>
          </cell>
          <cell r="I10">
            <v>86317.560679748654</v>
          </cell>
          <cell r="J10">
            <v>141628.37948340178</v>
          </cell>
          <cell r="K10">
            <v>0</v>
          </cell>
          <cell r="L10">
            <v>0</v>
          </cell>
        </row>
        <row r="11">
          <cell r="C11">
            <v>-1190465.3000000715</v>
          </cell>
          <cell r="D11">
            <v>-1063524.0000001788</v>
          </cell>
          <cell r="E11">
            <v>-1024621.4000000358</v>
          </cell>
          <cell r="F11">
            <v>-871683.29999995232</v>
          </cell>
          <cell r="G11">
            <v>-715246.19999995828</v>
          </cell>
          <cell r="H11">
            <v>-1003574.7999999523</v>
          </cell>
          <cell r="I11">
            <v>-898279.60000014305</v>
          </cell>
          <cell r="J11">
            <v>-1292555.5000002384</v>
          </cell>
          <cell r="K11">
            <v>0</v>
          </cell>
          <cell r="L11">
            <v>0</v>
          </cell>
        </row>
        <row r="12">
          <cell r="C12">
            <v>-4606.821333527565</v>
          </cell>
          <cell r="D12">
            <v>-2618.2814017534256</v>
          </cell>
          <cell r="E12">
            <v>-15568.746624529362</v>
          </cell>
          <cell r="F12">
            <v>-9826.6308933496475</v>
          </cell>
          <cell r="G12">
            <v>-8088.386029869318</v>
          </cell>
          <cell r="H12">
            <v>-15319.7059237957</v>
          </cell>
          <cell r="I12">
            <v>-10574.678979873657</v>
          </cell>
          <cell r="J12">
            <v>-21174.715289592743</v>
          </cell>
          <cell r="K12">
            <v>0</v>
          </cell>
          <cell r="L12">
            <v>0</v>
          </cell>
        </row>
        <row r="13">
          <cell r="C13">
            <v>1548.5397000014782</v>
          </cell>
          <cell r="D13">
            <v>1439.3066599965096</v>
          </cell>
          <cell r="E13">
            <v>1974.2574000060558</v>
          </cell>
          <cell r="F13">
            <v>1193.6842299997807</v>
          </cell>
          <cell r="G13">
            <v>1584.0034399926662</v>
          </cell>
          <cell r="H13">
            <v>1359.6609700024128</v>
          </cell>
          <cell r="I13">
            <v>1833.6716100275517</v>
          </cell>
          <cell r="J13">
            <v>1085.7824999988079</v>
          </cell>
          <cell r="K13" t="e">
            <v>#N/A</v>
          </cell>
          <cell r="L13" t="e">
            <v>#N/A</v>
          </cell>
        </row>
        <row r="14">
          <cell r="C14">
            <v>-4180136.9699170589</v>
          </cell>
          <cell r="D14">
            <v>-4413832.1979328394</v>
          </cell>
          <cell r="E14">
            <v>-4375980.7396579981</v>
          </cell>
          <cell r="F14">
            <v>-4579107.1100450158</v>
          </cell>
          <cell r="G14">
            <v>-1243748.1621791124</v>
          </cell>
          <cell r="H14">
            <v>-894286.12843796611</v>
          </cell>
          <cell r="I14">
            <v>-985287.6152009964</v>
          </cell>
          <cell r="J14">
            <v>-1397229.4906361103</v>
          </cell>
          <cell r="K14">
            <v>0</v>
          </cell>
          <cell r="L14">
            <v>0</v>
          </cell>
        </row>
        <row r="15">
          <cell r="C15">
            <v>-374485.00938004255</v>
          </cell>
          <cell r="D15">
            <v>-365221.00516998768</v>
          </cell>
          <cell r="E15">
            <v>-387818.15156000853</v>
          </cell>
          <cell r="F15">
            <v>-533074.15119993687</v>
          </cell>
          <cell r="G15">
            <v>-164910.94625997543</v>
          </cell>
          <cell r="H15">
            <v>-150396.28759998083</v>
          </cell>
          <cell r="I15">
            <v>-148196.42669999599</v>
          </cell>
          <cell r="J15">
            <v>-878378.81680011749</v>
          </cell>
          <cell r="K15">
            <v>0</v>
          </cell>
          <cell r="L15">
            <v>0</v>
          </cell>
        </row>
        <row r="16">
          <cell r="C16">
            <v>-29647.484949207865</v>
          </cell>
          <cell r="D16">
            <v>-30315.960075304843</v>
          </cell>
          <cell r="E16">
            <v>-20073.737625429872</v>
          </cell>
          <cell r="F16">
            <v>-12094.23555326974</v>
          </cell>
          <cell r="G16">
            <v>-11713.353339743015</v>
          </cell>
          <cell r="H16">
            <v>-17595.474841290008</v>
          </cell>
          <cell r="I16">
            <v>-16245.791819374994</v>
          </cell>
          <cell r="J16">
            <v>-26589.422728971971</v>
          </cell>
          <cell r="K16">
            <v>0</v>
          </cell>
          <cell r="L16">
            <v>0</v>
          </cell>
        </row>
        <row r="17">
          <cell r="C17">
            <v>-6402.5371739976108</v>
          </cell>
          <cell r="D17">
            <v>-4479.5273295007646</v>
          </cell>
          <cell r="E17">
            <v>-26412.94635809958</v>
          </cell>
          <cell r="F17">
            <v>-23353.176199000329</v>
          </cell>
          <cell r="G17">
            <v>-1453.8178470013663</v>
          </cell>
          <cell r="H17">
            <v>-16676.441804000176</v>
          </cell>
          <cell r="I17">
            <v>-13320.46429650113</v>
          </cell>
          <cell r="J17">
            <v>-324384.16406118125</v>
          </cell>
          <cell r="K17">
            <v>0</v>
          </cell>
          <cell r="L17">
            <v>0</v>
          </cell>
        </row>
        <row r="18">
          <cell r="C18">
            <v>-22698079.246189952</v>
          </cell>
          <cell r="D18">
            <v>-20953488.938999891</v>
          </cell>
          <cell r="E18">
            <v>-22344370.698300064</v>
          </cell>
          <cell r="F18">
            <v>-23994437.948169887</v>
          </cell>
          <cell r="G18">
            <v>-33109316.994000196</v>
          </cell>
          <cell r="H18">
            <v>-32263827.672399879</v>
          </cell>
          <cell r="I18">
            <v>-33026865.383900046</v>
          </cell>
          <cell r="J18">
            <v>-30902712.844000101</v>
          </cell>
          <cell r="K18">
            <v>0</v>
          </cell>
          <cell r="L18">
            <v>0</v>
          </cell>
        </row>
        <row r="19">
          <cell r="C19">
            <v>-29451658.528764267</v>
          </cell>
          <cell r="D19">
            <v>-27886143.217520159</v>
          </cell>
          <cell r="E19">
            <v>-29017459.620273478</v>
          </cell>
          <cell r="F19">
            <v>-31047216.525028847</v>
          </cell>
          <cell r="G19">
            <v>-37528230.807724252</v>
          </cell>
          <cell r="H19">
            <v>-38216384.641937412</v>
          </cell>
          <cell r="I19">
            <v>-38024954.891379796</v>
          </cell>
          <cell r="J19">
            <v>-39526339.099291928</v>
          </cell>
          <cell r="K19" t="e">
            <v>#N/A</v>
          </cell>
          <cell r="L19" t="e">
            <v>#N/A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e">
            <v>#N/A</v>
          </cell>
          <cell r="L20" t="e">
            <v>#N/A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e">
            <v>#N/A</v>
          </cell>
          <cell r="L21" t="e">
            <v>#N/A</v>
          </cell>
        </row>
        <row r="22">
          <cell r="C22">
            <v>66492.661639999831</v>
          </cell>
          <cell r="D22">
            <v>65243.01370000001</v>
          </cell>
          <cell r="E22">
            <v>64367.777980000013</v>
          </cell>
          <cell r="F22">
            <v>61968.369770000107</v>
          </cell>
          <cell r="G22">
            <v>43855.362757999974</v>
          </cell>
          <cell r="H22">
            <v>56219.50083400018</v>
          </cell>
          <cell r="I22">
            <v>55524.876182000036</v>
          </cell>
          <cell r="J22">
            <v>84201.814600000042</v>
          </cell>
          <cell r="K22">
            <v>0</v>
          </cell>
          <cell r="L22">
            <v>0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-22286.550000008196</v>
          </cell>
          <cell r="D25">
            <v>-20892.814999997616</v>
          </cell>
          <cell r="E25">
            <v>-20349.765000000596</v>
          </cell>
          <cell r="F25">
            <v>-16867.056999996305</v>
          </cell>
          <cell r="G25">
            <v>-12924.538000000641</v>
          </cell>
          <cell r="H25">
            <v>-18946.988000003621</v>
          </cell>
          <cell r="I25">
            <v>-15554.296999998391</v>
          </cell>
          <cell r="J25">
            <v>-22867.24499999918</v>
          </cell>
          <cell r="K25">
            <v>0</v>
          </cell>
          <cell r="L25">
            <v>0</v>
          </cell>
        </row>
        <row r="26">
          <cell r="C26">
            <v>-10031.074863418937</v>
          </cell>
          <cell r="D26">
            <v>-7092.2394032925367</v>
          </cell>
          <cell r="E26">
            <v>-15694.934807535261</v>
          </cell>
          <cell r="F26">
            <v>-9926.6308893822134</v>
          </cell>
          <cell r="G26">
            <v>-8090.5094898696989</v>
          </cell>
          <cell r="H26">
            <v>-16268.767155647278</v>
          </cell>
          <cell r="I26">
            <v>-11149.554698880762</v>
          </cell>
          <cell r="J26">
            <v>-22514.684775250033</v>
          </cell>
          <cell r="K26">
            <v>0</v>
          </cell>
          <cell r="L26">
            <v>0</v>
          </cell>
        </row>
        <row r="27">
          <cell r="C27">
            <v>-207712.81834100187</v>
          </cell>
          <cell r="D27">
            <v>-213348.05645599961</v>
          </cell>
          <cell r="E27">
            <v>-213781.86415299773</v>
          </cell>
          <cell r="F27">
            <v>-218108.94527399912</v>
          </cell>
          <cell r="G27">
            <v>-56170.424758996814</v>
          </cell>
          <cell r="H27">
            <v>-42901.559064999223</v>
          </cell>
          <cell r="I27">
            <v>-46233.127003000118</v>
          </cell>
          <cell r="J27">
            <v>-63019.206367998384</v>
          </cell>
          <cell r="K27">
            <v>0</v>
          </cell>
          <cell r="L27">
            <v>0</v>
          </cell>
        </row>
        <row r="28">
          <cell r="C28">
            <v>-10498.15779399965</v>
          </cell>
          <cell r="D28">
            <v>-10042.743122998625</v>
          </cell>
          <cell r="E28">
            <v>-10579.705355999991</v>
          </cell>
          <cell r="F28">
            <v>-14775.514862000942</v>
          </cell>
          <cell r="G28">
            <v>-4503.3275529993698</v>
          </cell>
          <cell r="H28">
            <v>-3846.902160000056</v>
          </cell>
          <cell r="I28">
            <v>-3633.3795259986073</v>
          </cell>
          <cell r="J28">
            <v>-20470.817095996812</v>
          </cell>
          <cell r="K28">
            <v>0</v>
          </cell>
          <cell r="L28">
            <v>0</v>
          </cell>
        </row>
        <row r="29">
          <cell r="C29">
            <v>-29647.484949206933</v>
          </cell>
          <cell r="D29">
            <v>-30315.960075305775</v>
          </cell>
          <cell r="E29">
            <v>-20073.737625430338</v>
          </cell>
          <cell r="F29">
            <v>-12094.235553270206</v>
          </cell>
          <cell r="G29">
            <v>-11713.353339742869</v>
          </cell>
          <cell r="H29">
            <v>-17595.474841291085</v>
          </cell>
          <cell r="I29">
            <v>-16245.791819374077</v>
          </cell>
          <cell r="J29">
            <v>-26589.422728970647</v>
          </cell>
          <cell r="K29">
            <v>0</v>
          </cell>
          <cell r="L29">
            <v>0</v>
          </cell>
        </row>
        <row r="30">
          <cell r="C30">
            <v>-6917.457474000752</v>
          </cell>
          <cell r="D30">
            <v>-5366.256009504199</v>
          </cell>
          <cell r="E30">
            <v>-2396.3737030997872</v>
          </cell>
          <cell r="F30">
            <v>-1705.4213429987431</v>
          </cell>
          <cell r="G30">
            <v>-1453.817847000435</v>
          </cell>
          <cell r="H30">
            <v>-1883.7325049974024</v>
          </cell>
          <cell r="I30">
            <v>-1796.6388464979827</v>
          </cell>
          <cell r="J30">
            <v>-10007.730193201452</v>
          </cell>
          <cell r="K30">
            <v>0</v>
          </cell>
          <cell r="L30">
            <v>0</v>
          </cell>
        </row>
        <row r="31">
          <cell r="C31">
            <v>-522413.71901599877</v>
          </cell>
          <cell r="D31">
            <v>-523698.84164300002</v>
          </cell>
          <cell r="E31">
            <v>-528755.9889700003</v>
          </cell>
          <cell r="F31">
            <v>-542953.77230999991</v>
          </cell>
          <cell r="G31">
            <v>-737288.74190000072</v>
          </cell>
          <cell r="H31">
            <v>-718336.94501000084</v>
          </cell>
          <cell r="I31">
            <v>-725862.3436319977</v>
          </cell>
          <cell r="J31">
            <v>-628729.1441799961</v>
          </cell>
          <cell r="K31">
            <v>0</v>
          </cell>
          <cell r="L31">
            <v>0</v>
          </cell>
        </row>
        <row r="32">
          <cell r="C32">
            <v>-875999.92407763493</v>
          </cell>
          <cell r="D32">
            <v>-875999.9254100984</v>
          </cell>
          <cell r="E32">
            <v>-876000.14759506402</v>
          </cell>
          <cell r="F32">
            <v>-878399.94700164755</v>
          </cell>
          <cell r="G32">
            <v>-876000.07564661046</v>
          </cell>
          <cell r="H32">
            <v>-875999.86957093969</v>
          </cell>
          <cell r="I32">
            <v>-876000.00870774768</v>
          </cell>
          <cell r="J32">
            <v>-878400.06494141265</v>
          </cell>
          <cell r="K32">
            <v>0</v>
          </cell>
          <cell r="L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51.763657037101481</v>
          </cell>
          <cell r="D35">
            <v>48.756862179313991</v>
          </cell>
          <cell r="E35">
            <v>49.28723312609511</v>
          </cell>
          <cell r="F35">
            <v>51.896252409189422</v>
          </cell>
          <cell r="G35">
            <v>55.306002435032838</v>
          </cell>
          <cell r="H35">
            <v>70.907739889056501</v>
          </cell>
          <cell r="I35">
            <v>54.288030339630424</v>
          </cell>
          <cell r="J35">
            <v>57.315015486127237</v>
          </cell>
          <cell r="K35">
            <v>0</v>
          </cell>
          <cell r="L35">
            <v>0</v>
          </cell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2.82251124131085</v>
          </cell>
          <cell r="D38">
            <v>2.4280162043022662</v>
          </cell>
          <cell r="E38">
            <v>2.6802760570389887</v>
          </cell>
          <cell r="F38">
            <v>2.4944132900401534</v>
          </cell>
          <cell r="G38">
            <v>0.17137880708970027</v>
          </cell>
          <cell r="H38">
            <v>0.14877850380635527</v>
          </cell>
          <cell r="I38">
            <v>9.8536027193746337E-2</v>
          </cell>
          <cell r="J38">
            <v>0.16123448202710239</v>
          </cell>
          <cell r="K38">
            <v>0</v>
          </cell>
          <cell r="L38">
            <v>0</v>
          </cell>
        </row>
        <row r="39">
          <cell r="C39">
            <v>53.416311631887112</v>
          </cell>
          <cell r="D39">
            <v>50.90381549830888</v>
          </cell>
          <cell r="E39">
            <v>50.350527389382911</v>
          </cell>
          <cell r="F39">
            <v>51.679632078088268</v>
          </cell>
          <cell r="G39">
            <v>55.340175408971895</v>
          </cell>
          <cell r="H39">
            <v>52.967511247685408</v>
          </cell>
          <cell r="I39">
            <v>57.751218200361997</v>
          </cell>
          <cell r="J39">
            <v>56.524321141452972</v>
          </cell>
          <cell r="K39">
            <v>0</v>
          </cell>
          <cell r="L39">
            <v>0</v>
          </cell>
        </row>
        <row r="40">
          <cell r="C40">
            <v>0.45925500469821051</v>
          </cell>
          <cell r="D40">
            <v>0.36917555272286795</v>
          </cell>
          <cell r="E40">
            <v>0.99195994220088668</v>
          </cell>
          <cell r="F40">
            <v>0.98992608900774903</v>
          </cell>
          <cell r="G40">
            <v>0.9997375369248328</v>
          </cell>
          <cell r="H40">
            <v>0.94166360469901156</v>
          </cell>
          <cell r="I40">
            <v>0.94843958036594833</v>
          </cell>
          <cell r="J40">
            <v>0.94048464373215246</v>
          </cell>
          <cell r="K40">
            <v>0</v>
          </cell>
          <cell r="L40">
            <v>0</v>
          </cell>
        </row>
        <row r="41">
          <cell r="C41">
            <v>20.124598006534836</v>
          </cell>
          <cell r="D41">
            <v>20.688410624650512</v>
          </cell>
          <cell r="E41">
            <v>20.4693731013882</v>
          </cell>
          <cell r="F41">
            <v>20.994586463624945</v>
          </cell>
          <cell r="G41">
            <v>22.142402652561415</v>
          </cell>
          <cell r="H41">
            <v>20.845072951382782</v>
          </cell>
          <cell r="I41">
            <v>21.311290822640224</v>
          </cell>
          <cell r="J41">
            <v>22.171486617540676</v>
          </cell>
          <cell r="K41">
            <v>0</v>
          </cell>
          <cell r="L41">
            <v>0</v>
          </cell>
        </row>
        <row r="42">
          <cell r="C42">
            <v>35.671497488262567</v>
          </cell>
          <cell r="D42">
            <v>36.366658063134615</v>
          </cell>
          <cell r="E42">
            <v>36.656800781324975</v>
          </cell>
          <cell r="F42">
            <v>36.078211566818219</v>
          </cell>
          <cell r="G42">
            <v>36.619798209024154</v>
          </cell>
          <cell r="H42">
            <v>39.095428306910371</v>
          </cell>
          <cell r="I42">
            <v>40.787488793718929</v>
          </cell>
          <cell r="J42">
            <v>42.908830296368073</v>
          </cell>
          <cell r="K42">
            <v>0</v>
          </cell>
          <cell r="L42">
            <v>0</v>
          </cell>
        </row>
        <row r="43">
          <cell r="C43">
            <v>1.0000000000000313</v>
          </cell>
          <cell r="D43">
            <v>0.99999999999996925</v>
          </cell>
          <cell r="E43">
            <v>0.9999999999999768</v>
          </cell>
          <cell r="F43">
            <v>0.99999999999996148</v>
          </cell>
          <cell r="G43">
            <v>1.0000000000000124</v>
          </cell>
          <cell r="H43">
            <v>0.99999999999993883</v>
          </cell>
          <cell r="I43">
            <v>1.0000000000000564</v>
          </cell>
          <cell r="J43">
            <v>1.0000000000000497</v>
          </cell>
          <cell r="K43">
            <v>0</v>
          </cell>
          <cell r="L43">
            <v>0</v>
          </cell>
        </row>
        <row r="44">
          <cell r="C44">
            <v>0.92556220230648789</v>
          </cell>
          <cell r="D44">
            <v>0.83475840913423704</v>
          </cell>
          <cell r="E44">
            <v>11.02204815715244</v>
          </cell>
          <cell r="F44">
            <v>13.693493572642325</v>
          </cell>
          <cell r="G44">
            <v>1.0000000000006406</v>
          </cell>
          <cell r="H44">
            <v>8.8528714983464027</v>
          </cell>
          <cell r="I44">
            <v>7.41410235143554</v>
          </cell>
          <cell r="J44">
            <v>32.413360252412183</v>
          </cell>
          <cell r="K44">
            <v>0</v>
          </cell>
          <cell r="L44">
            <v>0</v>
          </cell>
        </row>
        <row r="45">
          <cell r="C45">
            <v>43.448474685816642</v>
          </cell>
          <cell r="D45">
            <v>40.010569573273301</v>
          </cell>
          <cell r="E45">
            <v>42.258378466457053</v>
          </cell>
          <cell r="F45">
            <v>44.192414109373281</v>
          </cell>
          <cell r="G45">
            <v>44.906852786978874</v>
          </cell>
          <cell r="H45">
            <v>44.914615483059549</v>
          </cell>
          <cell r="I45">
            <v>45.500177373361879</v>
          </cell>
          <cell r="J45">
            <v>49.151074242477137</v>
          </cell>
          <cell r="K45">
            <v>0</v>
          </cell>
          <cell r="L45">
            <v>0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</row>
        <row r="47">
          <cell r="C47">
            <v>33.620617672740956</v>
          </cell>
          <cell r="D47">
            <v>31.833499534221183</v>
          </cell>
          <cell r="E47">
            <v>33.124948323281515</v>
          </cell>
          <cell r="F47">
            <v>35.345193987096877</v>
          </cell>
          <cell r="G47">
            <v>42.840442428070766</v>
          </cell>
          <cell r="H47">
            <v>43.626016360773669</v>
          </cell>
          <cell r="I47">
            <v>43.407482321231043</v>
          </cell>
          <cell r="J47">
            <v>44.99810584819145</v>
          </cell>
          <cell r="K47">
            <v>0</v>
          </cell>
          <cell r="L4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112"/>
    </sheetNames>
    <sheetDataSet>
      <sheetData sheetId="0"/>
      <sheetData sheetId="1"/>
      <sheetData sheetId="2">
        <row r="5">
          <cell r="C5">
            <v>2033</v>
          </cell>
          <cell r="D5">
            <v>2034</v>
          </cell>
          <cell r="E5">
            <v>2035</v>
          </cell>
          <cell r="F5">
            <v>2036</v>
          </cell>
          <cell r="G5">
            <v>2037</v>
          </cell>
          <cell r="H5">
            <v>2038</v>
          </cell>
          <cell r="I5">
            <v>2039</v>
          </cell>
          <cell r="J5">
            <v>2040</v>
          </cell>
          <cell r="K5">
            <v>2041</v>
          </cell>
          <cell r="L5">
            <v>2042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</row>
        <row r="7">
          <cell r="C7">
            <v>4978022.1532899886</v>
          </cell>
          <cell r="D7">
            <v>4423031.2699840069</v>
          </cell>
          <cell r="E7">
            <v>4693825.6854574978</v>
          </cell>
          <cell r="F7">
            <v>4449187.3158974797</v>
          </cell>
          <cell r="G7">
            <v>4150837.7504282892</v>
          </cell>
          <cell r="H7">
            <v>4481854.4307670891</v>
          </cell>
          <cell r="I7">
            <v>4233192.5713155121</v>
          </cell>
          <cell r="J7">
            <v>5316504.6628028005</v>
          </cell>
          <cell r="K7">
            <v>0</v>
          </cell>
          <cell r="L7">
            <v>0</v>
          </cell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1455912.8002629634</v>
          </cell>
          <cell r="D10">
            <v>1261822.8231552001</v>
          </cell>
          <cell r="E10">
            <v>1492145.714794524</v>
          </cell>
          <cell r="F10">
            <v>1316841.961844705</v>
          </cell>
          <cell r="G10">
            <v>2368.6677862517536</v>
          </cell>
          <cell r="H10">
            <v>-90433.674433946609</v>
          </cell>
          <cell r="I10">
            <v>-127327.12935896218</v>
          </cell>
          <cell r="J10">
            <v>-220403.87808561325</v>
          </cell>
          <cell r="K10">
            <v>0</v>
          </cell>
          <cell r="L10">
            <v>0</v>
          </cell>
        </row>
        <row r="11">
          <cell r="C11">
            <v>-18507484.351099879</v>
          </cell>
          <cell r="D11">
            <v>-17044170.255000174</v>
          </cell>
          <cell r="E11">
            <v>-17106923.74630028</v>
          </cell>
          <cell r="F11">
            <v>-17007468.564200014</v>
          </cell>
          <cell r="G11">
            <v>-17162129.311500072</v>
          </cell>
          <cell r="H11">
            <v>-17896355.018310189</v>
          </cell>
          <cell r="I11">
            <v>-16870329.06850028</v>
          </cell>
          <cell r="J11">
            <v>-16364660.903599262</v>
          </cell>
          <cell r="K11">
            <v>0</v>
          </cell>
          <cell r="L11">
            <v>0</v>
          </cell>
        </row>
        <row r="12">
          <cell r="C12">
            <v>-3126.1929719150066</v>
          </cell>
          <cell r="D12">
            <v>-1811.7567685246468</v>
          </cell>
          <cell r="E12">
            <v>-16353.274342834949</v>
          </cell>
          <cell r="F12">
            <v>-10131.762476474047</v>
          </cell>
          <cell r="G12">
            <v>-8764.8876307010651</v>
          </cell>
          <cell r="H12">
            <v>-16020.311448931694</v>
          </cell>
          <cell r="I12">
            <v>-11039.39435172081</v>
          </cell>
          <cell r="J12">
            <v>-10910.591716766357</v>
          </cell>
          <cell r="K12">
            <v>0</v>
          </cell>
          <cell r="L12">
            <v>0</v>
          </cell>
        </row>
        <row r="13">
          <cell r="C13">
            <v>2295.022520005703</v>
          </cell>
          <cell r="D13">
            <v>1955.9260599911213</v>
          </cell>
          <cell r="E13">
            <v>2085.506500005722</v>
          </cell>
          <cell r="F13">
            <v>984.65653598308563</v>
          </cell>
          <cell r="G13">
            <v>1253.5559200048447</v>
          </cell>
          <cell r="H13">
            <v>1491.4767400026321</v>
          </cell>
          <cell r="I13">
            <v>1926.4090600013733</v>
          </cell>
          <cell r="J13">
            <v>1876.4894999861717</v>
          </cell>
          <cell r="K13" t="e">
            <v>#N/A</v>
          </cell>
          <cell r="L13" t="e">
            <v>#N/A</v>
          </cell>
        </row>
        <row r="14">
          <cell r="C14">
            <v>-4197295.8652670383</v>
          </cell>
          <cell r="D14">
            <v>-4100801.2873228788</v>
          </cell>
          <cell r="E14">
            <v>-4152150.6323779821</v>
          </cell>
          <cell r="F14">
            <v>-4410719.0975050926</v>
          </cell>
          <cell r="G14">
            <v>-1386546.3961789608</v>
          </cell>
          <cell r="H14">
            <v>-1019650.9488479495</v>
          </cell>
          <cell r="I14">
            <v>-992674.76783102751</v>
          </cell>
          <cell r="J14">
            <v>-1089704.4587959945</v>
          </cell>
          <cell r="K14">
            <v>0</v>
          </cell>
          <cell r="L14">
            <v>0</v>
          </cell>
        </row>
        <row r="15">
          <cell r="C15">
            <v>-465627.29868006706</v>
          </cell>
          <cell r="D15">
            <v>-355279.92153000832</v>
          </cell>
          <cell r="E15">
            <v>-397001.20913994312</v>
          </cell>
          <cell r="F15">
            <v>-512733.65120005608</v>
          </cell>
          <cell r="G15">
            <v>-179516.63749998808</v>
          </cell>
          <cell r="H15">
            <v>-189118.31970006227</v>
          </cell>
          <cell r="I15">
            <v>-183681.42719995975</v>
          </cell>
          <cell r="J15">
            <v>-479575.19211995602</v>
          </cell>
          <cell r="K15">
            <v>0</v>
          </cell>
          <cell r="L15">
            <v>0</v>
          </cell>
        </row>
        <row r="16">
          <cell r="C16">
            <v>-31196.297331827926</v>
          </cell>
          <cell r="D16">
            <v>-30607.318698975025</v>
          </cell>
          <cell r="E16">
            <v>-20646.483422830002</v>
          </cell>
          <cell r="F16">
            <v>-12205.254858899862</v>
          </cell>
          <cell r="G16">
            <v>-12340.442238820033</v>
          </cell>
          <cell r="H16">
            <v>-18203.179663730014</v>
          </cell>
          <cell r="I16">
            <v>-16457.509531454998</v>
          </cell>
          <cell r="J16">
            <v>-13621.88283998199</v>
          </cell>
          <cell r="K16">
            <v>0</v>
          </cell>
          <cell r="L16">
            <v>0</v>
          </cell>
        </row>
        <row r="17">
          <cell r="C17">
            <v>-31282.830880697817</v>
          </cell>
          <cell r="D17">
            <v>-12232.813388701528</v>
          </cell>
          <cell r="E17">
            <v>-1702.1566894985735</v>
          </cell>
          <cell r="F17">
            <v>-43035.318152099848</v>
          </cell>
          <cell r="G17">
            <v>-70149.01448199898</v>
          </cell>
          <cell r="H17">
            <v>-44222.977317197248</v>
          </cell>
          <cell r="I17">
            <v>-33990.004659699276</v>
          </cell>
          <cell r="J17">
            <v>-41384.061728103086</v>
          </cell>
          <cell r="K17">
            <v>0</v>
          </cell>
          <cell r="L17">
            <v>0</v>
          </cell>
        </row>
        <row r="18">
          <cell r="C18">
            <v>-5961215.756509997</v>
          </cell>
          <cell r="D18">
            <v>-6940862.2481999993</v>
          </cell>
          <cell r="E18">
            <v>-8059865.4523000121</v>
          </cell>
          <cell r="F18">
            <v>-9205493.9609999955</v>
          </cell>
          <cell r="G18">
            <v>-17677277.545100033</v>
          </cell>
          <cell r="H18">
            <v>-17126319.527999997</v>
          </cell>
          <cell r="I18">
            <v>-19036255.545740038</v>
          </cell>
          <cell r="J18">
            <v>-19438494.426600009</v>
          </cell>
          <cell r="K18">
            <v>0</v>
          </cell>
          <cell r="L18">
            <v>0</v>
          </cell>
        </row>
        <row r="19">
          <cell r="C19">
            <v>-32717042.92324844</v>
          </cell>
          <cell r="D19">
            <v>-31645018.121678077</v>
          </cell>
          <cell r="E19">
            <v>-32954237.41873635</v>
          </cell>
          <cell r="F19">
            <v>-34333148.306909427</v>
          </cell>
          <cell r="G19">
            <v>-40643939.761352606</v>
          </cell>
          <cell r="H19">
            <v>-40880686.911749087</v>
          </cell>
          <cell r="I19">
            <v>-41503021.00942865</v>
          </cell>
          <cell r="J19">
            <v>-42973383.568788499</v>
          </cell>
          <cell r="K19" t="e">
            <v>#N/A</v>
          </cell>
          <cell r="L19" t="e">
            <v>#N/A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e">
            <v>#N/A</v>
          </cell>
          <cell r="L20" t="e">
            <v>#N/A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e">
            <v>#N/A</v>
          </cell>
          <cell r="L21" t="e">
            <v>#N/A</v>
          </cell>
        </row>
        <row r="22">
          <cell r="C22">
            <v>95369.754899999592</v>
          </cell>
          <cell r="D22">
            <v>89220.612700000405</v>
          </cell>
          <cell r="E22">
            <v>89076.558809999842</v>
          </cell>
          <cell r="F22">
            <v>81945.12415000028</v>
          </cell>
          <cell r="G22">
            <v>72771.914189999923</v>
          </cell>
          <cell r="H22">
            <v>80022.954710000195</v>
          </cell>
          <cell r="I22">
            <v>74964.505850000191</v>
          </cell>
          <cell r="J22">
            <v>87866.761819999898</v>
          </cell>
          <cell r="K22">
            <v>0</v>
          </cell>
          <cell r="L22">
            <v>0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-359437.33224100433</v>
          </cell>
          <cell r="D25">
            <v>-348619.12721450068</v>
          </cell>
          <cell r="E25">
            <v>-334599.36616200022</v>
          </cell>
          <cell r="F25">
            <v>-322951.34708700329</v>
          </cell>
          <cell r="G25">
            <v>-309223.39175401069</v>
          </cell>
          <cell r="H25">
            <v>-317506.69680400193</v>
          </cell>
          <cell r="I25">
            <v>-299480.2696630042</v>
          </cell>
          <cell r="J25">
            <v>-298871.74026799761</v>
          </cell>
          <cell r="K25">
            <v>0</v>
          </cell>
          <cell r="L25">
            <v>0</v>
          </cell>
        </row>
        <row r="26">
          <cell r="C26">
            <v>-8287.7436544205993</v>
          </cell>
          <cell r="D26">
            <v>-6593.0397299397737</v>
          </cell>
          <cell r="E26">
            <v>-16589.503449847922</v>
          </cell>
          <cell r="F26">
            <v>-10231.762472480536</v>
          </cell>
          <cell r="G26">
            <v>-8867.0110896993428</v>
          </cell>
          <cell r="H26">
            <v>-17143.62075074017</v>
          </cell>
          <cell r="I26">
            <v>-11614.270070901141</v>
          </cell>
          <cell r="J26">
            <v>-11003.8754586</v>
          </cell>
          <cell r="K26">
            <v>0</v>
          </cell>
          <cell r="L26">
            <v>0</v>
          </cell>
        </row>
        <row r="27">
          <cell r="C27">
            <v>-208297.7878759969</v>
          </cell>
          <cell r="D27">
            <v>-198547.28884700127</v>
          </cell>
          <cell r="E27">
            <v>-202566.5220069997</v>
          </cell>
          <cell r="F27">
            <v>-210369.25765900128</v>
          </cell>
          <cell r="G27">
            <v>-62869.026509003714</v>
          </cell>
          <cell r="H27">
            <v>-48868.295465999283</v>
          </cell>
          <cell r="I27">
            <v>-46563.325205000117</v>
          </cell>
          <cell r="J27">
            <v>-49298.5734029999</v>
          </cell>
          <cell r="K27">
            <v>0</v>
          </cell>
          <cell r="L27">
            <v>0</v>
          </cell>
        </row>
        <row r="28">
          <cell r="C28">
            <v>-12865.199455001391</v>
          </cell>
          <cell r="D28">
            <v>-9774.7485330002382</v>
          </cell>
          <cell r="E28">
            <v>-10891.72848200053</v>
          </cell>
          <cell r="F28">
            <v>-14149.234969999641</v>
          </cell>
          <cell r="G28">
            <v>-4853.2667270004749</v>
          </cell>
          <cell r="H28">
            <v>-4833.1739779990166</v>
          </cell>
          <cell r="I28">
            <v>-4514.523291000165</v>
          </cell>
          <cell r="J28">
            <v>-11353.570094998926</v>
          </cell>
          <cell r="K28">
            <v>0</v>
          </cell>
          <cell r="L28">
            <v>0</v>
          </cell>
        </row>
        <row r="29">
          <cell r="C29">
            <v>-31196.297331828624</v>
          </cell>
          <cell r="D29">
            <v>-30607.318698976189</v>
          </cell>
          <cell r="E29">
            <v>-20646.48342282977</v>
          </cell>
          <cell r="F29">
            <v>-12205.254858899862</v>
          </cell>
          <cell r="G29">
            <v>-12340.442238820717</v>
          </cell>
          <cell r="H29">
            <v>-18203.179663727991</v>
          </cell>
          <cell r="I29">
            <v>-16457.509531456046</v>
          </cell>
          <cell r="J29">
            <v>-13621.88283998426</v>
          </cell>
          <cell r="K29">
            <v>0</v>
          </cell>
          <cell r="L29">
            <v>0</v>
          </cell>
        </row>
        <row r="30">
          <cell r="C30">
            <v>-9042.1041066963226</v>
          </cell>
          <cell r="D30">
            <v>-6195.3918707016855</v>
          </cell>
          <cell r="E30">
            <v>-1702.1566895004362</v>
          </cell>
          <cell r="F30">
            <v>-1951.7909440975636</v>
          </cell>
          <cell r="G30">
            <v>-2702.5063650012016</v>
          </cell>
          <cell r="H30">
            <v>-2374.6153661981225</v>
          </cell>
          <cell r="I30">
            <v>-2090.7117697000504</v>
          </cell>
          <cell r="J30">
            <v>-2281.3825921006501</v>
          </cell>
          <cell r="K30">
            <v>0</v>
          </cell>
          <cell r="L30">
            <v>0</v>
          </cell>
        </row>
        <row r="31">
          <cell r="C31">
            <v>-151503.93566699955</v>
          </cell>
          <cell r="D31">
            <v>-186442.18309700023</v>
          </cell>
          <cell r="E31">
            <v>-199927.14669299964</v>
          </cell>
          <cell r="F31">
            <v>-224595.61924099969</v>
          </cell>
          <cell r="G31">
            <v>-402373.27149000019</v>
          </cell>
          <cell r="H31">
            <v>-387047.59445000021</v>
          </cell>
          <cell r="I31">
            <v>-420314.28365549911</v>
          </cell>
          <cell r="J31">
            <v>-404102.86308200005</v>
          </cell>
          <cell r="K31">
            <v>0</v>
          </cell>
          <cell r="L31">
            <v>0</v>
          </cell>
        </row>
        <row r="32">
          <cell r="C32">
            <v>-876000.15523194731</v>
          </cell>
          <cell r="D32">
            <v>-875999.71069112048</v>
          </cell>
          <cell r="E32">
            <v>-875999.46571617806</v>
          </cell>
          <cell r="F32">
            <v>-878399.39138248214</v>
          </cell>
          <cell r="G32">
            <v>-876000.83036353625</v>
          </cell>
          <cell r="H32">
            <v>-876000.13118866691</v>
          </cell>
          <cell r="I32">
            <v>-875999.39903656102</v>
          </cell>
          <cell r="J32">
            <v>-878400.6495586813</v>
          </cell>
          <cell r="K32">
            <v>0</v>
          </cell>
          <cell r="L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52.197073993843411</v>
          </cell>
          <cell r="D35">
            <v>49.574096569547393</v>
          </cell>
          <cell r="E35">
            <v>52.694286220344686</v>
          </cell>
          <cell r="F35">
            <v>54.294716885818083</v>
          </cell>
          <cell r="G35">
            <v>57.039007378463097</v>
          </cell>
          <cell r="H35">
            <v>56.007110047475003</v>
          </cell>
          <cell r="I35">
            <v>56.469292011153854</v>
          </cell>
          <cell r="J35">
            <v>60.506436708046273</v>
          </cell>
          <cell r="K35">
            <v>0</v>
          </cell>
          <cell r="L35">
            <v>0</v>
          </cell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1.6620006190266792</v>
          </cell>
          <cell r="D38">
            <v>1.4404374884549724</v>
          </cell>
          <cell r="E38">
            <v>1.7033637270253497</v>
          </cell>
          <cell r="F38">
            <v>1.4991380626666573</v>
          </cell>
          <cell r="G38">
            <v>2.7039560970150765E-3</v>
          </cell>
          <cell r="H38">
            <v>-0.10323477270629497</v>
          </cell>
          <cell r="I38">
            <v>-0.14535070400618849</v>
          </cell>
          <cell r="J38">
            <v>-0.25091497620857489</v>
          </cell>
          <cell r="K38">
            <v>0</v>
          </cell>
          <cell r="L38">
            <v>0</v>
          </cell>
        </row>
        <row r="39">
          <cell r="C39">
            <v>51.490156116255967</v>
          </cell>
          <cell r="D39">
            <v>48.890519551192398</v>
          </cell>
          <cell r="E39">
            <v>51.126587424609049</v>
          </cell>
          <cell r="F39">
            <v>52.662633915622564</v>
          </cell>
          <cell r="G39">
            <v>55.500747256380471</v>
          </cell>
          <cell r="H39">
            <v>56.365283625364526</v>
          </cell>
          <cell r="I39">
            <v>56.332021763850868</v>
          </cell>
          <cell r="J39">
            <v>54.754795113533007</v>
          </cell>
          <cell r="K39">
            <v>0</v>
          </cell>
          <cell r="L39">
            <v>0</v>
          </cell>
        </row>
        <row r="40">
          <cell r="C40">
            <v>0.37720676486506993</v>
          </cell>
          <cell r="D40">
            <v>0.27479839993944599</v>
          </cell>
          <cell r="E40">
            <v>0.98576032683997317</v>
          </cell>
          <cell r="F40">
            <v>0.99022651314712884</v>
          </cell>
          <cell r="G40">
            <v>0.98848276403793911</v>
          </cell>
          <cell r="H40">
            <v>0.93447654272450131</v>
          </cell>
          <cell r="I40">
            <v>0.95050263893719444</v>
          </cell>
          <cell r="J40">
            <v>0.99152264652716171</v>
          </cell>
          <cell r="K40">
            <v>0</v>
          </cell>
          <cell r="L40">
            <v>0</v>
          </cell>
        </row>
        <row r="41">
          <cell r="C41">
            <v>20.150458188090589</v>
          </cell>
          <cell r="D41">
            <v>20.65402812164773</v>
          </cell>
          <cell r="E41">
            <v>20.497713991626437</v>
          </cell>
          <cell r="F41">
            <v>20.966557312545458</v>
          </cell>
          <cell r="G41">
            <v>22.054523080302321</v>
          </cell>
          <cell r="H41">
            <v>20.865285746612223</v>
          </cell>
          <cell r="I41">
            <v>21.318811821549868</v>
          </cell>
          <cell r="J41">
            <v>22.104178347880634</v>
          </cell>
          <cell r="K41">
            <v>0</v>
          </cell>
          <cell r="L41">
            <v>0</v>
          </cell>
        </row>
        <row r="42">
          <cell r="C42">
            <v>36.192777291070513</v>
          </cell>
          <cell r="D42">
            <v>36.346707061624997</v>
          </cell>
          <cell r="E42">
            <v>36.44978937879511</v>
          </cell>
          <cell r="F42">
            <v>36.237552933935696</v>
          </cell>
          <cell r="G42">
            <v>36.988825794649244</v>
          </cell>
          <cell r="H42">
            <v>39.129218306840094</v>
          </cell>
          <cell r="I42">
            <v>40.686782492878947</v>
          </cell>
          <cell r="J42">
            <v>42.240034465564406</v>
          </cell>
          <cell r="K42">
            <v>0</v>
          </cell>
          <cell r="L42">
            <v>0</v>
          </cell>
        </row>
        <row r="43">
          <cell r="C43">
            <v>0.99999999999997757</v>
          </cell>
          <cell r="D43">
            <v>0.99999999999996192</v>
          </cell>
          <cell r="E43">
            <v>1.0000000000000113</v>
          </cell>
          <cell r="F43">
            <v>1</v>
          </cell>
          <cell r="G43">
            <v>0.9999999999999446</v>
          </cell>
          <cell r="H43">
            <v>1.000000000000111</v>
          </cell>
          <cell r="I43">
            <v>0.99999999999993638</v>
          </cell>
          <cell r="J43">
            <v>0.99999999999983336</v>
          </cell>
          <cell r="K43">
            <v>0</v>
          </cell>
          <cell r="L43">
            <v>0</v>
          </cell>
        </row>
        <row r="44">
          <cell r="C44">
            <v>3.4596848821427137</v>
          </cell>
          <cell r="D44">
            <v>1.9745019595210931</v>
          </cell>
          <cell r="E44">
            <v>0.99999999999890576</v>
          </cell>
          <cell r="F44">
            <v>22.049143266210713</v>
          </cell>
          <cell r="G44">
            <v>25.957021004821126</v>
          </cell>
          <cell r="H44">
            <v>18.623217025669483</v>
          </cell>
          <cell r="I44">
            <v>16.257623433466271</v>
          </cell>
          <cell r="J44">
            <v>18.139904227987248</v>
          </cell>
          <cell r="K44">
            <v>0</v>
          </cell>
          <cell r="L44">
            <v>0</v>
          </cell>
        </row>
        <row r="45">
          <cell r="C45">
            <v>39.3469366341251</v>
          </cell>
          <cell r="D45">
            <v>37.227960609047784</v>
          </cell>
          <cell r="E45">
            <v>40.314012307075181</v>
          </cell>
          <cell r="F45">
            <v>40.986970236147606</v>
          </cell>
          <cell r="G45">
            <v>43.932534284995</v>
          </cell>
          <cell r="H45">
            <v>44.248613797320523</v>
          </cell>
          <cell r="I45">
            <v>45.290527317274481</v>
          </cell>
          <cell r="J45">
            <v>48.102837674415518</v>
          </cell>
          <cell r="K45">
            <v>0</v>
          </cell>
          <cell r="L45">
            <v>0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</row>
        <row r="47">
          <cell r="C47">
            <v>37.348215896817528</v>
          </cell>
          <cell r="D47">
            <v>36.124461841102345</v>
          </cell>
          <cell r="E47">
            <v>37.619015431469968</v>
          </cell>
          <cell r="F47">
            <v>39.086033806186599</v>
          </cell>
          <cell r="G47">
            <v>46.397147528371136</v>
          </cell>
          <cell r="H47">
            <v>46.667443823640802</v>
          </cell>
          <cell r="I47">
            <v>47.377910367375108</v>
          </cell>
          <cell r="J47">
            <v>48.922303951367553</v>
          </cell>
          <cell r="K47">
            <v>0</v>
          </cell>
          <cell r="L4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08"/>
    </sheetNames>
    <sheetDataSet>
      <sheetData sheetId="0"/>
      <sheetData sheetId="1"/>
      <sheetData sheetId="2">
        <row r="5">
          <cell r="C5">
            <v>2033</v>
          </cell>
          <cell r="D5">
            <v>2034</v>
          </cell>
          <cell r="E5">
            <v>2035</v>
          </cell>
          <cell r="F5">
            <v>2036</v>
          </cell>
          <cell r="G5">
            <v>2037</v>
          </cell>
          <cell r="H5">
            <v>2038</v>
          </cell>
          <cell r="I5">
            <v>2039</v>
          </cell>
          <cell r="J5">
            <v>2040</v>
          </cell>
          <cell r="K5">
            <v>2041</v>
          </cell>
          <cell r="L5">
            <v>2042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</row>
        <row r="7">
          <cell r="C7">
            <v>4921073.5629590154</v>
          </cell>
          <cell r="D7">
            <v>4397686.0674190074</v>
          </cell>
          <cell r="E7">
            <v>4680513.0823374987</v>
          </cell>
          <cell r="F7">
            <v>4437819.1148726046</v>
          </cell>
          <cell r="G7">
            <v>4079372.4578416795</v>
          </cell>
          <cell r="H7">
            <v>4447011.5157184154</v>
          </cell>
          <cell r="I7">
            <v>4256065.8228230029</v>
          </cell>
          <cell r="J7">
            <v>5315705.8177366108</v>
          </cell>
          <cell r="K7">
            <v>0</v>
          </cell>
          <cell r="L7">
            <v>0</v>
          </cell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1453547.4003162645</v>
          </cell>
          <cell r="D10">
            <v>1258975.1199700087</v>
          </cell>
          <cell r="E10">
            <v>1492778.3101737853</v>
          </cell>
          <cell r="F10">
            <v>1316587.4644785915</v>
          </cell>
          <cell r="G10">
            <v>-6058.6823555715382</v>
          </cell>
          <cell r="H10">
            <v>-92976.079242914915</v>
          </cell>
          <cell r="I10">
            <v>-135043.53387928009</v>
          </cell>
          <cell r="J10">
            <v>-222369.45650160313</v>
          </cell>
          <cell r="K10">
            <v>0</v>
          </cell>
          <cell r="L10">
            <v>0</v>
          </cell>
        </row>
        <row r="11">
          <cell r="C11">
            <v>-18481973.878600001</v>
          </cell>
          <cell r="D11">
            <v>-17025001.733099878</v>
          </cell>
          <cell r="E11">
            <v>-17052046.07852</v>
          </cell>
          <cell r="F11">
            <v>-16964532.147199929</v>
          </cell>
          <cell r="G11">
            <v>-17163411.919299901</v>
          </cell>
          <cell r="H11">
            <v>-17821271.057399511</v>
          </cell>
          <cell r="I11">
            <v>-16789153.98390007</v>
          </cell>
          <cell r="J11">
            <v>-16281514.80499959</v>
          </cell>
          <cell r="K11">
            <v>0</v>
          </cell>
          <cell r="L11">
            <v>0</v>
          </cell>
        </row>
        <row r="12">
          <cell r="C12">
            <v>-3051.8175691366196</v>
          </cell>
          <cell r="D12">
            <v>-1857.2044767737389</v>
          </cell>
          <cell r="E12">
            <v>-16547.784690797329</v>
          </cell>
          <cell r="F12">
            <v>-10177.297441065311</v>
          </cell>
          <cell r="G12">
            <v>-8901.8707233071327</v>
          </cell>
          <cell r="H12">
            <v>-16299.630692005157</v>
          </cell>
          <cell r="I12">
            <v>-11244.509213924408</v>
          </cell>
          <cell r="J12">
            <v>-10946.691710233688</v>
          </cell>
          <cell r="K12">
            <v>0</v>
          </cell>
          <cell r="L12">
            <v>0</v>
          </cell>
        </row>
        <row r="13">
          <cell r="C13">
            <v>2650.6547999978065</v>
          </cell>
          <cell r="D13">
            <v>1971.1114799976349</v>
          </cell>
          <cell r="E13">
            <v>1951.6252999901772</v>
          </cell>
          <cell r="F13">
            <v>1591.3395000100136</v>
          </cell>
          <cell r="G13">
            <v>1287.4168599843979</v>
          </cell>
          <cell r="H13">
            <v>1955.5234799981117</v>
          </cell>
          <cell r="I13">
            <v>1880.2515600025654</v>
          </cell>
          <cell r="J13">
            <v>2114.3923000097275</v>
          </cell>
          <cell r="K13" t="e">
            <v>#N/A</v>
          </cell>
          <cell r="L13" t="e">
            <v>#N/A</v>
          </cell>
        </row>
        <row r="14">
          <cell r="C14">
            <v>-4224224.2604470253</v>
          </cell>
          <cell r="D14">
            <v>-4111091.8772431612</v>
          </cell>
          <cell r="E14">
            <v>-4171274.0452080369</v>
          </cell>
          <cell r="F14">
            <v>-4426673.8632949591</v>
          </cell>
          <cell r="G14">
            <v>-1402931.5593290329</v>
          </cell>
          <cell r="H14">
            <v>-1030426.643907994</v>
          </cell>
          <cell r="I14">
            <v>-1005847.7031810284</v>
          </cell>
          <cell r="J14">
            <v>-1097670.9606360197</v>
          </cell>
          <cell r="K14">
            <v>0</v>
          </cell>
          <cell r="L14">
            <v>0</v>
          </cell>
        </row>
        <row r="15">
          <cell r="C15">
            <v>-463788.55675005913</v>
          </cell>
          <cell r="D15">
            <v>-352546.08562999964</v>
          </cell>
          <cell r="E15">
            <v>-390265.92016994953</v>
          </cell>
          <cell r="F15">
            <v>-511757.97369992733</v>
          </cell>
          <cell r="G15">
            <v>-172724.1441000104</v>
          </cell>
          <cell r="H15">
            <v>-188892.10979998112</v>
          </cell>
          <cell r="I15">
            <v>-171963.39879989624</v>
          </cell>
          <cell r="J15">
            <v>-492888.65857994556</v>
          </cell>
          <cell r="K15">
            <v>0</v>
          </cell>
          <cell r="L15">
            <v>0</v>
          </cell>
        </row>
        <row r="16">
          <cell r="C16">
            <v>-31003.220665995032</v>
          </cell>
          <cell r="D16">
            <v>-30720.415606775088</v>
          </cell>
          <cell r="E16">
            <v>-20672.771264049923</v>
          </cell>
          <cell r="F16">
            <v>-12135.125404149992</v>
          </cell>
          <cell r="G16">
            <v>-12286.630046740014</v>
          </cell>
          <cell r="H16">
            <v>-18252.68145344597</v>
          </cell>
          <cell r="I16">
            <v>-16328.685348217026</v>
          </cell>
          <cell r="J16">
            <v>-14010.244817371975</v>
          </cell>
          <cell r="K16">
            <v>0</v>
          </cell>
          <cell r="L16">
            <v>0</v>
          </cell>
        </row>
        <row r="17">
          <cell r="C17">
            <v>-33669.295131295919</v>
          </cell>
          <cell r="D17">
            <v>-11946.07611579448</v>
          </cell>
          <cell r="E17">
            <v>-1707.0082429461181</v>
          </cell>
          <cell r="F17">
            <v>-44663.431828299072</v>
          </cell>
          <cell r="G17">
            <v>-73872.50955200009</v>
          </cell>
          <cell r="H17">
            <v>-51220.301683599129</v>
          </cell>
          <cell r="I17">
            <v>-34650.03771270439</v>
          </cell>
          <cell r="J17">
            <v>-40198.010415997356</v>
          </cell>
          <cell r="K17">
            <v>0</v>
          </cell>
          <cell r="L17">
            <v>0</v>
          </cell>
        </row>
        <row r="18">
          <cell r="C18">
            <v>-5973656.1231500059</v>
          </cell>
          <cell r="D18">
            <v>-6952467.7091699913</v>
          </cell>
          <cell r="E18">
            <v>-8080020.959239997</v>
          </cell>
          <cell r="F18">
            <v>-9216702.8552999943</v>
          </cell>
          <cell r="G18">
            <v>-17690713.194300056</v>
          </cell>
          <cell r="H18">
            <v>-17161780.576999962</v>
          </cell>
          <cell r="I18">
            <v>-19065156.841600001</v>
          </cell>
          <cell r="J18">
            <v>-19467323.964899987</v>
          </cell>
          <cell r="K18">
            <v>0</v>
          </cell>
          <cell r="L18">
            <v>0</v>
          </cell>
        </row>
        <row r="19">
          <cell r="C19">
            <v>-32676242.660156272</v>
          </cell>
          <cell r="D19">
            <v>-31622370.937311374</v>
          </cell>
          <cell r="E19">
            <v>-32918317.714199498</v>
          </cell>
          <cell r="F19">
            <v>-34306283.005062327</v>
          </cell>
          <cell r="G19">
            <v>-40608985.550688311</v>
          </cell>
          <cell r="H19">
            <v>-40826175.073417835</v>
          </cell>
          <cell r="I19">
            <v>-41483574.264898121</v>
          </cell>
          <cell r="J19">
            <v>-42940514.21799735</v>
          </cell>
          <cell r="K19" t="e">
            <v>#N/A</v>
          </cell>
          <cell r="L19" t="e">
            <v>#N/A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e">
            <v>#N/A</v>
          </cell>
          <cell r="L20" t="e">
            <v>#N/A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e">
            <v>#N/A</v>
          </cell>
          <cell r="L21" t="e">
            <v>#N/A</v>
          </cell>
        </row>
        <row r="22">
          <cell r="C22">
            <v>94533.059400000609</v>
          </cell>
          <cell r="D22">
            <v>88763.922799999593</v>
          </cell>
          <cell r="E22">
            <v>89050.398274000501</v>
          </cell>
          <cell r="F22">
            <v>81159.199980000034</v>
          </cell>
          <cell r="G22">
            <v>72025.453940000036</v>
          </cell>
          <cell r="H22">
            <v>79683.818519999972</v>
          </cell>
          <cell r="I22">
            <v>75294.620200000121</v>
          </cell>
          <cell r="J22">
            <v>87562.660740000429</v>
          </cell>
          <cell r="K22">
            <v>0</v>
          </cell>
          <cell r="L22">
            <v>0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-358626.42676400021</v>
          </cell>
          <cell r="D25">
            <v>-348230.62603999861</v>
          </cell>
          <cell r="E25">
            <v>-333293.90466020256</v>
          </cell>
          <cell r="F25">
            <v>-322574.46162500978</v>
          </cell>
          <cell r="G25">
            <v>-308860.91561299376</v>
          </cell>
          <cell r="H25">
            <v>-316105.4540610034</v>
          </cell>
          <cell r="I25">
            <v>-298215.8221539855</v>
          </cell>
          <cell r="J25">
            <v>-297623.77727100253</v>
          </cell>
          <cell r="K25">
            <v>0</v>
          </cell>
          <cell r="L25">
            <v>0</v>
          </cell>
        </row>
        <row r="26">
          <cell r="C26">
            <v>-8176.7522875405848</v>
          </cell>
          <cell r="D26">
            <v>-6586.3145015928894</v>
          </cell>
          <cell r="E26">
            <v>-16766.419856831431</v>
          </cell>
          <cell r="F26">
            <v>-10277.297437079251</v>
          </cell>
          <cell r="G26">
            <v>-9004.2334363032132</v>
          </cell>
          <cell r="H26">
            <v>-17392.44732340984</v>
          </cell>
          <cell r="I26">
            <v>-11798.72365405038</v>
          </cell>
          <cell r="J26">
            <v>-11029.106080181897</v>
          </cell>
          <cell r="K26">
            <v>0</v>
          </cell>
          <cell r="L26">
            <v>0</v>
          </cell>
        </row>
        <row r="27">
          <cell r="C27">
            <v>-209462.14771999978</v>
          </cell>
          <cell r="D27">
            <v>-199007.9528990034</v>
          </cell>
          <cell r="E27">
            <v>-203301.64374899492</v>
          </cell>
          <cell r="F27">
            <v>-211047.40538500063</v>
          </cell>
          <cell r="G27">
            <v>-63543.957223000005</v>
          </cell>
          <cell r="H27">
            <v>-49383.774441000074</v>
          </cell>
          <cell r="I27">
            <v>-47199.132591000758</v>
          </cell>
          <cell r="J27">
            <v>-49663.932728000917</v>
          </cell>
          <cell r="K27">
            <v>0</v>
          </cell>
          <cell r="L27">
            <v>0</v>
          </cell>
        </row>
        <row r="28">
          <cell r="C28">
            <v>-12823.842511000112</v>
          </cell>
          <cell r="D28">
            <v>-9698.6052140006796</v>
          </cell>
          <cell r="E28">
            <v>-10711.73699399922</v>
          </cell>
          <cell r="F28">
            <v>-14116.038150000386</v>
          </cell>
          <cell r="G28">
            <v>-4679.0333559988067</v>
          </cell>
          <cell r="H28">
            <v>-4812.7088230000809</v>
          </cell>
          <cell r="I28">
            <v>-4230.1405629999936</v>
          </cell>
          <cell r="J28">
            <v>-11628.578372998163</v>
          </cell>
          <cell r="K28">
            <v>0</v>
          </cell>
          <cell r="L28">
            <v>0</v>
          </cell>
        </row>
        <row r="29">
          <cell r="C29">
            <v>-31003.220665995032</v>
          </cell>
          <cell r="D29">
            <v>-30720.415606776252</v>
          </cell>
          <cell r="E29">
            <v>-20672.771264049225</v>
          </cell>
          <cell r="F29">
            <v>-12135.125404151157</v>
          </cell>
          <cell r="G29">
            <v>-12286.630046739243</v>
          </cell>
          <cell r="H29">
            <v>-18252.681453446858</v>
          </cell>
          <cell r="I29">
            <v>-16328.685348217376</v>
          </cell>
          <cell r="J29">
            <v>-14010.244817373343</v>
          </cell>
          <cell r="K29">
            <v>0</v>
          </cell>
          <cell r="L29">
            <v>0</v>
          </cell>
        </row>
        <row r="30">
          <cell r="C30">
            <v>-9470.7284182999283</v>
          </cell>
          <cell r="D30">
            <v>-6152.4519197959453</v>
          </cell>
          <cell r="E30">
            <v>-1707.0082429423928</v>
          </cell>
          <cell r="F30">
            <v>-2090.4178043007851</v>
          </cell>
          <cell r="G30">
            <v>-2805.5320219993591</v>
          </cell>
          <cell r="H30">
            <v>-2524.1176006011665</v>
          </cell>
          <cell r="I30">
            <v>-2147.6517407000065</v>
          </cell>
          <cell r="J30">
            <v>-2315.4316209964454</v>
          </cell>
          <cell r="K30">
            <v>0</v>
          </cell>
          <cell r="L30">
            <v>0</v>
          </cell>
        </row>
        <row r="31">
          <cell r="C31">
            <v>-151904.23579300009</v>
          </cell>
          <cell r="D31">
            <v>-186839.17521569971</v>
          </cell>
          <cell r="E31">
            <v>-200496.13650700008</v>
          </cell>
          <cell r="F31">
            <v>-225000.85028099967</v>
          </cell>
          <cell r="G31">
            <v>-402794.60895000026</v>
          </cell>
          <cell r="H31">
            <v>-387845.55543000018</v>
          </cell>
          <cell r="I31">
            <v>-420785.05404800083</v>
          </cell>
          <cell r="J31">
            <v>-404566.43046199996</v>
          </cell>
          <cell r="K31">
            <v>0</v>
          </cell>
          <cell r="L31">
            <v>0</v>
          </cell>
        </row>
        <row r="32">
          <cell r="C32">
            <v>-876000.41355983634</v>
          </cell>
          <cell r="D32">
            <v>-875999.46419686708</v>
          </cell>
          <cell r="E32">
            <v>-876000.01954802033</v>
          </cell>
          <cell r="F32">
            <v>-878400.79606654169</v>
          </cell>
          <cell r="G32">
            <v>-876000.36458703468</v>
          </cell>
          <cell r="H32">
            <v>-876000.55765246158</v>
          </cell>
          <cell r="I32">
            <v>-875999.83029895497</v>
          </cell>
          <cell r="J32">
            <v>-878400.16209255368</v>
          </cell>
          <cell r="K32">
            <v>0</v>
          </cell>
          <cell r="L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52.056641287111283</v>
          </cell>
          <cell r="D35">
            <v>49.543620073301085</v>
          </cell>
          <cell r="E35">
            <v>52.560271184144042</v>
          </cell>
          <cell r="F35">
            <v>54.680419668579916</v>
          </cell>
          <cell r="G35">
            <v>56.637927769812507</v>
          </cell>
          <cell r="H35">
            <v>55.808212988716811</v>
          </cell>
          <cell r="I35">
            <v>56.525496928172245</v>
          </cell>
          <cell r="J35">
            <v>60.707449645922956</v>
          </cell>
          <cell r="K35">
            <v>0</v>
          </cell>
          <cell r="L35">
            <v>0</v>
          </cell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1.6592999019366079</v>
          </cell>
          <cell r="D38">
            <v>1.437187089063189</v>
          </cell>
          <cell r="E38">
            <v>1.7040847909387</v>
          </cell>
          <cell r="F38">
            <v>1.4988459372694554</v>
          </cell>
          <cell r="G38">
            <v>-6.9163011803399545E-3</v>
          </cell>
          <cell r="H38">
            <v>-0.10613700919560556</v>
          </cell>
          <cell r="I38">
            <v>-0.15415931511447142</v>
          </cell>
          <cell r="J38">
            <v>-0.25315279538640717</v>
          </cell>
          <cell r="K38">
            <v>0</v>
          </cell>
          <cell r="L38">
            <v>0</v>
          </cell>
        </row>
        <row r="39">
          <cell r="C39">
            <v>51.535448866299966</v>
          </cell>
          <cell r="D39">
            <v>48.890018453300385</v>
          </cell>
          <cell r="E39">
            <v>51.162190007359364</v>
          </cell>
          <cell r="F39">
            <v>52.591057772332462</v>
          </cell>
          <cell r="G39">
            <v>55.570035092448705</v>
          </cell>
          <cell r="H39">
            <v>56.377613320016572</v>
          </cell>
          <cell r="I39">
            <v>56.298669408730738</v>
          </cell>
          <cell r="J39">
            <v>54.705020392824295</v>
          </cell>
          <cell r="K39">
            <v>0</v>
          </cell>
          <cell r="L39">
            <v>0</v>
          </cell>
        </row>
        <row r="40">
          <cell r="C40">
            <v>0.37323101664543024</v>
          </cell>
          <cell r="D40">
            <v>0.28197931883219013</v>
          </cell>
          <cell r="E40">
            <v>0.98695993730915543</v>
          </cell>
          <cell r="F40">
            <v>0.99026981590966201</v>
          </cell>
          <cell r="G40">
            <v>0.98863171265825078</v>
          </cell>
          <cell r="H40">
            <v>0.93716717313648112</v>
          </cell>
          <cell r="I40">
            <v>0.95302759379946012</v>
          </cell>
          <cell r="J40">
            <v>0.99252755668963077</v>
          </cell>
          <cell r="K40">
            <v>0</v>
          </cell>
          <cell r="L40">
            <v>0</v>
          </cell>
        </row>
        <row r="41">
          <cell r="C41">
            <v>20.167005382250693</v>
          </cell>
          <cell r="D41">
            <v>20.657927572017897</v>
          </cell>
          <cell r="E41">
            <v>20.51766020326955</v>
          </cell>
          <cell r="F41">
            <v>20.974784576098692</v>
          </cell>
          <cell r="G41">
            <v>22.078127026392306</v>
          </cell>
          <cell r="H41">
            <v>20.865692336641224</v>
          </cell>
          <cell r="I41">
            <v>21.310724328285829</v>
          </cell>
          <cell r="J41">
            <v>22.101974216333943</v>
          </cell>
          <cell r="K41">
            <v>0</v>
          </cell>
          <cell r="L41">
            <v>0</v>
          </cell>
        </row>
        <row r="42">
          <cell r="C42">
            <v>36.166114513043013</v>
          </cell>
          <cell r="D42">
            <v>36.350184160612329</v>
          </cell>
          <cell r="E42">
            <v>36.433486033925107</v>
          </cell>
          <cell r="F42">
            <v>36.253654762183636</v>
          </cell>
          <cell r="G42">
            <v>36.914493007101029</v>
          </cell>
          <cell r="H42">
            <v>39.248605462532872</v>
          </cell>
          <cell r="I42">
            <v>40.651934903539164</v>
          </cell>
          <cell r="J42">
            <v>42.385977268248439</v>
          </cell>
          <cell r="K42">
            <v>0</v>
          </cell>
          <cell r="L42">
            <v>0</v>
          </cell>
        </row>
        <row r="43">
          <cell r="C43">
            <v>1</v>
          </cell>
          <cell r="D43">
            <v>0.99999999999996214</v>
          </cell>
          <cell r="E43">
            <v>1.0000000000000338</v>
          </cell>
          <cell r="F43">
            <v>0.99999999999990408</v>
          </cell>
          <cell r="G43">
            <v>1.0000000000000628</v>
          </cell>
          <cell r="H43">
            <v>0.99999999999995137</v>
          </cell>
          <cell r="I43">
            <v>0.99999999999997857</v>
          </cell>
          <cell r="J43">
            <v>0.99999999999990241</v>
          </cell>
          <cell r="K43">
            <v>0</v>
          </cell>
          <cell r="L43">
            <v>0</v>
          </cell>
        </row>
        <row r="44">
          <cell r="C44">
            <v>3.5550903419675746</v>
          </cell>
          <cell r="D44">
            <v>1.9416772811108272</v>
          </cell>
          <cell r="E44">
            <v>1.0000000000021823</v>
          </cell>
          <cell r="F44">
            <v>21.365791917964625</v>
          </cell>
          <cell r="G44">
            <v>26.331016353666474</v>
          </cell>
          <cell r="H44">
            <v>20.292359465105765</v>
          </cell>
          <cell r="I44">
            <v>16.133918295994555</v>
          </cell>
          <cell r="J44">
            <v>17.360914505736151</v>
          </cell>
          <cell r="K44">
            <v>0</v>
          </cell>
          <cell r="L44">
            <v>0</v>
          </cell>
        </row>
        <row r="45">
          <cell r="C45">
            <v>39.325145161128404</v>
          </cell>
          <cell r="D45">
            <v>37.210974096538344</v>
          </cell>
          <cell r="E45">
            <v>40.300132960207407</v>
          </cell>
          <cell r="F45">
            <v>40.962969001181165</v>
          </cell>
          <cell r="G45">
            <v>43.919935374547279</v>
          </cell>
          <cell r="H45">
            <v>44.249006690234935</v>
          </cell>
          <cell r="I45">
            <v>45.308540924139272</v>
          </cell>
          <cell r="J45">
            <v>48.118979972384317</v>
          </cell>
          <cell r="K45">
            <v>0</v>
          </cell>
          <cell r="L45">
            <v>0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</row>
        <row r="47">
          <cell r="C47">
            <v>37.301629262215272</v>
          </cell>
          <cell r="D47">
            <v>36.098619040028026</v>
          </cell>
          <cell r="E47">
            <v>37.577987419662371</v>
          </cell>
          <cell r="F47">
            <v>39.05538696991745</v>
          </cell>
          <cell r="G47">
            <v>46.357270147749603</v>
          </cell>
          <cell r="H47">
            <v>46.605193018170347</v>
          </cell>
          <cell r="I47">
            <v>47.355687558456381</v>
          </cell>
          <cell r="J47">
            <v>48.884911537018674</v>
          </cell>
          <cell r="K47">
            <v>0</v>
          </cell>
          <cell r="L4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112"/>
    </sheetNames>
    <sheetDataSet>
      <sheetData sheetId="0"/>
      <sheetData sheetId="1">
        <row r="13">
          <cell r="B13">
            <v>2023</v>
          </cell>
          <cell r="C13">
            <v>0</v>
          </cell>
        </row>
        <row r="14">
          <cell r="B14">
            <v>2024</v>
          </cell>
          <cell r="C14">
            <v>0</v>
          </cell>
        </row>
        <row r="15">
          <cell r="B15">
            <v>2025</v>
          </cell>
          <cell r="C15">
            <v>0</v>
          </cell>
        </row>
        <row r="16">
          <cell r="B16">
            <v>2026</v>
          </cell>
          <cell r="C16">
            <v>0</v>
          </cell>
        </row>
        <row r="17">
          <cell r="B17">
            <v>2027</v>
          </cell>
          <cell r="C17">
            <v>0</v>
          </cell>
        </row>
        <row r="18">
          <cell r="B18">
            <v>2028</v>
          </cell>
          <cell r="C18">
            <v>0</v>
          </cell>
        </row>
        <row r="19">
          <cell r="B19">
            <v>2029</v>
          </cell>
          <cell r="C19">
            <v>0</v>
          </cell>
        </row>
        <row r="20">
          <cell r="B20">
            <v>2030</v>
          </cell>
          <cell r="C20">
            <v>0</v>
          </cell>
        </row>
        <row r="21">
          <cell r="B21">
            <v>2031</v>
          </cell>
          <cell r="C21">
            <v>119.28815572074085</v>
          </cell>
        </row>
        <row r="22">
          <cell r="B22">
            <v>2032</v>
          </cell>
          <cell r="C22">
            <v>121.85224839400429</v>
          </cell>
        </row>
        <row r="23">
          <cell r="B23">
            <v>2033</v>
          </cell>
          <cell r="C23">
            <v>124.47537473233405</v>
          </cell>
        </row>
        <row r="24">
          <cell r="B24">
            <v>2034</v>
          </cell>
          <cell r="C24">
            <v>127.1627408993576</v>
          </cell>
        </row>
        <row r="25">
          <cell r="B25">
            <v>2035</v>
          </cell>
          <cell r="C25">
            <v>129.90364025695931</v>
          </cell>
        </row>
        <row r="26">
          <cell r="B26">
            <v>2036</v>
          </cell>
          <cell r="C26">
            <v>132.69807280513919</v>
          </cell>
        </row>
        <row r="27">
          <cell r="B27">
            <v>2037</v>
          </cell>
          <cell r="C27">
            <v>135.55674518201286</v>
          </cell>
        </row>
        <row r="28">
          <cell r="B28">
            <v>2038</v>
          </cell>
          <cell r="C28">
            <v>138.46895074946465</v>
          </cell>
        </row>
        <row r="29">
          <cell r="B29">
            <v>2039</v>
          </cell>
          <cell r="C29">
            <v>141.45610278372592</v>
          </cell>
        </row>
        <row r="30">
          <cell r="B30">
            <v>2040</v>
          </cell>
          <cell r="C30">
            <v>144.50749464668095</v>
          </cell>
        </row>
        <row r="31">
          <cell r="B31">
            <v>2041</v>
          </cell>
          <cell r="C31" t="e">
            <v>#N/A</v>
          </cell>
        </row>
        <row r="32">
          <cell r="B32">
            <v>2042</v>
          </cell>
          <cell r="C32" t="e">
            <v>#N/A</v>
          </cell>
        </row>
        <row r="33">
          <cell r="B33">
            <v>2043</v>
          </cell>
          <cell r="C33" t="e">
            <v>#N/A</v>
          </cell>
        </row>
        <row r="34">
          <cell r="B34">
            <v>2044</v>
          </cell>
          <cell r="C34" t="e">
            <v>#N/A</v>
          </cell>
        </row>
        <row r="35">
          <cell r="B35"/>
          <cell r="C3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C2:J29"/>
  <sheetViews>
    <sheetView zoomScale="80" zoomScaleNormal="80" workbookViewId="0">
      <selection activeCell="D15" sqref="D15"/>
    </sheetView>
  </sheetViews>
  <sheetFormatPr defaultColWidth="9.140625" defaultRowHeight="12.75" x14ac:dyDescent="0.2"/>
  <cols>
    <col min="1" max="1" width="9.140625" style="56"/>
    <col min="2" max="2" width="12.28515625" style="56" customWidth="1"/>
    <col min="3" max="3" width="22" style="56" customWidth="1"/>
    <col min="4" max="4" width="9.140625" style="56"/>
    <col min="5" max="5" width="11.28515625" style="56" customWidth="1"/>
    <col min="6" max="16384" width="9.140625" style="56"/>
  </cols>
  <sheetData>
    <row r="2" spans="3:10" x14ac:dyDescent="0.2">
      <c r="C2" s="54" t="str">
        <f>LEFT(Incremental!$B$29,50)</f>
        <v xml:space="preserve">Nominal Levelized Payment at 6.880% Discount Rate </v>
      </c>
      <c r="D2" s="55"/>
      <c r="E2" s="55"/>
      <c r="F2" s="55"/>
      <c r="G2" s="55"/>
      <c r="H2" s="55"/>
      <c r="I2" s="55"/>
      <c r="J2" s="55"/>
    </row>
    <row r="3" spans="3:10" ht="15.75" customHeight="1" x14ac:dyDescent="0.2">
      <c r="C3" s="55"/>
      <c r="D3" s="54" t="str">
        <f>Incremental!B30</f>
        <v>2023 - 2037</v>
      </c>
      <c r="E3" s="54"/>
      <c r="F3" s="86" t="str">
        <f>Incremental!B31</f>
        <v>2024 - 2038</v>
      </c>
      <c r="G3" s="86"/>
      <c r="H3" s="57" t="str">
        <f>Incremental!B32</f>
        <v>2025 - 2039</v>
      </c>
      <c r="I3" s="58"/>
      <c r="J3" s="55"/>
    </row>
    <row r="4" spans="3:10" x14ac:dyDescent="0.2">
      <c r="C4" s="59" t="s">
        <v>24</v>
      </c>
      <c r="D4" s="60">
        <f>Total!$C$30</f>
        <v>49.89</v>
      </c>
      <c r="E4" s="60"/>
      <c r="F4" s="60">
        <f>Total!$C$31</f>
        <v>49.42</v>
      </c>
      <c r="G4" s="60"/>
      <c r="H4" s="60">
        <f>Total!$C$32</f>
        <v>48.38</v>
      </c>
      <c r="I4" s="60"/>
      <c r="J4" s="55"/>
    </row>
    <row r="5" spans="3:10" x14ac:dyDescent="0.2">
      <c r="C5" s="61" t="str">
        <f>Incremental!C7</f>
        <v>OFPC</v>
      </c>
      <c r="D5" s="60"/>
      <c r="E5" s="60" t="str">
        <f>TEXT(Incremental!$C$30,"$0.00")</f>
        <v>$5.31</v>
      </c>
      <c r="F5" s="60"/>
      <c r="G5" s="60" t="str">
        <f>TEXT(Incremental!$C$31,"$0.00")</f>
        <v>$4.64</v>
      </c>
      <c r="H5" s="60"/>
      <c r="I5" s="60" t="str">
        <f>TEXT(Incremental!$C$32,"$0.00")</f>
        <v>$3.96</v>
      </c>
      <c r="J5" s="55"/>
    </row>
    <row r="6" spans="3:10" x14ac:dyDescent="0.2">
      <c r="C6" s="61" t="str">
        <f>Incremental!D7</f>
        <v>Queue</v>
      </c>
      <c r="D6" s="60"/>
      <c r="E6" s="60" t="str">
        <f>TEXT(Incremental!$D$30,"$0.00")</f>
        <v>-$0.10</v>
      </c>
      <c r="F6" s="60"/>
      <c r="G6" s="60" t="str">
        <f>TEXT(Incremental!$D$31,"$0.00")</f>
        <v>-$0.12</v>
      </c>
      <c r="H6" s="60"/>
      <c r="I6" s="60" t="str">
        <f>TEXT(Incremental!$D$32,"$0.00")</f>
        <v>-$0.11</v>
      </c>
      <c r="J6" s="55"/>
    </row>
    <row r="7" spans="3:10" x14ac:dyDescent="0.2">
      <c r="C7" s="55" t="s">
        <v>25</v>
      </c>
      <c r="D7" s="60">
        <f>Total!E30</f>
        <v>55.1</v>
      </c>
      <c r="E7" s="60"/>
      <c r="F7" s="60">
        <f>Total!E31</f>
        <v>53.94</v>
      </c>
      <c r="G7" s="60"/>
      <c r="H7" s="60">
        <f>Total!E32</f>
        <v>52.23</v>
      </c>
      <c r="I7" s="60"/>
      <c r="J7" s="55"/>
    </row>
    <row r="8" spans="3:10" x14ac:dyDescent="0.2">
      <c r="C8" s="55"/>
      <c r="D8" s="62"/>
      <c r="E8" s="62"/>
      <c r="F8" s="55"/>
      <c r="G8" s="55"/>
      <c r="H8" s="55"/>
      <c r="I8" s="55"/>
      <c r="J8" s="55"/>
    </row>
    <row r="9" spans="3:10" x14ac:dyDescent="0.2">
      <c r="C9" s="55"/>
      <c r="D9" s="62"/>
      <c r="E9" s="62"/>
      <c r="F9" s="55"/>
      <c r="G9" s="55"/>
      <c r="H9" s="55"/>
      <c r="I9" s="55"/>
      <c r="J9" s="55"/>
    </row>
    <row r="10" spans="3:10" x14ac:dyDescent="0.2">
      <c r="D10" s="73"/>
    </row>
    <row r="11" spans="3:10" x14ac:dyDescent="0.2">
      <c r="D11" s="85"/>
    </row>
    <row r="21" spans="3:10" x14ac:dyDescent="0.2">
      <c r="C21" s="63"/>
      <c r="D21" s="64"/>
      <c r="E21" s="64"/>
      <c r="F21" s="64"/>
      <c r="G21" s="64"/>
      <c r="H21" s="64"/>
      <c r="I21" s="64"/>
      <c r="J21" s="64"/>
    </row>
    <row r="22" spans="3:10" x14ac:dyDescent="0.2">
      <c r="C22"/>
      <c r="D22"/>
      <c r="E22"/>
      <c r="F22"/>
      <c r="G22"/>
      <c r="H22"/>
      <c r="I22"/>
      <c r="J22"/>
    </row>
    <row r="23" spans="3:10" x14ac:dyDescent="0.2">
      <c r="C23" s="65"/>
      <c r="D23"/>
      <c r="E23" s="66"/>
      <c r="F23" s="67"/>
      <c r="G23" s="67"/>
      <c r="H23"/>
      <c r="I23"/>
      <c r="J23"/>
    </row>
    <row r="24" spans="3:10" x14ac:dyDescent="0.2">
      <c r="C24"/>
      <c r="D24"/>
      <c r="E24" s="66"/>
      <c r="F24" s="66"/>
      <c r="G24" s="66"/>
      <c r="H24" s="68"/>
      <c r="I24" s="68"/>
      <c r="J24" s="68"/>
    </row>
    <row r="25" spans="3:10" x14ac:dyDescent="0.2">
      <c r="C25"/>
      <c r="D25"/>
      <c r="E25" s="66"/>
      <c r="F25" s="66"/>
      <c r="G25" s="66"/>
      <c r="H25" s="68"/>
      <c r="I25" s="68"/>
      <c r="J25" s="68"/>
    </row>
    <row r="26" spans="3:10" x14ac:dyDescent="0.2">
      <c r="C26"/>
      <c r="D26"/>
      <c r="E26" s="66"/>
      <c r="F26" s="66"/>
      <c r="G26" s="66"/>
      <c r="H26" s="68"/>
      <c r="I26" s="68"/>
      <c r="J26" s="68"/>
    </row>
    <row r="27" spans="3:10" x14ac:dyDescent="0.2">
      <c r="C27"/>
      <c r="D27"/>
      <c r="E27" s="66"/>
      <c r="F27" s="66"/>
      <c r="G27" s="66"/>
      <c r="H27" s="68"/>
      <c r="I27" s="68"/>
      <c r="J27" s="68"/>
    </row>
    <row r="28" spans="3:10" x14ac:dyDescent="0.2">
      <c r="C28"/>
      <c r="D28"/>
      <c r="E28" s="66"/>
      <c r="F28" s="66"/>
      <c r="G28" s="66"/>
      <c r="H28" s="68"/>
      <c r="I28" s="68"/>
      <c r="J28" s="68"/>
    </row>
    <row r="29" spans="3:10" x14ac:dyDescent="0.2">
      <c r="C29"/>
      <c r="D29"/>
      <c r="E29" s="66"/>
      <c r="F29" s="66"/>
      <c r="G29" s="66"/>
      <c r="H29" s="68"/>
      <c r="I29" s="68"/>
      <c r="J29" s="68"/>
    </row>
  </sheetData>
  <mergeCells count="1">
    <mergeCell ref="F3:G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2"/>
    <pageSetUpPr fitToPage="1"/>
  </sheetPr>
  <dimension ref="B1:H41"/>
  <sheetViews>
    <sheetView showGridLines="0" tabSelected="1" view="pageBreakPreview" zoomScale="60" zoomScaleNormal="60" workbookViewId="0">
      <selection activeCell="O29" sqref="O29"/>
    </sheetView>
  </sheetViews>
  <sheetFormatPr defaultColWidth="9.140625" defaultRowHeight="15" x14ac:dyDescent="0.2"/>
  <cols>
    <col min="1" max="1" width="6.85546875" style="1" customWidth="1"/>
    <col min="2" max="2" width="22" style="1" customWidth="1"/>
    <col min="3" max="3" width="15.85546875" style="1" customWidth="1"/>
    <col min="4" max="4" width="19.5703125" style="1" customWidth="1"/>
    <col min="5" max="5" width="18.85546875" style="1" customWidth="1"/>
    <col min="6" max="6" width="33" style="1" customWidth="1"/>
    <col min="7" max="7" width="16.28515625" style="1" customWidth="1"/>
    <col min="8" max="8" width="10.85546875" style="1" bestFit="1" customWidth="1"/>
    <col min="9" max="16384" width="9.140625" style="1"/>
  </cols>
  <sheetData>
    <row r="1" spans="2:8" ht="15.75" x14ac:dyDescent="0.25">
      <c r="B1" s="5" t="str">
        <f>Total!B1</f>
        <v>Appendix C</v>
      </c>
      <c r="C1" s="5"/>
      <c r="D1" s="5"/>
      <c r="E1" s="5"/>
    </row>
    <row r="2" spans="2:8" ht="8.25" customHeight="1" x14ac:dyDescent="0.25">
      <c r="B2" s="5"/>
      <c r="C2" s="5"/>
      <c r="D2" s="5"/>
      <c r="E2" s="5"/>
    </row>
    <row r="3" spans="2:8" ht="15.75" x14ac:dyDescent="0.25">
      <c r="B3" s="5" t="str">
        <f>Total!B3</f>
        <v>Utah Quarterly Compliance Filing</v>
      </c>
      <c r="C3" s="5"/>
      <c r="D3" s="5"/>
      <c r="E3" s="5"/>
    </row>
    <row r="4" spans="2:8" ht="15.75" x14ac:dyDescent="0.25">
      <c r="B4" s="5" t="str">
        <f>Capacity!$B$4</f>
        <v>Step Study between 2022.Q4 and 2022.Q3 Compliance Filing</v>
      </c>
      <c r="C4" s="5"/>
      <c r="D4" s="5"/>
      <c r="E4" s="5"/>
    </row>
    <row r="5" spans="2:8" ht="15.75" x14ac:dyDescent="0.25">
      <c r="B5" s="5" t="s">
        <v>14</v>
      </c>
      <c r="C5" s="5"/>
      <c r="D5" s="5"/>
      <c r="E5" s="5"/>
    </row>
    <row r="6" spans="2:8" x14ac:dyDescent="0.2">
      <c r="D6" s="8"/>
      <c r="E6" s="8"/>
    </row>
    <row r="7" spans="2:8" ht="15.75" x14ac:dyDescent="0.25">
      <c r="B7" s="11"/>
      <c r="C7" s="10" t="str">
        <f>Energy!D7</f>
        <v>OFPC</v>
      </c>
      <c r="D7" s="10" t="str">
        <f>Energy!E7</f>
        <v>Queue</v>
      </c>
      <c r="E7" s="10" t="s">
        <v>4</v>
      </c>
    </row>
    <row r="8" spans="2:8" ht="15.75" x14ac:dyDescent="0.25">
      <c r="B8" s="6" t="s">
        <v>0</v>
      </c>
      <c r="C8" s="50" t="s">
        <v>16</v>
      </c>
      <c r="D8" s="50"/>
      <c r="E8" s="2" t="s">
        <v>12</v>
      </c>
    </row>
    <row r="9" spans="2:8" ht="4.7" customHeight="1" x14ac:dyDescent="0.2"/>
    <row r="10" spans="2:8" ht="15.75" hidden="1" x14ac:dyDescent="0.25">
      <c r="B10" s="3">
        <f>Total!B10</f>
        <v>0</v>
      </c>
      <c r="C10" s="3"/>
      <c r="D10" s="42" t="e">
        <f>ROUND(Total!E10-Total!#REF!,3)</f>
        <v>#REF!</v>
      </c>
      <c r="E10" s="42" t="e">
        <f>SUM(D10:D10)</f>
        <v>#REF!</v>
      </c>
      <c r="F10" s="41"/>
      <c r="G10" s="49"/>
      <c r="H10" s="13"/>
    </row>
    <row r="11" spans="2:8" ht="15.75" x14ac:dyDescent="0.25">
      <c r="B11" s="3">
        <f>Total!B11</f>
        <v>2023</v>
      </c>
      <c r="C11" s="42">
        <f>ROUND(Total!D11-Total!C11,3)</f>
        <v>10.603</v>
      </c>
      <c r="D11" s="42">
        <f>ROUND(Total!E11-Total!D11,3)</f>
        <v>0</v>
      </c>
      <c r="E11" s="42">
        <f t="shared" ref="E11:E27" si="0">SUM(C11:D11)</f>
        <v>10.603</v>
      </c>
      <c r="F11" s="41"/>
      <c r="G11" s="49"/>
      <c r="H11" s="13"/>
    </row>
    <row r="12" spans="2:8" ht="15.75" x14ac:dyDescent="0.25">
      <c r="B12" s="3">
        <f t="shared" ref="B12:B27" si="1">B11+1</f>
        <v>2024</v>
      </c>
      <c r="C12" s="42">
        <f>ROUND(Total!D12-Total!C12,3)</f>
        <v>10.667</v>
      </c>
      <c r="D12" s="42">
        <f>ROUND(Total!E12-Total!D12,3)</f>
        <v>-0.17199999999999999</v>
      </c>
      <c r="E12" s="42">
        <f t="shared" si="0"/>
        <v>10.494999999999999</v>
      </c>
      <c r="F12" s="41"/>
      <c r="G12" s="49"/>
      <c r="H12" s="13"/>
    </row>
    <row r="13" spans="2:8" ht="15.75" x14ac:dyDescent="0.25">
      <c r="B13" s="3">
        <f t="shared" si="1"/>
        <v>2025</v>
      </c>
      <c r="C13" s="42">
        <f>ROUND(Total!D13-Total!C13,3)</f>
        <v>7.5309999999999997</v>
      </c>
      <c r="D13" s="42">
        <f>ROUND(Total!E13-Total!D13,3)</f>
        <v>-0.33500000000000002</v>
      </c>
      <c r="E13" s="42">
        <f t="shared" si="0"/>
        <v>7.1959999999999997</v>
      </c>
      <c r="F13" s="41"/>
      <c r="G13" s="49"/>
      <c r="H13" s="13"/>
    </row>
    <row r="14" spans="2:8" ht="15.75" x14ac:dyDescent="0.25">
      <c r="B14" s="3">
        <f t="shared" si="1"/>
        <v>2026</v>
      </c>
      <c r="C14" s="42">
        <f>ROUND(Total!D14-Total!C14,3)</f>
        <v>5.3780000000000001</v>
      </c>
      <c r="D14" s="42">
        <f>ROUND(Total!E14-Total!D14,3)</f>
        <v>-0.17399999999999999</v>
      </c>
      <c r="E14" s="42">
        <f t="shared" si="0"/>
        <v>5.2039999999999997</v>
      </c>
      <c r="F14" s="41"/>
      <c r="G14" s="49"/>
      <c r="H14" s="13"/>
    </row>
    <row r="15" spans="2:8" ht="15.75" x14ac:dyDescent="0.25">
      <c r="B15" s="3">
        <f t="shared" si="1"/>
        <v>2027</v>
      </c>
      <c r="C15" s="42">
        <f>ROUND(Total!D15-Total!C15,3)</f>
        <v>0.83599999999999997</v>
      </c>
      <c r="D15" s="42">
        <f>ROUND(Total!E15-Total!D15,3)</f>
        <v>-0.153</v>
      </c>
      <c r="E15" s="42">
        <f t="shared" si="0"/>
        <v>0.68299999999999994</v>
      </c>
      <c r="F15" s="41"/>
      <c r="G15" s="49"/>
      <c r="H15" s="13"/>
    </row>
    <row r="16" spans="2:8" ht="15.75" x14ac:dyDescent="0.25">
      <c r="B16" s="3">
        <f t="shared" si="1"/>
        <v>2028</v>
      </c>
      <c r="C16" s="42">
        <f>ROUND(Total!D16-Total!C16,3)</f>
        <v>2.665</v>
      </c>
      <c r="D16" s="42">
        <f>ROUND(Total!E16-Total!D16,3)</f>
        <v>-0.121</v>
      </c>
      <c r="E16" s="42">
        <f t="shared" si="0"/>
        <v>2.544</v>
      </c>
      <c r="F16" s="41"/>
      <c r="G16" s="49"/>
      <c r="H16" s="13"/>
    </row>
    <row r="17" spans="2:8" ht="15.75" x14ac:dyDescent="0.25">
      <c r="B17" s="3">
        <f t="shared" si="1"/>
        <v>2029</v>
      </c>
      <c r="C17" s="42">
        <f>ROUND(Total!D17-Total!C17,3)</f>
        <v>1.5580000000000001</v>
      </c>
      <c r="D17" s="42">
        <f>ROUND(Total!E17-Total!D17,3)</f>
        <v>-0.121</v>
      </c>
      <c r="E17" s="42">
        <f t="shared" si="0"/>
        <v>1.4370000000000001</v>
      </c>
      <c r="F17" s="41"/>
      <c r="G17" s="49"/>
      <c r="H17" s="13"/>
    </row>
    <row r="18" spans="2:8" ht="15.75" x14ac:dyDescent="0.25">
      <c r="B18" s="3">
        <f t="shared" si="1"/>
        <v>2030</v>
      </c>
      <c r="C18" s="42">
        <f>ROUND(Total!D18-Total!C18,3)</f>
        <v>4.8390000000000004</v>
      </c>
      <c r="D18" s="42">
        <f>ROUND(Total!E18-Total!D18,3)</f>
        <v>-4.8000000000000001E-2</v>
      </c>
      <c r="E18" s="42">
        <f t="shared" si="0"/>
        <v>4.7910000000000004</v>
      </c>
      <c r="F18" s="41"/>
      <c r="G18" s="49"/>
      <c r="H18" s="13"/>
    </row>
    <row r="19" spans="2:8" ht="15.75" x14ac:dyDescent="0.25">
      <c r="B19" s="3">
        <f t="shared" si="1"/>
        <v>2031</v>
      </c>
      <c r="C19" s="42">
        <f>ROUND(Total!D19-Total!C19,3)</f>
        <v>4.5309999999999997</v>
      </c>
      <c r="D19" s="42">
        <f>ROUND(Total!E19-Total!D19,3)</f>
        <v>-4.3999999999999997E-2</v>
      </c>
      <c r="E19" s="42">
        <f t="shared" si="0"/>
        <v>4.4870000000000001</v>
      </c>
      <c r="F19" s="41"/>
      <c r="G19" s="49"/>
      <c r="H19" s="13"/>
    </row>
    <row r="20" spans="2:8" ht="15.75" x14ac:dyDescent="0.25">
      <c r="B20" s="3">
        <f t="shared" si="1"/>
        <v>2032</v>
      </c>
      <c r="C20" s="42">
        <f>ROUND(Total!D20-Total!C20,3)</f>
        <v>4.0549999999999997</v>
      </c>
      <c r="D20" s="42">
        <f>ROUND(Total!E20-Total!D20,3)</f>
        <v>-4.5999999999999999E-2</v>
      </c>
      <c r="E20" s="42">
        <f t="shared" si="0"/>
        <v>4.0089999999999995</v>
      </c>
      <c r="F20" s="41"/>
      <c r="G20" s="49"/>
      <c r="H20" s="13"/>
    </row>
    <row r="21" spans="2:8" ht="15.75" x14ac:dyDescent="0.25">
      <c r="B21" s="3">
        <f t="shared" si="1"/>
        <v>2033</v>
      </c>
      <c r="C21" s="42">
        <f>ROUND(Total!D21-Total!C21,3)</f>
        <v>3.7269999999999999</v>
      </c>
      <c r="D21" s="42">
        <f>ROUND(Total!E21-Total!D21,3)</f>
        <v>-4.5999999999999999E-2</v>
      </c>
      <c r="E21" s="42">
        <f t="shared" si="0"/>
        <v>3.681</v>
      </c>
      <c r="F21" s="41"/>
      <c r="G21" s="49"/>
      <c r="H21" s="13"/>
    </row>
    <row r="22" spans="2:8" ht="15.75" x14ac:dyDescent="0.25">
      <c r="B22" s="3">
        <f t="shared" si="1"/>
        <v>2034</v>
      </c>
      <c r="C22" s="42">
        <f>ROUND(Total!D22-Total!C22,3)</f>
        <v>4.2910000000000004</v>
      </c>
      <c r="D22" s="42">
        <f>ROUND(Total!E22-Total!D22,3)</f>
        <v>-2.5000000000000001E-2</v>
      </c>
      <c r="E22" s="42">
        <f t="shared" si="0"/>
        <v>4.266</v>
      </c>
      <c r="F22" s="41"/>
      <c r="G22" s="49"/>
      <c r="H22" s="13"/>
    </row>
    <row r="23" spans="2:8" ht="15.75" x14ac:dyDescent="0.25">
      <c r="B23" s="3">
        <f t="shared" si="1"/>
        <v>2035</v>
      </c>
      <c r="C23" s="42">
        <f>ROUND(Total!D23-Total!C23,3)</f>
        <v>4.4939999999999998</v>
      </c>
      <c r="D23" s="42">
        <f>ROUND(Total!E23-Total!D23,3)</f>
        <v>-4.1000000000000002E-2</v>
      </c>
      <c r="E23" s="42">
        <f t="shared" si="0"/>
        <v>4.4529999999999994</v>
      </c>
      <c r="F23" s="41"/>
      <c r="G23" s="49"/>
      <c r="H23" s="13"/>
    </row>
    <row r="24" spans="2:8" ht="15.75" x14ac:dyDescent="0.25">
      <c r="B24" s="3">
        <f t="shared" si="1"/>
        <v>2036</v>
      </c>
      <c r="C24" s="42">
        <f>ROUND(Total!D24-Total!C24,3)</f>
        <v>3.7410000000000001</v>
      </c>
      <c r="D24" s="42">
        <f>ROUND(Total!E24-Total!D24,3)</f>
        <v>-3.1E-2</v>
      </c>
      <c r="E24" s="42">
        <f t="shared" si="0"/>
        <v>3.71</v>
      </c>
      <c r="F24" s="41"/>
      <c r="G24" s="49"/>
      <c r="H24" s="13"/>
    </row>
    <row r="25" spans="2:8" ht="15.75" x14ac:dyDescent="0.25">
      <c r="B25" s="3">
        <f t="shared" si="1"/>
        <v>2037</v>
      </c>
      <c r="C25" s="42">
        <f>ROUND(Total!D25-Total!C25,3)</f>
        <v>3.5569999999999999</v>
      </c>
      <c r="D25" s="42">
        <f>ROUND(Total!E25-Total!D25,3)</f>
        <v>-0.04</v>
      </c>
      <c r="E25" s="42">
        <f t="shared" si="0"/>
        <v>3.5169999999999999</v>
      </c>
      <c r="F25" s="41"/>
      <c r="G25" s="49"/>
      <c r="H25" s="13"/>
    </row>
    <row r="26" spans="2:8" ht="15.75" x14ac:dyDescent="0.25">
      <c r="B26" s="3">
        <f t="shared" si="1"/>
        <v>2038</v>
      </c>
      <c r="C26" s="42">
        <f>ROUND(Total!D26-Total!C26,3)</f>
        <v>3.0409999999999999</v>
      </c>
      <c r="D26" s="42">
        <f>ROUND(Total!E26-Total!D26,3)</f>
        <v>-6.2E-2</v>
      </c>
      <c r="E26" s="42">
        <f t="shared" si="0"/>
        <v>2.9790000000000001</v>
      </c>
      <c r="F26" s="41"/>
      <c r="G26" s="49"/>
      <c r="H26" s="13"/>
    </row>
    <row r="27" spans="2:8" ht="15.75" x14ac:dyDescent="0.25">
      <c r="B27" s="3">
        <f t="shared" si="1"/>
        <v>2039</v>
      </c>
      <c r="C27" s="42">
        <f>ROUND(Total!D27-Total!C27,3)</f>
        <v>3.9710000000000001</v>
      </c>
      <c r="D27" s="42">
        <f>ROUND(Total!E27-Total!D27,3)</f>
        <v>-2.1999999999999999E-2</v>
      </c>
      <c r="E27" s="42">
        <f t="shared" si="0"/>
        <v>3.9490000000000003</v>
      </c>
      <c r="F27" s="41"/>
      <c r="G27" s="49"/>
      <c r="H27" s="13"/>
    </row>
    <row r="28" spans="2:8" x14ac:dyDescent="0.2">
      <c r="C28" s="36"/>
      <c r="D28" s="36"/>
      <c r="E28" s="36"/>
      <c r="F28" s="41"/>
    </row>
    <row r="29" spans="2:8" x14ac:dyDescent="0.2">
      <c r="B29" s="1" t="str">
        <f>Total!B29</f>
        <v>Nominal Levelized Payment at 6.880% Discount Rate (3)</v>
      </c>
      <c r="C29" s="42"/>
      <c r="D29" s="42"/>
      <c r="E29" s="42"/>
      <c r="F29" s="41"/>
      <c r="G29" s="1" t="s">
        <v>15</v>
      </c>
    </row>
    <row r="30" spans="2:8" x14ac:dyDescent="0.2">
      <c r="B30" s="7" t="str">
        <f>B11&amp;" - "&amp;B25</f>
        <v>2023 - 2037</v>
      </c>
      <c r="C30" s="43">
        <f>ROUND(Total!D30-Total!C30,3)</f>
        <v>5.31</v>
      </c>
      <c r="D30" s="43">
        <f>ROUND(Total!E30-Total!D30,3)</f>
        <v>-0.1</v>
      </c>
      <c r="E30" s="43">
        <f>SUM(C30:D30)</f>
        <v>5.21</v>
      </c>
      <c r="F30" s="41"/>
      <c r="G30" s="47">
        <f>SUM(C30:D30)-E30</f>
        <v>0</v>
      </c>
    </row>
    <row r="31" spans="2:8" x14ac:dyDescent="0.2">
      <c r="B31" s="7" t="str">
        <f>B12&amp;" - "&amp;B26</f>
        <v>2024 - 2038</v>
      </c>
      <c r="C31" s="43">
        <f>ROUND(Total!D31-Total!C31,3)</f>
        <v>4.6399999999999997</v>
      </c>
      <c r="D31" s="43">
        <f>ROUND(Total!E31-Total!D31,3)</f>
        <v>-0.12</v>
      </c>
      <c r="E31" s="43">
        <f>SUM(C31:D31)</f>
        <v>4.5199999999999996</v>
      </c>
      <c r="F31" s="41"/>
      <c r="G31" s="47">
        <f>SUM(C31:D31)-E31</f>
        <v>0</v>
      </c>
    </row>
    <row r="32" spans="2:8" x14ac:dyDescent="0.2">
      <c r="B32" s="7" t="str">
        <f>B13&amp;" - "&amp;B27</f>
        <v>2025 - 2039</v>
      </c>
      <c r="C32" s="43">
        <f>ROUND(Total!D32-Total!C32,3)</f>
        <v>3.96</v>
      </c>
      <c r="D32" s="43">
        <f>ROUND(Total!E32-Total!D32,3)</f>
        <v>-0.11</v>
      </c>
      <c r="E32" s="43">
        <f>SUM(C32:D32)</f>
        <v>3.85</v>
      </c>
      <c r="F32" s="41"/>
      <c r="G32" s="47">
        <f>SUM(C32:D32)-E32</f>
        <v>0</v>
      </c>
    </row>
    <row r="33" spans="2:5" x14ac:dyDescent="0.2">
      <c r="D33" s="36"/>
      <c r="E33" s="38"/>
    </row>
    <row r="34" spans="2:5" x14ac:dyDescent="0.2">
      <c r="B34" s="1" t="str">
        <f>Total!B34</f>
        <v>(1)   Studies are sequential.  The order of the studies would affect the price impact.</v>
      </c>
      <c r="D34" s="36"/>
      <c r="E34" s="36"/>
    </row>
    <row r="35" spans="2:5" x14ac:dyDescent="0.2">
      <c r="B35" s="1" t="str">
        <f>Total!B35</f>
        <v>(2)   Official Forward Price Curve Dated December 2022</v>
      </c>
    </row>
    <row r="36" spans="2:5" x14ac:dyDescent="0.2">
      <c r="B36" s="1" t="str">
        <f>Total!B36</f>
        <v>(3)   Discount Rate - 2021 IRP - Calculated Annually</v>
      </c>
      <c r="D36" s="7"/>
    </row>
    <row r="37" spans="2:5" x14ac:dyDescent="0.2">
      <c r="B37" s="1" t="str">
        <f>Total!B37</f>
        <v>(4)   Capacity costs are allocated based on assumed 100% capacity factor.</v>
      </c>
    </row>
    <row r="38" spans="2:5" x14ac:dyDescent="0.2">
      <c r="B38" s="1" t="str">
        <f>Total!B38</f>
        <v>(5)   Avoided Capacity costs are bsed on Partial Displacement of non-emitting  Peaker in 2031 from</v>
      </c>
    </row>
    <row r="39" spans="2:5" x14ac:dyDescent="0.2">
      <c r="B39" s="1" t="str">
        <f>Total!B39</f>
        <v xml:space="preserve">       2021 IRP Update Preferred Portfolio.</v>
      </c>
    </row>
    <row r="40" spans="2:5" hidden="1" x14ac:dyDescent="0.2">
      <c r="B40" s="1" t="s">
        <v>11</v>
      </c>
    </row>
    <row r="41" spans="2:5" hidden="1" x14ac:dyDescent="0.2">
      <c r="B41" s="29">
        <f>Discount_Rate</f>
        <v>6.88E-2</v>
      </c>
      <c r="C41" s="29"/>
    </row>
  </sheetData>
  <phoneticPr fontId="2" type="noConversion"/>
  <printOptions horizontalCentered="1"/>
  <pageMargins left="0.25" right="0.25" top="0.75" bottom="0.75" header="0.3" footer="0.2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2"/>
  </sheetPr>
  <dimension ref="B1:N45"/>
  <sheetViews>
    <sheetView tabSelected="1" view="pageBreakPreview" topLeftCell="A16" zoomScale="70" zoomScaleNormal="70" zoomScaleSheetLayoutView="70" workbookViewId="0">
      <selection activeCell="O29" sqref="O29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5" width="17.7109375" style="1" customWidth="1"/>
    <col min="6" max="6" width="26.5703125" style="1" customWidth="1"/>
    <col min="7" max="7" width="11.5703125" style="1" customWidth="1"/>
    <col min="8" max="8" width="16.42578125" style="1" customWidth="1"/>
    <col min="9" max="9" width="13.85546875" style="1" customWidth="1"/>
    <col min="10" max="12" width="9.140625" style="1"/>
    <col min="13" max="13" width="10.28515625" style="1" customWidth="1"/>
    <col min="14" max="16384" width="9.140625" style="1"/>
  </cols>
  <sheetData>
    <row r="1" spans="2:14" ht="15.75" x14ac:dyDescent="0.25">
      <c r="B1" s="5" t="s">
        <v>3</v>
      </c>
      <c r="C1" s="5"/>
      <c r="D1" s="5"/>
      <c r="E1" s="5"/>
    </row>
    <row r="2" spans="2:14" ht="8.25" customHeight="1" x14ac:dyDescent="0.25">
      <c r="B2" s="5"/>
      <c r="C2" s="5"/>
      <c r="D2" s="5"/>
      <c r="E2" s="5"/>
    </row>
    <row r="3" spans="2:14" ht="15.75" x14ac:dyDescent="0.25">
      <c r="B3" s="5" t="s">
        <v>1</v>
      </c>
      <c r="C3" s="5"/>
      <c r="D3" s="5"/>
      <c r="E3" s="5"/>
    </row>
    <row r="4" spans="2:14" ht="15.75" x14ac:dyDescent="0.25">
      <c r="B4" s="5" t="str">
        <f>Capacity!$B$4</f>
        <v>Step Study between 2022.Q4 and 2022.Q3 Compliance Filing</v>
      </c>
      <c r="C4" s="5"/>
      <c r="D4" s="5"/>
      <c r="E4" s="5"/>
    </row>
    <row r="5" spans="2:14" ht="15.75" x14ac:dyDescent="0.25">
      <c r="B5" s="5" t="s">
        <v>9</v>
      </c>
      <c r="C5" s="5"/>
      <c r="D5" s="5"/>
      <c r="E5" s="5"/>
    </row>
    <row r="6" spans="2:14" ht="15.75" x14ac:dyDescent="0.25">
      <c r="B6" s="5"/>
      <c r="C6" s="5"/>
      <c r="D6" s="5"/>
      <c r="E6" s="12"/>
    </row>
    <row r="7" spans="2:14" ht="17.25" customHeight="1" x14ac:dyDescent="0.25">
      <c r="B7" s="11"/>
      <c r="C7" s="10" t="str">
        <f>Energy!C7</f>
        <v>2022.Q3</v>
      </c>
      <c r="D7" s="10" t="str">
        <f>Energy!D7</f>
        <v>OFPC</v>
      </c>
      <c r="E7" s="10" t="str">
        <f>Energy!E7</f>
        <v>Queue</v>
      </c>
    </row>
    <row r="8" spans="2:14" ht="9.75" customHeight="1" x14ac:dyDescent="0.25">
      <c r="B8" s="6" t="s">
        <v>0</v>
      </c>
      <c r="C8" s="2" t="str">
        <f>Energy!C8</f>
        <v>As Filed</v>
      </c>
      <c r="D8" s="48" t="s">
        <v>16</v>
      </c>
      <c r="E8" s="48" t="s">
        <v>20</v>
      </c>
    </row>
    <row r="9" spans="2:14" ht="9.75" customHeight="1" x14ac:dyDescent="0.2"/>
    <row r="10" spans="2:14" ht="5.25" customHeight="1" x14ac:dyDescent="0.25">
      <c r="B10" s="3"/>
      <c r="C10" s="45"/>
      <c r="D10" s="45"/>
      <c r="E10" s="45"/>
      <c r="G10" s="33"/>
      <c r="H10" s="39"/>
      <c r="I10" s="33"/>
      <c r="J10" s="33"/>
      <c r="K10" s="33"/>
      <c r="L10" s="33"/>
      <c r="M10" s="33"/>
    </row>
    <row r="11" spans="2:14" ht="19.5" customHeight="1" x14ac:dyDescent="0.25">
      <c r="B11" s="3">
        <f>Energy!B11</f>
        <v>2023</v>
      </c>
      <c r="C11" s="45">
        <f>ROUND(Capacity!$G11+Energy!C11,3)</f>
        <v>57.746000000000002</v>
      </c>
      <c r="D11" s="45">
        <f>ROUND(Capacity!$H11+Energy!D11,3)</f>
        <v>68.349000000000004</v>
      </c>
      <c r="E11" s="45">
        <f>ROUND(Capacity!$I11+Energy!E11,3)</f>
        <v>68.349000000000004</v>
      </c>
      <c r="F11" s="47"/>
      <c r="G11" s="47"/>
      <c r="H11" s="47"/>
      <c r="I11" s="47"/>
      <c r="J11" s="33"/>
      <c r="K11" s="33"/>
      <c r="L11" s="33"/>
      <c r="M11" s="33"/>
    </row>
    <row r="12" spans="2:14" ht="18" customHeight="1" x14ac:dyDescent="0.25">
      <c r="B12" s="3">
        <f t="shared" ref="B12:B27" si="0">B11+1</f>
        <v>2024</v>
      </c>
      <c r="C12" s="45">
        <f>ROUND(Capacity!$G12+Energy!C12,3)</f>
        <v>62.707999999999998</v>
      </c>
      <c r="D12" s="45">
        <f>ROUND(Capacity!$H12+Energy!D12,3)</f>
        <v>73.375</v>
      </c>
      <c r="E12" s="45">
        <f>ROUND(Capacity!$I12+Energy!E12,3)</f>
        <v>73.203000000000003</v>
      </c>
      <c r="F12" s="47"/>
      <c r="G12" s="47"/>
      <c r="H12" s="47"/>
      <c r="I12" s="47"/>
      <c r="J12" s="33"/>
      <c r="K12" s="33"/>
      <c r="L12" s="33"/>
      <c r="M12" s="33"/>
    </row>
    <row r="13" spans="2:14" ht="15.75" x14ac:dyDescent="0.25">
      <c r="B13" s="3">
        <f t="shared" si="0"/>
        <v>2025</v>
      </c>
      <c r="C13" s="45">
        <f>ROUND(Capacity!$G13+Energy!C13,3)</f>
        <v>46.948</v>
      </c>
      <c r="D13" s="45">
        <f>ROUND(Capacity!$H13+Energy!D13,3)</f>
        <v>54.478999999999999</v>
      </c>
      <c r="E13" s="45">
        <f>ROUND(Capacity!$I13+Energy!E13,3)</f>
        <v>54.143999999999998</v>
      </c>
      <c r="F13" s="47"/>
      <c r="G13" s="47"/>
      <c r="H13" s="47"/>
      <c r="I13" s="47"/>
      <c r="J13" s="33"/>
      <c r="K13" s="33"/>
      <c r="L13" s="33"/>
      <c r="M13" s="33"/>
      <c r="N13" s="4"/>
    </row>
    <row r="14" spans="2:14" ht="15.75" x14ac:dyDescent="0.25">
      <c r="B14" s="3">
        <f t="shared" si="0"/>
        <v>2026</v>
      </c>
      <c r="C14" s="45">
        <f>ROUND(Capacity!$G14+Energy!C14,3)</f>
        <v>50.152000000000001</v>
      </c>
      <c r="D14" s="45">
        <f>ROUND(Capacity!$H14+Energy!D14,3)</f>
        <v>55.53</v>
      </c>
      <c r="E14" s="45">
        <f>ROUND(Capacity!$I14+Energy!E14,3)</f>
        <v>55.356000000000002</v>
      </c>
      <c r="F14" s="47"/>
      <c r="G14" s="47"/>
      <c r="H14" s="47"/>
      <c r="I14" s="47"/>
      <c r="J14" s="33"/>
      <c r="K14" s="33"/>
      <c r="L14" s="33"/>
      <c r="M14" s="33"/>
    </row>
    <row r="15" spans="2:14" ht="15.75" x14ac:dyDescent="0.25">
      <c r="B15" s="3">
        <f t="shared" si="0"/>
        <v>2027</v>
      </c>
      <c r="C15" s="45">
        <f>ROUND(Capacity!$G15+Energy!C15,3)</f>
        <v>46.046999999999997</v>
      </c>
      <c r="D15" s="45">
        <f>ROUND(Capacity!$H15+Energy!D15,3)</f>
        <v>46.883000000000003</v>
      </c>
      <c r="E15" s="45">
        <f>ROUND(Capacity!$I15+Energy!E15,3)</f>
        <v>46.73</v>
      </c>
      <c r="F15" s="47"/>
      <c r="G15" s="47"/>
      <c r="H15" s="47"/>
      <c r="I15" s="47"/>
      <c r="J15" s="33"/>
      <c r="K15" s="33"/>
      <c r="L15" s="33"/>
      <c r="M15" s="33"/>
    </row>
    <row r="16" spans="2:14" ht="15.75" x14ac:dyDescent="0.25">
      <c r="B16" s="3">
        <f t="shared" si="0"/>
        <v>2028</v>
      </c>
      <c r="C16" s="45">
        <f>ROUND(Capacity!$G16+Energy!C16,3)</f>
        <v>44.734999999999999</v>
      </c>
      <c r="D16" s="45">
        <f>ROUND(Capacity!$H16+Energy!D16,3)</f>
        <v>47.4</v>
      </c>
      <c r="E16" s="45">
        <f>ROUND(Capacity!$I16+Energy!E16,3)</f>
        <v>47.279000000000003</v>
      </c>
      <c r="F16" s="47"/>
      <c r="G16" s="47"/>
      <c r="H16" s="47"/>
      <c r="I16" s="47"/>
      <c r="J16" s="33"/>
      <c r="K16" s="33"/>
      <c r="L16" s="33"/>
      <c r="M16" s="33"/>
    </row>
    <row r="17" spans="2:13" ht="15.75" x14ac:dyDescent="0.25">
      <c r="B17" s="3">
        <f t="shared" si="0"/>
        <v>2029</v>
      </c>
      <c r="C17" s="45">
        <f>ROUND(Capacity!$G17+Energy!C17,3)</f>
        <v>45.05</v>
      </c>
      <c r="D17" s="45">
        <f>ROUND(Capacity!$H17+Energy!D17,3)</f>
        <v>46.607999999999997</v>
      </c>
      <c r="E17" s="45">
        <f>ROUND(Capacity!$I17+Energy!E17,3)</f>
        <v>46.487000000000002</v>
      </c>
      <c r="F17" s="47"/>
      <c r="G17" s="47"/>
      <c r="H17" s="47"/>
      <c r="I17" s="47"/>
      <c r="J17" s="33"/>
      <c r="K17" s="33"/>
      <c r="L17" s="33"/>
      <c r="M17" s="33"/>
    </row>
    <row r="18" spans="2:13" ht="15.75" x14ac:dyDescent="0.25">
      <c r="B18" s="3">
        <f t="shared" si="0"/>
        <v>2030</v>
      </c>
      <c r="C18" s="45">
        <f>ROUND(Capacity!$G18+Energy!C18,3)</f>
        <v>41.253999999999998</v>
      </c>
      <c r="D18" s="45">
        <f>ROUND(Capacity!$H18+Energy!D18,3)</f>
        <v>46.093000000000004</v>
      </c>
      <c r="E18" s="45">
        <f>ROUND(Capacity!$I18+Energy!E18,3)</f>
        <v>46.045000000000002</v>
      </c>
      <c r="F18" s="47"/>
      <c r="G18" s="47"/>
      <c r="H18" s="47"/>
      <c r="I18" s="47"/>
      <c r="J18" s="33"/>
      <c r="K18" s="33"/>
      <c r="L18" s="33"/>
      <c r="M18" s="33"/>
    </row>
    <row r="19" spans="2:13" ht="15.75" x14ac:dyDescent="0.25">
      <c r="B19" s="3">
        <f t="shared" si="0"/>
        <v>2031</v>
      </c>
      <c r="C19" s="45">
        <f>ROUND(Capacity!$G19+Energy!C19,3)</f>
        <v>48.384999999999998</v>
      </c>
      <c r="D19" s="45">
        <f>ROUND(Capacity!$H19+Energy!D19,3)</f>
        <v>52.915999999999997</v>
      </c>
      <c r="E19" s="45">
        <f>ROUND(Capacity!$I19+Energy!E19,3)</f>
        <v>52.872</v>
      </c>
      <c r="F19" s="47"/>
      <c r="G19" s="47"/>
      <c r="H19" s="47"/>
      <c r="I19" s="47"/>
      <c r="J19" s="33"/>
      <c r="K19" s="33"/>
      <c r="L19" s="33"/>
      <c r="M19" s="33"/>
    </row>
    <row r="20" spans="2:13" ht="15.75" x14ac:dyDescent="0.25">
      <c r="B20" s="3">
        <f t="shared" si="0"/>
        <v>2032</v>
      </c>
      <c r="C20" s="45">
        <f>ROUND(Capacity!$G20+Energy!C20,3)</f>
        <v>47.709000000000003</v>
      </c>
      <c r="D20" s="45">
        <f>ROUND(Capacity!$H20+Energy!D20,3)</f>
        <v>51.764000000000003</v>
      </c>
      <c r="E20" s="45">
        <f>ROUND(Capacity!$I20+Energy!E20,3)</f>
        <v>51.718000000000004</v>
      </c>
      <c r="F20" s="47"/>
      <c r="G20" s="47"/>
      <c r="H20" s="47"/>
      <c r="I20" s="47"/>
      <c r="J20" s="33"/>
      <c r="K20" s="33"/>
      <c r="L20" s="33"/>
      <c r="M20" s="33"/>
    </row>
    <row r="21" spans="2:13" ht="15.75" x14ac:dyDescent="0.25">
      <c r="B21" s="3">
        <f t="shared" si="0"/>
        <v>2033</v>
      </c>
      <c r="C21" s="45">
        <f>ROUND(Capacity!$G21+Energy!C21,3)</f>
        <v>47.831000000000003</v>
      </c>
      <c r="D21" s="45">
        <f>ROUND(Capacity!$H21+Energy!D21,3)</f>
        <v>51.558</v>
      </c>
      <c r="E21" s="45">
        <f>ROUND(Capacity!$I21+Energy!E21,3)</f>
        <v>51.512</v>
      </c>
      <c r="F21" s="47"/>
      <c r="G21" s="47"/>
      <c r="H21" s="47"/>
      <c r="I21" s="47"/>
      <c r="J21" s="33"/>
      <c r="K21" s="33"/>
      <c r="L21" s="33"/>
      <c r="M21" s="33"/>
    </row>
    <row r="22" spans="2:13" ht="15.75" x14ac:dyDescent="0.25">
      <c r="B22" s="3">
        <f t="shared" si="0"/>
        <v>2034</v>
      </c>
      <c r="C22" s="45">
        <f>ROUND(Capacity!$G22+Energy!C22,3)</f>
        <v>46.348999999999997</v>
      </c>
      <c r="D22" s="45">
        <f>ROUND(Capacity!$H22+Energy!D22,3)</f>
        <v>50.64</v>
      </c>
      <c r="E22" s="45">
        <f>ROUND(Capacity!$I22+Energy!E22,3)</f>
        <v>50.615000000000002</v>
      </c>
      <c r="F22" s="47"/>
      <c r="G22" s="47"/>
      <c r="H22" s="47"/>
      <c r="I22" s="47"/>
      <c r="J22" s="33"/>
      <c r="K22" s="33"/>
      <c r="L22" s="33"/>
      <c r="M22" s="33"/>
    </row>
    <row r="23" spans="2:13" ht="15.75" x14ac:dyDescent="0.25">
      <c r="B23" s="3">
        <f t="shared" si="0"/>
        <v>2035</v>
      </c>
      <c r="C23" s="45">
        <f>ROUND(Capacity!$G23+Energy!C23,3)</f>
        <v>47.954000000000001</v>
      </c>
      <c r="D23" s="45">
        <f>ROUND(Capacity!$H23+Energy!D23,3)</f>
        <v>52.448</v>
      </c>
      <c r="E23" s="45">
        <f>ROUND(Capacity!$I23+Energy!E23,3)</f>
        <v>52.406999999999996</v>
      </c>
      <c r="F23" s="47"/>
      <c r="G23" s="47"/>
      <c r="H23" s="47"/>
      <c r="I23" s="47"/>
      <c r="J23" s="33"/>
      <c r="K23" s="33"/>
      <c r="L23" s="33"/>
      <c r="M23" s="33"/>
    </row>
    <row r="24" spans="2:13" ht="15.75" x14ac:dyDescent="0.25">
      <c r="B24" s="3">
        <f t="shared" si="0"/>
        <v>2036</v>
      </c>
      <c r="C24" s="45">
        <f>ROUND(Capacity!$G24+Energy!C24,3)</f>
        <v>50.451999999999998</v>
      </c>
      <c r="D24" s="45">
        <f>ROUND(Capacity!$H24+Energy!D24,3)</f>
        <v>54.192999999999998</v>
      </c>
      <c r="E24" s="45">
        <f>ROUND(Capacity!$I24+Energy!E24,3)</f>
        <v>54.161999999999999</v>
      </c>
      <c r="F24" s="47"/>
      <c r="G24" s="47"/>
      <c r="H24" s="47"/>
      <c r="I24" s="47"/>
      <c r="J24" s="33"/>
      <c r="K24" s="33"/>
      <c r="L24" s="33"/>
      <c r="M24" s="33"/>
    </row>
    <row r="25" spans="2:13" ht="15.75" x14ac:dyDescent="0.25">
      <c r="B25" s="3">
        <f t="shared" si="0"/>
        <v>2037</v>
      </c>
      <c r="C25" s="45">
        <f>ROUND(Capacity!$G25+Energy!C25,3)</f>
        <v>58.314999999999998</v>
      </c>
      <c r="D25" s="45">
        <f>ROUND(Capacity!$H25+Energy!D25,3)</f>
        <v>61.872</v>
      </c>
      <c r="E25" s="45">
        <f>ROUND(Capacity!$I25+Energy!E25,3)</f>
        <v>61.832000000000001</v>
      </c>
      <c r="F25" s="47"/>
      <c r="G25" s="47"/>
      <c r="H25" s="47"/>
      <c r="I25" s="47"/>
      <c r="J25" s="33"/>
      <c r="K25" s="33"/>
      <c r="L25" s="33"/>
      <c r="M25" s="33"/>
    </row>
    <row r="26" spans="2:13" ht="15.75" x14ac:dyDescent="0.25">
      <c r="B26" s="3">
        <f t="shared" si="0"/>
        <v>2038</v>
      </c>
      <c r="C26" s="45">
        <f>ROUND(Capacity!$G26+Energy!C26,3)</f>
        <v>59.433</v>
      </c>
      <c r="D26" s="45">
        <f>ROUND(Capacity!$H26+Energy!D26,3)</f>
        <v>62.473999999999997</v>
      </c>
      <c r="E26" s="45">
        <f>ROUND(Capacity!$I26+Energy!E26,3)</f>
        <v>62.411999999999999</v>
      </c>
      <c r="F26" s="47"/>
      <c r="G26" s="47"/>
      <c r="H26" s="47"/>
      <c r="I26" s="47"/>
      <c r="J26" s="33"/>
      <c r="K26" s="33"/>
      <c r="L26" s="33"/>
      <c r="M26" s="33"/>
    </row>
    <row r="27" spans="2:13" ht="15.75" x14ac:dyDescent="0.25">
      <c r="B27" s="3">
        <f t="shared" si="0"/>
        <v>2039</v>
      </c>
      <c r="C27" s="45">
        <f>ROUND(Capacity!$G27+Energy!C27,3)</f>
        <v>59.555</v>
      </c>
      <c r="D27" s="45">
        <f>ROUND(Capacity!$H27+Energy!D27,3)</f>
        <v>63.526000000000003</v>
      </c>
      <c r="E27" s="45">
        <f>ROUND(Capacity!$I27+Energy!E27,3)</f>
        <v>63.503999999999998</v>
      </c>
      <c r="F27" s="47"/>
      <c r="G27" s="47"/>
      <c r="H27" s="47"/>
      <c r="I27" s="47"/>
      <c r="J27" s="33"/>
      <c r="K27" s="33"/>
      <c r="L27" s="33"/>
      <c r="M27" s="33"/>
    </row>
    <row r="28" spans="2:13" x14ac:dyDescent="0.2">
      <c r="C28" s="40"/>
      <c r="D28" s="40"/>
      <c r="E28" s="40"/>
      <c r="G28" s="33"/>
      <c r="H28" s="33"/>
    </row>
    <row r="29" spans="2:13" x14ac:dyDescent="0.2">
      <c r="B29" s="1" t="str">
        <f>"Nominal Levelized Payment at "&amp;TEXT(Discount_Rate,"0.000%")&amp;" Discount Rate (3)"</f>
        <v>Nominal Levelized Payment at 6.880% Discount Rate (3)</v>
      </c>
      <c r="C29" s="40"/>
      <c r="D29" s="40"/>
      <c r="E29" s="40"/>
      <c r="G29" s="33"/>
      <c r="H29" s="33"/>
    </row>
    <row r="30" spans="2:13" x14ac:dyDescent="0.2">
      <c r="B30" s="7" t="str">
        <f>B11&amp;" - "&amp;B25</f>
        <v>2023 - 2037</v>
      </c>
      <c r="C30" s="46">
        <f t="shared" ref="C30:E32" si="1">ROUND(PMT(Discount_Rate,COUNT(C11:C25),-NPV(Discount_Rate,C11:C25)),2)</f>
        <v>49.89</v>
      </c>
      <c r="D30" s="46">
        <f t="shared" ref="D30" si="2">ROUND(PMT(Discount_Rate,COUNT(D11:D25),-NPV(Discount_Rate,D11:D25)),2)</f>
        <v>55.2</v>
      </c>
      <c r="E30" s="46">
        <f t="shared" si="1"/>
        <v>55.1</v>
      </c>
      <c r="G30" s="33"/>
      <c r="H30" s="39"/>
    </row>
    <row r="31" spans="2:13" x14ac:dyDescent="0.2">
      <c r="B31" s="7" t="str">
        <f>B12&amp;" - "&amp;B26</f>
        <v>2024 - 2038</v>
      </c>
      <c r="C31" s="46">
        <f t="shared" si="1"/>
        <v>49.42</v>
      </c>
      <c r="D31" s="46">
        <f t="shared" ref="D31" si="3">ROUND(PMT(Discount_Rate,COUNT(D12:D26),-NPV(Discount_Rate,D12:D26)),2)</f>
        <v>54.06</v>
      </c>
      <c r="E31" s="46">
        <f t="shared" si="1"/>
        <v>53.94</v>
      </c>
      <c r="G31" s="33"/>
      <c r="H31" s="39"/>
    </row>
    <row r="32" spans="2:13" x14ac:dyDescent="0.2">
      <c r="B32" s="7" t="str">
        <f>B13&amp;" - "&amp;B27</f>
        <v>2025 - 2039</v>
      </c>
      <c r="C32" s="46">
        <f t="shared" si="1"/>
        <v>48.38</v>
      </c>
      <c r="D32" s="46">
        <f t="shared" ref="D32" si="4">ROUND(PMT(Discount_Rate,COUNT(D13:D27),-NPV(Discount_Rate,D13:D27)),2)</f>
        <v>52.34</v>
      </c>
      <c r="E32" s="46">
        <f t="shared" si="1"/>
        <v>52.23</v>
      </c>
      <c r="G32" s="33"/>
      <c r="H32" s="39"/>
    </row>
    <row r="33" spans="2:8" x14ac:dyDescent="0.2">
      <c r="E33" s="9"/>
      <c r="G33" s="33"/>
      <c r="H33" s="33"/>
    </row>
    <row r="34" spans="2:8" x14ac:dyDescent="0.2">
      <c r="B34" s="7" t="s">
        <v>13</v>
      </c>
      <c r="G34" s="33"/>
      <c r="H34" s="33"/>
    </row>
    <row r="35" spans="2:8" x14ac:dyDescent="0.2">
      <c r="B35" s="1" t="str">
        <f>"(2)   Official Forward Price Curve Dated "&amp;TEXT(B43,"MMMM YYYY")</f>
        <v>(2)   Official Forward Price Curve Dated December 2022</v>
      </c>
      <c r="G35" s="33"/>
      <c r="H35" s="33"/>
    </row>
    <row r="36" spans="2:8" x14ac:dyDescent="0.2">
      <c r="B36" s="1" t="str">
        <f>"(3)   "&amp;B40&amp;" - Calculated Annually"</f>
        <v>(3)   Discount Rate - 2021 IRP - Calculated Annually</v>
      </c>
    </row>
    <row r="37" spans="2:8" x14ac:dyDescent="0.2">
      <c r="B37" s="18" t="str">
        <f>"(4)   Capacity costs are allocated based on assumed "&amp;TEXT(B45,"00%")&amp;" capacity factor."</f>
        <v>(4)   Capacity costs are allocated based on assumed 100% capacity factor.</v>
      </c>
    </row>
    <row r="38" spans="2:8" x14ac:dyDescent="0.2">
      <c r="B38" s="18" t="str">
        <f>"(5)   Avoided Capacity costs are bsed on Partial Displacement of non-emitting  Peaker in 2031 from"</f>
        <v>(5)   Avoided Capacity costs are bsed on Partial Displacement of non-emitting  Peaker in 2031 from</v>
      </c>
    </row>
    <row r="39" spans="2:8" x14ac:dyDescent="0.2">
      <c r="B39" s="18" t="s">
        <v>21</v>
      </c>
    </row>
    <row r="40" spans="2:8" x14ac:dyDescent="0.2">
      <c r="B40" s="1" t="str">
        <f>[1]Incremental!$B$39</f>
        <v>Discount Rate - 2021 IRP</v>
      </c>
    </row>
    <row r="41" spans="2:8" x14ac:dyDescent="0.2">
      <c r="B41" s="14">
        <f>[1]Incremental!$B$40</f>
        <v>6.88E-2</v>
      </c>
    </row>
    <row r="42" spans="2:8" x14ac:dyDescent="0.2">
      <c r="B42" s="1" t="s">
        <v>10</v>
      </c>
    </row>
    <row r="43" spans="2:8" x14ac:dyDescent="0.2">
      <c r="B43" s="15">
        <f>'[2]Forward Price Curve'!$G$2</f>
        <v>44925</v>
      </c>
      <c r="E43" s="13"/>
    </row>
    <row r="44" spans="2:8" x14ac:dyDescent="0.2">
      <c r="B44" s="18" t="s">
        <v>18</v>
      </c>
    </row>
    <row r="45" spans="2:8" x14ac:dyDescent="0.2">
      <c r="B45" s="72">
        <v>1</v>
      </c>
    </row>
  </sheetData>
  <phoneticPr fontId="2" type="noConversion"/>
  <printOptions horizontalCentered="1"/>
  <pageMargins left="0.25" right="0.25" top="0.75" bottom="0.75" header="0.3" footer="0.2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2"/>
  </sheetPr>
  <dimension ref="B1:H43"/>
  <sheetViews>
    <sheetView tabSelected="1" view="pageBreakPreview" topLeftCell="A19" zoomScale="60" zoomScaleNormal="70" workbookViewId="0">
      <selection activeCell="O29" sqref="O29"/>
    </sheetView>
  </sheetViews>
  <sheetFormatPr defaultColWidth="9.140625" defaultRowHeight="15" x14ac:dyDescent="0.2"/>
  <cols>
    <col min="1" max="1" width="1.85546875" style="18" customWidth="1"/>
    <col min="2" max="2" width="17.5703125" style="18" customWidth="1"/>
    <col min="3" max="5" width="17.7109375" style="18" customWidth="1"/>
    <col min="6" max="6" width="27.7109375" style="18" customWidth="1"/>
    <col min="7" max="7" width="18.85546875" style="18" customWidth="1"/>
    <col min="8" max="16384" width="9.140625" style="18"/>
  </cols>
  <sheetData>
    <row r="1" spans="2:8" ht="15.75" x14ac:dyDescent="0.25">
      <c r="B1" s="16" t="str">
        <f>Total!B1</f>
        <v>Appendix C</v>
      </c>
      <c r="C1" s="16"/>
      <c r="D1" s="16"/>
      <c r="E1" s="16"/>
    </row>
    <row r="2" spans="2:8" ht="8.25" customHeight="1" x14ac:dyDescent="0.25">
      <c r="B2" s="16"/>
      <c r="C2" s="16"/>
      <c r="D2" s="16"/>
      <c r="E2" s="16"/>
    </row>
    <row r="3" spans="2:8" ht="15.75" x14ac:dyDescent="0.25">
      <c r="B3" s="16" t="str">
        <f>Total!B3</f>
        <v>Utah Quarterly Compliance Filing</v>
      </c>
      <c r="C3" s="16"/>
      <c r="D3" s="16"/>
      <c r="E3" s="16"/>
    </row>
    <row r="4" spans="2:8" ht="15.75" x14ac:dyDescent="0.25">
      <c r="B4" s="16" t="str">
        <f>Capacity!$B$4</f>
        <v>Step Study between 2022.Q4 and 2022.Q3 Compliance Filing</v>
      </c>
      <c r="C4" s="16"/>
      <c r="D4" s="16"/>
      <c r="E4" s="16"/>
    </row>
    <row r="5" spans="2:8" ht="15.75" x14ac:dyDescent="0.25">
      <c r="B5" s="16" t="s">
        <v>5</v>
      </c>
      <c r="C5" s="16"/>
      <c r="D5" s="16"/>
      <c r="E5" s="16"/>
    </row>
    <row r="6" spans="2:8" ht="15.75" x14ac:dyDescent="0.25">
      <c r="B6" s="16"/>
      <c r="C6" s="35"/>
      <c r="D6" s="35"/>
      <c r="E6" s="35"/>
    </row>
    <row r="7" spans="2:8" ht="15.75" x14ac:dyDescent="0.25">
      <c r="B7" s="19"/>
      <c r="C7" s="80" t="str">
        <f>Capacity!M7</f>
        <v>2022.Q3</v>
      </c>
      <c r="D7" s="34" t="str">
        <f>[1]Incremental!I7</f>
        <v>OFPC</v>
      </c>
      <c r="E7" s="82" t="str">
        <f>[1]Incremental!L7</f>
        <v>Queue</v>
      </c>
      <c r="G7" s="12"/>
      <c r="H7" s="1"/>
    </row>
    <row r="8" spans="2:8" ht="15.75" x14ac:dyDescent="0.25">
      <c r="B8" s="21" t="s">
        <v>0</v>
      </c>
      <c r="C8" s="21" t="s">
        <v>6</v>
      </c>
      <c r="D8" s="71" t="s">
        <v>16</v>
      </c>
      <c r="E8" s="71" t="s">
        <v>19</v>
      </c>
      <c r="G8" s="12"/>
      <c r="H8" s="1"/>
    </row>
    <row r="9" spans="2:8" ht="4.7" customHeight="1" x14ac:dyDescent="0.2">
      <c r="B9" s="51"/>
      <c r="C9" s="51"/>
      <c r="D9" s="69"/>
      <c r="E9" s="83"/>
      <c r="G9" s="74"/>
      <c r="H9" s="1"/>
    </row>
    <row r="10" spans="2:8" ht="3.75" customHeight="1" x14ac:dyDescent="0.25">
      <c r="B10" s="52"/>
      <c r="C10" s="81"/>
      <c r="D10" s="70"/>
      <c r="E10" s="77"/>
      <c r="G10" s="75"/>
      <c r="H10" s="40"/>
    </row>
    <row r="11" spans="2:8" ht="15.75" x14ac:dyDescent="0.25">
      <c r="B11" s="52">
        <v>2023</v>
      </c>
      <c r="C11" s="76">
        <f>ROUND(HLOOKUP($B11,[3]Summary!$C$5:$L$47,43,FALSE),3)</f>
        <v>57.746000000000002</v>
      </c>
      <c r="D11" s="70">
        <f>ROUND(HLOOKUP($B11,[4]Summary!$C$5:$L$47,43,FALSE),3)</f>
        <v>68.349000000000004</v>
      </c>
      <c r="E11" s="70">
        <f>ROUND(HLOOKUP($B11,[5]Summary!$C$5:$L$47,43,FALSE),3)</f>
        <v>68.349000000000004</v>
      </c>
      <c r="G11" s="75"/>
      <c r="H11" s="40"/>
    </row>
    <row r="12" spans="2:8" ht="15.75" x14ac:dyDescent="0.25">
      <c r="B12" s="52">
        <f t="shared" ref="B12:B27" si="0">B11+1</f>
        <v>2024</v>
      </c>
      <c r="C12" s="76">
        <f>ROUND(HLOOKUP($B12,[3]Summary!$C$5:$L$47,43,FALSE),3)</f>
        <v>62.707999999999998</v>
      </c>
      <c r="D12" s="70">
        <f>ROUND(HLOOKUP($B12,[4]Summary!$C$5:$L$47,43,FALSE),3)</f>
        <v>73.375</v>
      </c>
      <c r="E12" s="77">
        <f>ROUND(HLOOKUP($B12,[5]Summary!$C$5:$L$47,43,FALSE),3)</f>
        <v>73.203000000000003</v>
      </c>
      <c r="G12" s="75"/>
      <c r="H12" s="40"/>
    </row>
    <row r="13" spans="2:8" ht="15.75" x14ac:dyDescent="0.25">
      <c r="B13" s="52">
        <f t="shared" si="0"/>
        <v>2025</v>
      </c>
      <c r="C13" s="76">
        <f>ROUND(HLOOKUP($B13,[3]Summary!$C$5:$L$47,43,FALSE),3)</f>
        <v>46.948</v>
      </c>
      <c r="D13" s="70">
        <f>ROUND(HLOOKUP($B13,[4]Summary!$C$5:$L$47,43,FALSE),3)</f>
        <v>54.478999999999999</v>
      </c>
      <c r="E13" s="77">
        <f>ROUND(HLOOKUP($B13,[5]Summary!$C$5:$L$47,43,FALSE),3)</f>
        <v>54.143999999999998</v>
      </c>
      <c r="G13" s="75"/>
      <c r="H13" s="40"/>
    </row>
    <row r="14" spans="2:8" ht="15.75" x14ac:dyDescent="0.25">
      <c r="B14" s="52">
        <f t="shared" si="0"/>
        <v>2026</v>
      </c>
      <c r="C14" s="76">
        <f>ROUND(HLOOKUP($B14,[3]Summary!$C$5:$L$47,43,FALSE),3)</f>
        <v>50.152000000000001</v>
      </c>
      <c r="D14" s="70">
        <f>ROUND(HLOOKUP($B14,[4]Summary!$C$5:$L$47,43,FALSE),3)</f>
        <v>55.53</v>
      </c>
      <c r="E14" s="77">
        <f>ROUND(HLOOKUP($B14,[5]Summary!$C$5:$L$47,43,FALSE),3)</f>
        <v>55.356000000000002</v>
      </c>
      <c r="G14" s="75"/>
      <c r="H14" s="40"/>
    </row>
    <row r="15" spans="2:8" ht="15.75" x14ac:dyDescent="0.25">
      <c r="B15" s="52">
        <f t="shared" si="0"/>
        <v>2027</v>
      </c>
      <c r="C15" s="76">
        <f>ROUND(HLOOKUP($B15,[3]Summary!$C$5:$L$47,43,FALSE),3)</f>
        <v>46.046999999999997</v>
      </c>
      <c r="D15" s="70">
        <f>ROUND(HLOOKUP($B15,[4]Summary!$C$5:$L$47,43,FALSE),3)</f>
        <v>46.883000000000003</v>
      </c>
      <c r="E15" s="77">
        <f>ROUND(HLOOKUP($B15,[5]Summary!$C$5:$L$47,43,FALSE),3)</f>
        <v>46.73</v>
      </c>
      <c r="G15" s="75"/>
      <c r="H15" s="40"/>
    </row>
    <row r="16" spans="2:8" ht="15.75" x14ac:dyDescent="0.25">
      <c r="B16" s="52">
        <f t="shared" si="0"/>
        <v>2028</v>
      </c>
      <c r="C16" s="76">
        <f>ROUND(HLOOKUP($B16,[3]Summary!$C$5:$L$47,43,FALSE),3)</f>
        <v>44.734999999999999</v>
      </c>
      <c r="D16" s="70">
        <f>ROUND(HLOOKUP($B16,[4]Summary!$C$5:$L$47,43,FALSE),3)</f>
        <v>47.4</v>
      </c>
      <c r="E16" s="77">
        <f>ROUND(HLOOKUP($B16,[5]Summary!$C$5:$L$47,43,FALSE),3)</f>
        <v>47.279000000000003</v>
      </c>
      <c r="G16" s="75"/>
      <c r="H16" s="40"/>
    </row>
    <row r="17" spans="2:8" ht="15.75" x14ac:dyDescent="0.25">
      <c r="B17" s="52">
        <f t="shared" si="0"/>
        <v>2029</v>
      </c>
      <c r="C17" s="76">
        <f>ROUND(HLOOKUP($B17,[3]Summary!$C$5:$L$47,43,FALSE),3)</f>
        <v>45.05</v>
      </c>
      <c r="D17" s="70">
        <f>ROUND(HLOOKUP($B17,[4]Summary!$C$5:$L$47,43,FALSE),3)</f>
        <v>46.607999999999997</v>
      </c>
      <c r="E17" s="77">
        <f>ROUND(HLOOKUP($B17,[5]Summary!$C$5:$L$47,43,FALSE),3)</f>
        <v>46.487000000000002</v>
      </c>
      <c r="G17" s="75"/>
      <c r="H17" s="40"/>
    </row>
    <row r="18" spans="2:8" ht="15.75" x14ac:dyDescent="0.25">
      <c r="B18" s="52">
        <f t="shared" si="0"/>
        <v>2030</v>
      </c>
      <c r="C18" s="76">
        <f>ROUND(HLOOKUP($B18,[3]Summary!$C$5:$L$47,43,FALSE),3)</f>
        <v>41.253999999999998</v>
      </c>
      <c r="D18" s="70">
        <f>ROUND(HLOOKUP($B18,[4]Summary!$C$5:$L$47,43,FALSE),3)</f>
        <v>46.093000000000004</v>
      </c>
      <c r="E18" s="77">
        <f>ROUND(HLOOKUP($B18,[5]Summary!$C$5:$L$47,43,FALSE),3)</f>
        <v>46.045000000000002</v>
      </c>
      <c r="G18" s="75"/>
      <c r="H18" s="40"/>
    </row>
    <row r="19" spans="2:8" ht="15.75" x14ac:dyDescent="0.25">
      <c r="B19" s="52">
        <f t="shared" si="0"/>
        <v>2031</v>
      </c>
      <c r="C19" s="76">
        <f>ROUND(HLOOKUP($B19,[3]Summary!$C$5:$L$47,43,FALSE),3)</f>
        <v>34.768000000000001</v>
      </c>
      <c r="D19" s="70">
        <f>ROUND(HLOOKUP($B19,[4]Summary!$C$5:$L$47,43,FALSE),3)</f>
        <v>39.298999999999999</v>
      </c>
      <c r="E19" s="77">
        <f>ROUND(HLOOKUP($B19,[5]Summary!$C$5:$L$47,43,FALSE),3)</f>
        <v>39.255000000000003</v>
      </c>
      <c r="G19" s="75"/>
      <c r="H19" s="40"/>
    </row>
    <row r="20" spans="2:8" ht="15.75" x14ac:dyDescent="0.25">
      <c r="B20" s="52">
        <f t="shared" si="0"/>
        <v>2032</v>
      </c>
      <c r="C20" s="76">
        <f>ROUND(HLOOKUP($B20,[3]Summary!$C$5:$L$47,43,FALSE),3)</f>
        <v>33.837000000000003</v>
      </c>
      <c r="D20" s="70">
        <f>ROUND(HLOOKUP($B20,[4]Summary!$C$5:$L$47,43,FALSE),3)</f>
        <v>37.892000000000003</v>
      </c>
      <c r="E20" s="77">
        <f>ROUND(HLOOKUP($B20,[5]Summary!$C$5:$L$47,43,FALSE),3)</f>
        <v>37.845999999999997</v>
      </c>
      <c r="G20" s="75"/>
      <c r="H20" s="40"/>
    </row>
    <row r="21" spans="2:8" ht="15.75" x14ac:dyDescent="0.25">
      <c r="B21" s="52">
        <f t="shared" si="0"/>
        <v>2033</v>
      </c>
      <c r="C21" s="76">
        <f>ROUND(HLOOKUP($B21,[6]Summary!$C$5:$L$47,43,FALSE),3)</f>
        <v>33.621000000000002</v>
      </c>
      <c r="D21" s="70">
        <f>ROUND(HLOOKUP($B21,[7]Summary!$C$5:$L$47,43,FALSE),3)</f>
        <v>37.347999999999999</v>
      </c>
      <c r="E21" s="77">
        <f>ROUND(HLOOKUP($B21,[8]Summary!$C$5:$L$47,43,FALSE),3)</f>
        <v>37.302</v>
      </c>
      <c r="G21" s="75"/>
      <c r="H21" s="40"/>
    </row>
    <row r="22" spans="2:8" ht="15.75" x14ac:dyDescent="0.25">
      <c r="B22" s="52">
        <f t="shared" si="0"/>
        <v>2034</v>
      </c>
      <c r="C22" s="76">
        <f>ROUND(HLOOKUP($B22,[6]Summary!$C$5:$L$47,43,FALSE),3)</f>
        <v>31.832999999999998</v>
      </c>
      <c r="D22" s="70">
        <f>ROUND(HLOOKUP($B22,[7]Summary!$C$5:$L$47,43,FALSE),3)</f>
        <v>36.124000000000002</v>
      </c>
      <c r="E22" s="77">
        <f>ROUND(HLOOKUP($B22,[8]Summary!$C$5:$L$47,43,FALSE),3)</f>
        <v>36.098999999999997</v>
      </c>
      <c r="G22" s="75"/>
      <c r="H22" s="40"/>
    </row>
    <row r="23" spans="2:8" ht="15.75" x14ac:dyDescent="0.25">
      <c r="B23" s="52">
        <f t="shared" si="0"/>
        <v>2035</v>
      </c>
      <c r="C23" s="76">
        <f>ROUND(HLOOKUP($B23,[6]Summary!$C$5:$L$47,43,FALSE),3)</f>
        <v>33.125</v>
      </c>
      <c r="D23" s="70">
        <f>ROUND(HLOOKUP($B23,[7]Summary!$C$5:$L$47,43,FALSE),3)</f>
        <v>37.619</v>
      </c>
      <c r="E23" s="77">
        <f>ROUND(HLOOKUP($B23,[8]Summary!$C$5:$L$47,43,FALSE),3)</f>
        <v>37.578000000000003</v>
      </c>
      <c r="G23" s="75"/>
      <c r="H23" s="40"/>
    </row>
    <row r="24" spans="2:8" ht="15.75" x14ac:dyDescent="0.25">
      <c r="B24" s="52">
        <f t="shared" si="0"/>
        <v>2036</v>
      </c>
      <c r="C24" s="76">
        <f>ROUND(HLOOKUP($B24,[6]Summary!$C$5:$L$47,43,FALSE),3)</f>
        <v>35.344999999999999</v>
      </c>
      <c r="D24" s="70">
        <f>ROUND(HLOOKUP($B24,[7]Summary!$C$5:$L$47,43,FALSE),3)</f>
        <v>39.085999999999999</v>
      </c>
      <c r="E24" s="77">
        <f>ROUND(HLOOKUP($B24,[8]Summary!$C$5:$L$47,43,FALSE),3)</f>
        <v>39.055</v>
      </c>
      <c r="G24" s="75"/>
      <c r="H24" s="40"/>
    </row>
    <row r="25" spans="2:8" ht="15.75" x14ac:dyDescent="0.25">
      <c r="B25" s="52">
        <f t="shared" si="0"/>
        <v>2037</v>
      </c>
      <c r="C25" s="76">
        <f>ROUND(HLOOKUP($B25,[6]Summary!$C$5:$L$47,43,FALSE),3)</f>
        <v>42.84</v>
      </c>
      <c r="D25" s="70">
        <f>ROUND(HLOOKUP($B25,[7]Summary!$C$5:$L$47,43,FALSE),3)</f>
        <v>46.396999999999998</v>
      </c>
      <c r="E25" s="77">
        <f>ROUND(HLOOKUP($B25,[8]Summary!$C$5:$L$47,43,FALSE),3)</f>
        <v>46.356999999999999</v>
      </c>
      <c r="G25" s="75"/>
      <c r="H25" s="40"/>
    </row>
    <row r="26" spans="2:8" ht="15.75" x14ac:dyDescent="0.25">
      <c r="B26" s="52">
        <f t="shared" si="0"/>
        <v>2038</v>
      </c>
      <c r="C26" s="76">
        <f>ROUND(HLOOKUP($B26,[6]Summary!$C$5:$L$47,43,FALSE),3)</f>
        <v>43.625999999999998</v>
      </c>
      <c r="D26" s="70">
        <f>ROUND(HLOOKUP($B26,[7]Summary!$C$5:$L$47,43,FALSE),3)</f>
        <v>46.667000000000002</v>
      </c>
      <c r="E26" s="77">
        <f>ROUND(HLOOKUP($B26,[8]Summary!$C$5:$L$47,43,FALSE),3)</f>
        <v>46.604999999999997</v>
      </c>
      <c r="G26" s="75"/>
      <c r="H26" s="40"/>
    </row>
    <row r="27" spans="2:8" ht="15.75" x14ac:dyDescent="0.25">
      <c r="B27" s="53">
        <f t="shared" si="0"/>
        <v>2039</v>
      </c>
      <c r="C27" s="78">
        <f>ROUND(HLOOKUP($B27,[6]Summary!$C$5:$L$47,43,FALSE),3)</f>
        <v>43.406999999999996</v>
      </c>
      <c r="D27" s="84">
        <f>ROUND(HLOOKUP($B27,[7]Summary!$C$5:$L$47,43,FALSE),3)</f>
        <v>47.378</v>
      </c>
      <c r="E27" s="79">
        <f>ROUND(HLOOKUP($B27,[8]Summary!$C$5:$L$47,43,FALSE),3)</f>
        <v>47.356000000000002</v>
      </c>
      <c r="G27" s="75"/>
      <c r="H27" s="40"/>
    </row>
    <row r="28" spans="2:8" x14ac:dyDescent="0.2">
      <c r="C28" s="31"/>
      <c r="D28" s="31"/>
      <c r="E28" s="31"/>
      <c r="G28" s="75"/>
      <c r="H28" s="40"/>
    </row>
    <row r="29" spans="2:8" x14ac:dyDescent="0.2">
      <c r="B29" s="18" t="str">
        <f>"Nominal Levelized Payment at "&amp;TEXT($B$40,"0.00%")&amp;" Discount Rate (3)"</f>
        <v>Nominal Levelized Payment at 6.88% Discount Rate (3)</v>
      </c>
      <c r="C29" s="31"/>
      <c r="D29" s="31"/>
      <c r="E29" s="31"/>
      <c r="G29" s="75"/>
      <c r="H29" s="40"/>
    </row>
    <row r="30" spans="2:8" x14ac:dyDescent="0.2">
      <c r="B30" s="26" t="str">
        <f>B11&amp;" - "&amp;B25</f>
        <v>2023 - 2037</v>
      </c>
      <c r="C30" s="44">
        <f t="shared" ref="C30:D32" si="1">ROUND(PMT($B$40,COUNT(C11:C25),-NPV($B$40,C11:C25)),3)</f>
        <v>44.893000000000001</v>
      </c>
      <c r="D30" s="44">
        <f t="shared" si="1"/>
        <v>50.203000000000003</v>
      </c>
      <c r="E30" s="44">
        <f t="shared" ref="E30" si="2">ROUND(PMT($B$40,COUNT(E11:E25),-NPV($B$40,E11:E25)),3)</f>
        <v>50.095999999999997</v>
      </c>
      <c r="G30" s="75"/>
      <c r="H30" s="40"/>
    </row>
    <row r="31" spans="2:8" x14ac:dyDescent="0.2">
      <c r="B31" s="26" t="str">
        <f>B12&amp;" - "&amp;B26</f>
        <v>2024 - 2038</v>
      </c>
      <c r="C31" s="44">
        <f t="shared" si="1"/>
        <v>43.441000000000003</v>
      </c>
      <c r="D31" s="44">
        <f t="shared" si="1"/>
        <v>48.082999999999998</v>
      </c>
      <c r="E31" s="44">
        <f t="shared" ref="E31" si="3">ROUND(PMT($B$40,COUNT(E12:E26),-NPV($B$40,E12:E26)),3)</f>
        <v>47.966999999999999</v>
      </c>
      <c r="G31" s="75"/>
      <c r="H31" s="40"/>
    </row>
    <row r="32" spans="2:8" x14ac:dyDescent="0.2">
      <c r="B32" s="26" t="str">
        <f>B13&amp;" - "&amp;B27</f>
        <v>2025 - 2039</v>
      </c>
      <c r="C32" s="44">
        <f t="shared" si="1"/>
        <v>41.341000000000001</v>
      </c>
      <c r="D32" s="44">
        <f t="shared" si="1"/>
        <v>45.298999999999999</v>
      </c>
      <c r="E32" s="44">
        <f t="shared" ref="E32" si="4">ROUND(PMT($B$40,COUNT(E13:E27),-NPV($B$40,E13:E27)),3)</f>
        <v>45.192</v>
      </c>
      <c r="G32" s="75"/>
      <c r="H32" s="40"/>
    </row>
    <row r="33" spans="2:5" x14ac:dyDescent="0.2">
      <c r="B33" s="26"/>
      <c r="C33" s="25"/>
      <c r="D33" s="25"/>
      <c r="E33" s="25"/>
    </row>
    <row r="34" spans="2:5" x14ac:dyDescent="0.2">
      <c r="B34" s="26" t="str">
        <f>Total!B34</f>
        <v>(1)   Studies are sequential.  The order of the studies would affect the price impact.</v>
      </c>
    </row>
    <row r="35" spans="2:5" x14ac:dyDescent="0.2">
      <c r="B35" s="1" t="str">
        <f>"(2)   Official Forward Price Curve Dated "&amp;TEXT(B42,"MMMM YYYY")</f>
        <v>(2)   Official Forward Price Curve Dated December 2022</v>
      </c>
    </row>
    <row r="36" spans="2:5" x14ac:dyDescent="0.2">
      <c r="B36" s="26" t="str">
        <f>Total!B36</f>
        <v>(3)   Discount Rate - 2021 IRP - Calculated Annually</v>
      </c>
    </row>
    <row r="37" spans="2:5" x14ac:dyDescent="0.2">
      <c r="B37" s="26"/>
    </row>
    <row r="39" spans="2:5" x14ac:dyDescent="0.2">
      <c r="B39" s="1" t="str">
        <f>Total!B40</f>
        <v>Discount Rate - 2021 IRP</v>
      </c>
    </row>
    <row r="40" spans="2:5" x14ac:dyDescent="0.2">
      <c r="B40" s="30">
        <f>Discount_Rate</f>
        <v>6.88E-2</v>
      </c>
    </row>
    <row r="41" spans="2:5" x14ac:dyDescent="0.2">
      <c r="B41" s="1" t="s">
        <v>10</v>
      </c>
    </row>
    <row r="42" spans="2:5" x14ac:dyDescent="0.2">
      <c r="B42" s="15">
        <f>'[2]Forward Price Curve'!$G$2</f>
        <v>44925</v>
      </c>
    </row>
    <row r="43" spans="2:5" x14ac:dyDescent="0.2">
      <c r="B43"/>
      <c r="C43"/>
      <c r="D43"/>
      <c r="E43"/>
    </row>
  </sheetData>
  <printOptions horizontalCentered="1"/>
  <pageMargins left="0.25" right="0.25" top="0.75" bottom="0.75" header="0.3" footer="0.2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42"/>
  </sheetPr>
  <dimension ref="B1:M42"/>
  <sheetViews>
    <sheetView tabSelected="1" view="pageBreakPreview" zoomScale="60" zoomScaleNormal="60" workbookViewId="0">
      <selection activeCell="O29" sqref="O29"/>
    </sheetView>
  </sheetViews>
  <sheetFormatPr defaultColWidth="9.140625" defaultRowHeight="15" x14ac:dyDescent="0.2"/>
  <cols>
    <col min="1" max="1" width="1.85546875" style="18" customWidth="1"/>
    <col min="2" max="2" width="13.85546875" style="18" customWidth="1"/>
    <col min="3" max="5" width="19.140625" style="18" customWidth="1"/>
    <col min="6" max="6" width="1.140625" style="18" customWidth="1"/>
    <col min="7" max="9" width="19.140625" style="18" customWidth="1"/>
    <col min="10" max="10" width="21.5703125" style="18" customWidth="1"/>
    <col min="11" max="12" width="2.140625" customWidth="1"/>
    <col min="13" max="13" width="9.140625" style="18" customWidth="1"/>
    <col min="14" max="16384" width="9.140625" style="18"/>
  </cols>
  <sheetData>
    <row r="1" spans="2:13" ht="15.75" x14ac:dyDescent="0.25">
      <c r="B1" s="16" t="str">
        <f>[1]Total!B1</f>
        <v>Appendix C</v>
      </c>
      <c r="C1" s="16"/>
      <c r="D1" s="16"/>
      <c r="E1" s="16"/>
      <c r="F1" s="17"/>
      <c r="G1" s="16"/>
      <c r="H1" s="16"/>
      <c r="I1" s="16"/>
    </row>
    <row r="2" spans="2:13" ht="8.25" customHeight="1" x14ac:dyDescent="0.25">
      <c r="B2" s="16"/>
      <c r="C2" s="16"/>
      <c r="D2" s="16"/>
      <c r="E2" s="16"/>
      <c r="F2" s="17"/>
      <c r="G2" s="16"/>
      <c r="H2" s="16"/>
      <c r="I2" s="16"/>
    </row>
    <row r="3" spans="2:13" ht="15.75" x14ac:dyDescent="0.25">
      <c r="B3" s="16" t="str">
        <f>[1]Total!B3</f>
        <v>Utah Quarterly Compliance Filing</v>
      </c>
      <c r="C3" s="16"/>
      <c r="D3" s="16"/>
      <c r="E3" s="16"/>
      <c r="F3" s="17"/>
      <c r="G3" s="16"/>
      <c r="H3" s="16"/>
      <c r="I3" s="16"/>
    </row>
    <row r="4" spans="2:13" ht="15.75" x14ac:dyDescent="0.25">
      <c r="B4" s="16" t="str">
        <f>"Step Study between "&amp;M8&amp;" and "&amp;M7&amp;" Compliance Filing"</f>
        <v>Step Study between 2022.Q4 and 2022.Q3 Compliance Filing</v>
      </c>
      <c r="C4" s="16"/>
      <c r="D4" s="16"/>
      <c r="E4" s="16"/>
      <c r="F4" s="17"/>
      <c r="G4" s="16"/>
      <c r="H4" s="16"/>
      <c r="I4" s="16"/>
    </row>
    <row r="5" spans="2:13" ht="15.75" x14ac:dyDescent="0.25">
      <c r="B5" s="16" t="s">
        <v>8</v>
      </c>
      <c r="C5" s="16"/>
      <c r="D5" s="16"/>
      <c r="E5" s="16"/>
      <c r="F5" s="17"/>
      <c r="G5" s="16"/>
      <c r="H5" s="16"/>
      <c r="I5" s="16"/>
    </row>
    <row r="6" spans="2:13" ht="15.75" x14ac:dyDescent="0.25">
      <c r="B6" s="16"/>
      <c r="C6" s="16"/>
      <c r="D6" s="16"/>
      <c r="E6" s="16"/>
      <c r="G6" s="16"/>
      <c r="H6" s="16"/>
      <c r="I6" s="16"/>
    </row>
    <row r="7" spans="2:13" ht="15.75" x14ac:dyDescent="0.25">
      <c r="B7" s="19"/>
      <c r="C7" s="20" t="s">
        <v>2</v>
      </c>
      <c r="D7" s="20"/>
      <c r="E7" s="20"/>
      <c r="G7" s="20" t="s">
        <v>7</v>
      </c>
      <c r="H7" s="20"/>
      <c r="I7" s="32"/>
      <c r="M7" s="22" t="s">
        <v>22</v>
      </c>
    </row>
    <row r="8" spans="2:13" ht="60.75" customHeight="1" x14ac:dyDescent="0.25">
      <c r="B8" s="21" t="s">
        <v>0</v>
      </c>
      <c r="C8" s="37" t="str">
        <f>[1]Energy!C7&amp;""</f>
        <v>2022.Q3</v>
      </c>
      <c r="D8" s="37" t="str">
        <f>[1]Energy!D7&amp;""</f>
        <v>OFPC</v>
      </c>
      <c r="E8" s="37" t="str">
        <f>M8&amp;" "</f>
        <v xml:space="preserve">2022.Q4 </v>
      </c>
      <c r="G8" s="22" t="str">
        <f>C8</f>
        <v>2022.Q3</v>
      </c>
      <c r="H8" s="22" t="str">
        <f>D8</f>
        <v>OFPC</v>
      </c>
      <c r="I8" s="37" t="str">
        <f>E8</f>
        <v xml:space="preserve">2022.Q4 </v>
      </c>
      <c r="M8" s="22" t="s">
        <v>23</v>
      </c>
    </row>
    <row r="9" spans="2:13" ht="4.7" customHeight="1" x14ac:dyDescent="0.2"/>
    <row r="10" spans="2:13" ht="15.75" x14ac:dyDescent="0.25">
      <c r="B10" s="23"/>
      <c r="C10" s="24"/>
      <c r="D10" s="24"/>
      <c r="E10" s="24"/>
      <c r="G10" s="24"/>
      <c r="H10" s="24"/>
      <c r="I10" s="24"/>
    </row>
    <row r="11" spans="2:13" ht="15.75" x14ac:dyDescent="0.25">
      <c r="B11" s="23">
        <v>2023</v>
      </c>
      <c r="C11" s="24">
        <f>IFERROR(IF(VLOOKUP($B11,'[9]Table 1'!$B$13:$C$35,2,FALSE)&lt;&gt;0,VLOOKUP($B11,'[9]Table 1'!$B$13:$C$35,2,FALSE),0),0)</f>
        <v>0</v>
      </c>
      <c r="D11" s="24">
        <f>IFERROR(IF(VLOOKUP($B11,'[10]Table 1'!$B$13:$C$35,2,FALSE)&lt;&gt;0,VLOOKUP($B11,'[10]Table 1'!$B$13:$C$35,2,FALSE),0),0)</f>
        <v>0</v>
      </c>
      <c r="E11" s="24">
        <f>IFERROR(IF(VLOOKUP($B11,'[11]Table 1'!$B$13:$C$35,2,FALSE)&lt;&gt;0,VLOOKUP($B11,'[11]Table 1'!$B$13:$C$35,2,FALSE),0),0)</f>
        <v>0</v>
      </c>
      <c r="G11" s="24">
        <f t="shared" ref="G11:G27" si="0">C11*1000/(IF(MOD($B11,4)=0,8784,8760)*1)</f>
        <v>0</v>
      </c>
      <c r="H11" s="24">
        <f t="shared" ref="H11:H27" si="1">D11*1000/(IF(MOD($B11,4)=0,8784,8760)*1)</f>
        <v>0</v>
      </c>
      <c r="I11" s="24">
        <f t="shared" ref="I11:I27" si="2">E11*1000/(IF(MOD($B11,4)=0,8784,8760)*1)</f>
        <v>0</v>
      </c>
    </row>
    <row r="12" spans="2:13" ht="15.75" x14ac:dyDescent="0.25">
      <c r="B12" s="23">
        <f t="shared" ref="B12:B27" si="3">B11+1</f>
        <v>2024</v>
      </c>
      <c r="C12" s="24">
        <f>IFERROR(IF(VLOOKUP($B12,'[9]Table 1'!$B$13:$C$35,2,FALSE)&lt;&gt;0,VLOOKUP($B12,'[9]Table 1'!$B$13:$C$35,2,FALSE),0),0)</f>
        <v>0</v>
      </c>
      <c r="D12" s="24">
        <f>IFERROR(IF(VLOOKUP($B12,'[10]Table 1'!$B$13:$C$35,2,FALSE)&lt;&gt;0,VLOOKUP($B12,'[10]Table 1'!$B$13:$C$35,2,FALSE),0),0)</f>
        <v>0</v>
      </c>
      <c r="E12" s="24">
        <f>IFERROR(IF(VLOOKUP($B12,'[11]Table 1'!$B$13:$C$35,2,FALSE)&lt;&gt;0,VLOOKUP($B12,'[11]Table 1'!$B$13:$C$35,2,FALSE),0),0)</f>
        <v>0</v>
      </c>
      <c r="G12" s="24">
        <f t="shared" si="0"/>
        <v>0</v>
      </c>
      <c r="H12" s="24">
        <f t="shared" si="1"/>
        <v>0</v>
      </c>
      <c r="I12" s="24">
        <f t="shared" si="2"/>
        <v>0</v>
      </c>
    </row>
    <row r="13" spans="2:13" ht="15.75" x14ac:dyDescent="0.25">
      <c r="B13" s="23">
        <f t="shared" si="3"/>
        <v>2025</v>
      </c>
      <c r="C13" s="24">
        <f>IFERROR(IF(VLOOKUP($B13,'[9]Table 1'!$B$13:$C$35,2,FALSE)&lt;&gt;0,VLOOKUP($B13,'[9]Table 1'!$B$13:$C$35,2,FALSE),0),0)</f>
        <v>0</v>
      </c>
      <c r="D13" s="24">
        <f>IFERROR(IF(VLOOKUP($B13,'[10]Table 1'!$B$13:$C$35,2,FALSE)&lt;&gt;0,VLOOKUP($B13,'[10]Table 1'!$B$13:$C$35,2,FALSE),0),0)</f>
        <v>0</v>
      </c>
      <c r="E13" s="24">
        <f>IFERROR(IF(VLOOKUP($B13,'[11]Table 1'!$B$13:$C$35,2,FALSE)&lt;&gt;0,VLOOKUP($B13,'[11]Table 1'!$B$13:$C$35,2,FALSE),0),0)</f>
        <v>0</v>
      </c>
      <c r="G13" s="24">
        <f t="shared" si="0"/>
        <v>0</v>
      </c>
      <c r="H13" s="24">
        <f t="shared" si="1"/>
        <v>0</v>
      </c>
      <c r="I13" s="24">
        <f t="shared" si="2"/>
        <v>0</v>
      </c>
    </row>
    <row r="14" spans="2:13" ht="15.75" x14ac:dyDescent="0.25">
      <c r="B14" s="23">
        <f t="shared" si="3"/>
        <v>2026</v>
      </c>
      <c r="C14" s="24">
        <f>IFERROR(IF(VLOOKUP($B14,'[9]Table 1'!$B$13:$C$35,2,FALSE)&lt;&gt;0,VLOOKUP($B14,'[9]Table 1'!$B$13:$C$35,2,FALSE),0),0)</f>
        <v>0</v>
      </c>
      <c r="D14" s="24">
        <f>IFERROR(IF(VLOOKUP($B14,'[10]Table 1'!$B$13:$C$35,2,FALSE)&lt;&gt;0,VLOOKUP($B14,'[10]Table 1'!$B$13:$C$35,2,FALSE),0),0)</f>
        <v>0</v>
      </c>
      <c r="E14" s="24">
        <f>IFERROR(IF(VLOOKUP($B14,'[11]Table 1'!$B$13:$C$35,2,FALSE)&lt;&gt;0,VLOOKUP($B14,'[11]Table 1'!$B$13:$C$35,2,FALSE),0),0)</f>
        <v>0</v>
      </c>
      <c r="G14" s="24">
        <f t="shared" si="0"/>
        <v>0</v>
      </c>
      <c r="H14" s="24">
        <f t="shared" si="1"/>
        <v>0</v>
      </c>
      <c r="I14" s="24">
        <f t="shared" si="2"/>
        <v>0</v>
      </c>
    </row>
    <row r="15" spans="2:13" ht="15.75" x14ac:dyDescent="0.25">
      <c r="B15" s="23">
        <f t="shared" si="3"/>
        <v>2027</v>
      </c>
      <c r="C15" s="24">
        <f>IFERROR(IF(VLOOKUP($B15,'[9]Table 1'!$B$13:$C$35,2,FALSE)&lt;&gt;0,VLOOKUP($B15,'[9]Table 1'!$B$13:$C$35,2,FALSE),0),0)</f>
        <v>0</v>
      </c>
      <c r="D15" s="24">
        <f>IFERROR(IF(VLOOKUP($B15,'[10]Table 1'!$B$13:$C$35,2,FALSE)&lt;&gt;0,VLOOKUP($B15,'[10]Table 1'!$B$13:$C$35,2,FALSE),0),0)</f>
        <v>0</v>
      </c>
      <c r="E15" s="24">
        <f>IFERROR(IF(VLOOKUP($B15,'[11]Table 1'!$B$13:$C$35,2,FALSE)&lt;&gt;0,VLOOKUP($B15,'[11]Table 1'!$B$13:$C$35,2,FALSE),0),0)</f>
        <v>0</v>
      </c>
      <c r="G15" s="24">
        <f t="shared" si="0"/>
        <v>0</v>
      </c>
      <c r="H15" s="24">
        <f t="shared" si="1"/>
        <v>0</v>
      </c>
      <c r="I15" s="24">
        <f t="shared" si="2"/>
        <v>0</v>
      </c>
    </row>
    <row r="16" spans="2:13" ht="15.75" x14ac:dyDescent="0.25">
      <c r="B16" s="23">
        <f t="shared" si="3"/>
        <v>2028</v>
      </c>
      <c r="C16" s="24">
        <f>IFERROR(IF(VLOOKUP($B16,'[9]Table 1'!$B$13:$C$35,2,FALSE)&lt;&gt;0,VLOOKUP($B16,'[9]Table 1'!$B$13:$C$35,2,FALSE),0),0)</f>
        <v>0</v>
      </c>
      <c r="D16" s="24">
        <f>IFERROR(IF(VLOOKUP($B16,'[10]Table 1'!$B$13:$C$35,2,FALSE)&lt;&gt;0,VLOOKUP($B16,'[10]Table 1'!$B$13:$C$35,2,FALSE),0),0)</f>
        <v>0</v>
      </c>
      <c r="E16" s="24">
        <f>IFERROR(IF(VLOOKUP($B16,'[11]Table 1'!$B$13:$C$35,2,FALSE)&lt;&gt;0,VLOOKUP($B16,'[11]Table 1'!$B$13:$C$35,2,FALSE),0),0)</f>
        <v>0</v>
      </c>
      <c r="G16" s="24">
        <f t="shared" si="0"/>
        <v>0</v>
      </c>
      <c r="H16" s="24">
        <f t="shared" si="1"/>
        <v>0</v>
      </c>
      <c r="I16" s="24">
        <f t="shared" si="2"/>
        <v>0</v>
      </c>
    </row>
    <row r="17" spans="2:9" ht="15.75" x14ac:dyDescent="0.25">
      <c r="B17" s="23">
        <f t="shared" si="3"/>
        <v>2029</v>
      </c>
      <c r="C17" s="24">
        <f>IFERROR(IF(VLOOKUP($B17,'[9]Table 1'!$B$13:$C$35,2,FALSE)&lt;&gt;0,VLOOKUP($B17,'[9]Table 1'!$B$13:$C$35,2,FALSE),0),0)</f>
        <v>0</v>
      </c>
      <c r="D17" s="24">
        <f>IFERROR(IF(VLOOKUP($B17,'[10]Table 1'!$B$13:$C$35,2,FALSE)&lt;&gt;0,VLOOKUP($B17,'[10]Table 1'!$B$13:$C$35,2,FALSE),0),0)</f>
        <v>0</v>
      </c>
      <c r="E17" s="24">
        <f>IFERROR(IF(VLOOKUP($B17,'[11]Table 1'!$B$13:$C$35,2,FALSE)&lt;&gt;0,VLOOKUP($B17,'[11]Table 1'!$B$13:$C$35,2,FALSE),0),0)</f>
        <v>0</v>
      </c>
      <c r="G17" s="24">
        <f t="shared" si="0"/>
        <v>0</v>
      </c>
      <c r="H17" s="24">
        <f t="shared" si="1"/>
        <v>0</v>
      </c>
      <c r="I17" s="24">
        <f t="shared" si="2"/>
        <v>0</v>
      </c>
    </row>
    <row r="18" spans="2:9" ht="15.75" x14ac:dyDescent="0.25">
      <c r="B18" s="23">
        <f t="shared" si="3"/>
        <v>2030</v>
      </c>
      <c r="C18" s="24">
        <f>IFERROR(IF(VLOOKUP($B18,'[9]Table 1'!$B$13:$C$35,2,FALSE)&lt;&gt;0,VLOOKUP($B18,'[9]Table 1'!$B$13:$C$35,2,FALSE),0),0)</f>
        <v>0</v>
      </c>
      <c r="D18" s="24">
        <f>IFERROR(IF(VLOOKUP($B18,'[10]Table 1'!$B$13:$C$35,2,FALSE)&lt;&gt;0,VLOOKUP($B18,'[10]Table 1'!$B$13:$C$35,2,FALSE),0),0)</f>
        <v>0</v>
      </c>
      <c r="E18" s="24">
        <f>IFERROR(IF(VLOOKUP($B18,'[11]Table 1'!$B$13:$C$35,2,FALSE)&lt;&gt;0,VLOOKUP($B18,'[11]Table 1'!$B$13:$C$35,2,FALSE),0),0)</f>
        <v>0</v>
      </c>
      <c r="G18" s="24">
        <f t="shared" si="0"/>
        <v>0</v>
      </c>
      <c r="H18" s="24">
        <f t="shared" si="1"/>
        <v>0</v>
      </c>
      <c r="I18" s="24">
        <f t="shared" si="2"/>
        <v>0</v>
      </c>
    </row>
    <row r="19" spans="2:9" ht="15.75" x14ac:dyDescent="0.25">
      <c r="B19" s="23">
        <f t="shared" si="3"/>
        <v>2031</v>
      </c>
      <c r="C19" s="24">
        <f>IFERROR(IF(VLOOKUP($B19,'[9]Table 1'!$B$13:$C$35,2,FALSE)&lt;&gt;0,VLOOKUP($B19,'[9]Table 1'!$B$13:$C$35,2,FALSE),0),0)</f>
        <v>119.28815572074085</v>
      </c>
      <c r="D19" s="24">
        <f>IFERROR(IF(VLOOKUP($B19,'[10]Table 1'!$B$13:$C$35,2,FALSE)&lt;&gt;0,VLOOKUP($B19,'[10]Table 1'!$B$13:$C$35,2,FALSE),0),0)</f>
        <v>119.28815572074085</v>
      </c>
      <c r="E19" s="24">
        <f>IFERROR(IF(VLOOKUP($B19,'[11]Table 1'!$B$13:$C$35,2,FALSE)&lt;&gt;0,VLOOKUP($B19,'[11]Table 1'!$B$13:$C$35,2,FALSE),0),0)</f>
        <v>119.28815572074085</v>
      </c>
      <c r="G19" s="24">
        <f t="shared" si="0"/>
        <v>13.617369374513796</v>
      </c>
      <c r="H19" s="24">
        <f t="shared" si="1"/>
        <v>13.617369374513796</v>
      </c>
      <c r="I19" s="24">
        <f t="shared" si="2"/>
        <v>13.617369374513796</v>
      </c>
    </row>
    <row r="20" spans="2:9" ht="15.75" x14ac:dyDescent="0.25">
      <c r="B20" s="23">
        <f t="shared" si="3"/>
        <v>2032</v>
      </c>
      <c r="C20" s="24">
        <f>IFERROR(IF(VLOOKUP($B20,'[9]Table 1'!$B$13:$C$35,2,FALSE)&lt;&gt;0,VLOOKUP($B20,'[9]Table 1'!$B$13:$C$35,2,FALSE),0),0)</f>
        <v>121.85224839400429</v>
      </c>
      <c r="D20" s="24">
        <f>IFERROR(IF(VLOOKUP($B20,'[10]Table 1'!$B$13:$C$35,2,FALSE)&lt;&gt;0,VLOOKUP($B20,'[10]Table 1'!$B$13:$C$35,2,FALSE),0),0)</f>
        <v>121.85224839400429</v>
      </c>
      <c r="E20" s="24">
        <f>IFERROR(IF(VLOOKUP($B20,'[11]Table 1'!$B$13:$C$35,2,FALSE)&lt;&gt;0,VLOOKUP($B20,'[11]Table 1'!$B$13:$C$35,2,FALSE),0),0)</f>
        <v>121.85224839400429</v>
      </c>
      <c r="G20" s="24">
        <f t="shared" si="0"/>
        <v>13.872068350865698</v>
      </c>
      <c r="H20" s="24">
        <f t="shared" si="1"/>
        <v>13.872068350865698</v>
      </c>
      <c r="I20" s="24">
        <f t="shared" si="2"/>
        <v>13.872068350865698</v>
      </c>
    </row>
    <row r="21" spans="2:9" ht="15.75" x14ac:dyDescent="0.25">
      <c r="B21" s="23">
        <f t="shared" si="3"/>
        <v>2033</v>
      </c>
      <c r="C21" s="24">
        <f>IFERROR(IF(VLOOKUP($B21,'[9]Table 1'!$B$13:$C$35,2,FALSE)&lt;&gt;0,VLOOKUP($B21,'[9]Table 1'!$B$13:$C$35,2,FALSE),0),0)</f>
        <v>124.47537473233405</v>
      </c>
      <c r="D21" s="24">
        <f>IFERROR(IF(VLOOKUP($B21,'[10]Table 1'!$B$13:$C$35,2,FALSE)&lt;&gt;0,VLOOKUP($B21,'[10]Table 1'!$B$13:$C$35,2,FALSE),0),0)</f>
        <v>124.47537473233405</v>
      </c>
      <c r="E21" s="24">
        <f>IFERROR(IF(VLOOKUP($B21,'[11]Table 1'!$B$13:$C$35,2,FALSE)&lt;&gt;0,VLOOKUP($B21,'[11]Table 1'!$B$13:$C$35,2,FALSE),0),0)</f>
        <v>124.47537473233405</v>
      </c>
      <c r="G21" s="24">
        <f t="shared" si="0"/>
        <v>14.209517663508453</v>
      </c>
      <c r="H21" s="24">
        <f t="shared" si="1"/>
        <v>14.209517663508453</v>
      </c>
      <c r="I21" s="24">
        <f t="shared" si="2"/>
        <v>14.209517663508453</v>
      </c>
    </row>
    <row r="22" spans="2:9" ht="15.75" x14ac:dyDescent="0.25">
      <c r="B22" s="23">
        <f t="shared" si="3"/>
        <v>2034</v>
      </c>
      <c r="C22" s="24">
        <f>IFERROR(IF(VLOOKUP($B22,'[9]Table 1'!$B$13:$C$35,2,FALSE)&lt;&gt;0,VLOOKUP($B22,'[9]Table 1'!$B$13:$C$35,2,FALSE),0),0)</f>
        <v>127.1627408993576</v>
      </c>
      <c r="D22" s="24">
        <f>IFERROR(IF(VLOOKUP($B22,'[10]Table 1'!$B$13:$C$35,2,FALSE)&lt;&gt;0,VLOOKUP($B22,'[10]Table 1'!$B$13:$C$35,2,FALSE),0),0)</f>
        <v>127.1627408993576</v>
      </c>
      <c r="E22" s="24">
        <f>IFERROR(IF(VLOOKUP($B22,'[11]Table 1'!$B$13:$C$35,2,FALSE)&lt;&gt;0,VLOOKUP($B22,'[11]Table 1'!$B$13:$C$35,2,FALSE),0),0)</f>
        <v>127.1627408993576</v>
      </c>
      <c r="G22" s="24">
        <f t="shared" si="0"/>
        <v>14.516294623214337</v>
      </c>
      <c r="H22" s="24">
        <f t="shared" si="1"/>
        <v>14.516294623214337</v>
      </c>
      <c r="I22" s="24">
        <f t="shared" si="2"/>
        <v>14.516294623214337</v>
      </c>
    </row>
    <row r="23" spans="2:9" ht="15.75" x14ac:dyDescent="0.25">
      <c r="B23" s="23">
        <f t="shared" si="3"/>
        <v>2035</v>
      </c>
      <c r="C23" s="24">
        <f>IFERROR(IF(VLOOKUP($B23,'[9]Table 1'!$B$13:$C$35,2,FALSE)&lt;&gt;0,VLOOKUP($B23,'[9]Table 1'!$B$13:$C$35,2,FALSE),0),0)</f>
        <v>129.90364025695931</v>
      </c>
      <c r="D23" s="24">
        <f>IFERROR(IF(VLOOKUP($B23,'[10]Table 1'!$B$13:$C$35,2,FALSE)&lt;&gt;0,VLOOKUP($B23,'[10]Table 1'!$B$13:$C$35,2,FALSE),0),0)</f>
        <v>129.90364025695931</v>
      </c>
      <c r="E23" s="24">
        <f>IFERROR(IF(VLOOKUP($B23,'[11]Table 1'!$B$13:$C$35,2,FALSE)&lt;&gt;0,VLOOKUP($B23,'[11]Table 1'!$B$13:$C$35,2,FALSE),0),0)</f>
        <v>129.90364025695931</v>
      </c>
      <c r="G23" s="24">
        <f t="shared" si="0"/>
        <v>14.82918267773508</v>
      </c>
      <c r="H23" s="24">
        <f t="shared" si="1"/>
        <v>14.82918267773508</v>
      </c>
      <c r="I23" s="24">
        <f t="shared" si="2"/>
        <v>14.82918267773508</v>
      </c>
    </row>
    <row r="24" spans="2:9" ht="15.75" x14ac:dyDescent="0.25">
      <c r="B24" s="23">
        <f t="shared" si="3"/>
        <v>2036</v>
      </c>
      <c r="C24" s="24">
        <f>IFERROR(IF(VLOOKUP($B24,'[9]Table 1'!$B$13:$C$35,2,FALSE)&lt;&gt;0,VLOOKUP($B24,'[9]Table 1'!$B$13:$C$35,2,FALSE),0),0)</f>
        <v>132.69807280513919</v>
      </c>
      <c r="D24" s="24">
        <f>IFERROR(IF(VLOOKUP($B24,'[10]Table 1'!$B$13:$C$35,2,FALSE)&lt;&gt;0,VLOOKUP($B24,'[10]Table 1'!$B$13:$C$35,2,FALSE),0),0)</f>
        <v>132.69807280513919</v>
      </c>
      <c r="E24" s="24">
        <f>IFERROR(IF(VLOOKUP($B24,'[11]Table 1'!$B$13:$C$35,2,FALSE)&lt;&gt;0,VLOOKUP($B24,'[11]Table 1'!$B$13:$C$35,2,FALSE),0),0)</f>
        <v>132.69807280513919</v>
      </c>
      <c r="G24" s="24">
        <f t="shared" si="0"/>
        <v>15.10679335213333</v>
      </c>
      <c r="H24" s="24">
        <f t="shared" si="1"/>
        <v>15.10679335213333</v>
      </c>
      <c r="I24" s="24">
        <f t="shared" si="2"/>
        <v>15.10679335213333</v>
      </c>
    </row>
    <row r="25" spans="2:9" ht="15.75" x14ac:dyDescent="0.25">
      <c r="B25" s="23">
        <f t="shared" si="3"/>
        <v>2037</v>
      </c>
      <c r="C25" s="24">
        <f>IFERROR(IF(VLOOKUP($B25,'[9]Table 1'!$B$13:$C$35,2,FALSE)&lt;&gt;0,VLOOKUP($B25,'[9]Table 1'!$B$13:$C$35,2,FALSE),0),0)</f>
        <v>135.55674518201286</v>
      </c>
      <c r="D25" s="24">
        <f>IFERROR(IF(VLOOKUP($B25,'[10]Table 1'!$B$13:$C$35,2,FALSE)&lt;&gt;0,VLOOKUP($B25,'[10]Table 1'!$B$13:$C$35,2,FALSE),0),0)</f>
        <v>135.55674518201286</v>
      </c>
      <c r="E25" s="24">
        <f>IFERROR(IF(VLOOKUP($B25,'[11]Table 1'!$B$13:$C$35,2,FALSE)&lt;&gt;0,VLOOKUP($B25,'[11]Table 1'!$B$13:$C$35,2,FALSE),0),0)</f>
        <v>135.55674518201286</v>
      </c>
      <c r="G25" s="24">
        <f t="shared" si="0"/>
        <v>15.474514290184116</v>
      </c>
      <c r="H25" s="24">
        <f t="shared" si="1"/>
        <v>15.474514290184116</v>
      </c>
      <c r="I25" s="24">
        <f t="shared" si="2"/>
        <v>15.474514290184116</v>
      </c>
    </row>
    <row r="26" spans="2:9" ht="15.75" x14ac:dyDescent="0.25">
      <c r="B26" s="23">
        <f t="shared" si="3"/>
        <v>2038</v>
      </c>
      <c r="C26" s="24">
        <f>IFERROR(IF(VLOOKUP($B26,'[9]Table 1'!$B$13:$C$35,2,FALSE)&lt;&gt;0,VLOOKUP($B26,'[9]Table 1'!$B$13:$C$35,2,FALSE),0),0)</f>
        <v>138.46895074946465</v>
      </c>
      <c r="D26" s="24">
        <f>IFERROR(IF(VLOOKUP($B26,'[10]Table 1'!$B$13:$C$35,2,FALSE)&lt;&gt;0,VLOOKUP($B26,'[10]Table 1'!$B$13:$C$35,2,FALSE),0),0)</f>
        <v>138.46895074946465</v>
      </c>
      <c r="E26" s="24">
        <f>IFERROR(IF(VLOOKUP($B26,'[11]Table 1'!$B$13:$C$35,2,FALSE)&lt;&gt;0,VLOOKUP($B26,'[11]Table 1'!$B$13:$C$35,2,FALSE),0),0)</f>
        <v>138.46895074946465</v>
      </c>
      <c r="G26" s="24">
        <f t="shared" si="0"/>
        <v>15.806957848112404</v>
      </c>
      <c r="H26" s="24">
        <f t="shared" si="1"/>
        <v>15.806957848112404</v>
      </c>
      <c r="I26" s="24">
        <f t="shared" si="2"/>
        <v>15.806957848112404</v>
      </c>
    </row>
    <row r="27" spans="2:9" ht="15.75" x14ac:dyDescent="0.25">
      <c r="B27" s="23">
        <f t="shared" si="3"/>
        <v>2039</v>
      </c>
      <c r="C27" s="24">
        <f>IFERROR(IF(VLOOKUP($B27,'[9]Table 1'!$B$13:$C$35,2,FALSE)&lt;&gt;0,VLOOKUP($B27,'[9]Table 1'!$B$13:$C$35,2,FALSE),0),0)</f>
        <v>141.45610278372592</v>
      </c>
      <c r="D27" s="24">
        <f>IFERROR(IF(VLOOKUP($B27,'[10]Table 1'!$B$13:$C$35,2,FALSE)&lt;&gt;0,VLOOKUP($B27,'[10]Table 1'!$B$13:$C$35,2,FALSE),0),0)</f>
        <v>141.45610278372592</v>
      </c>
      <c r="E27" s="24">
        <f>IFERROR(IF(VLOOKUP($B27,'[11]Table 1'!$B$13:$C$35,2,FALSE)&lt;&gt;0,VLOOKUP($B27,'[11]Table 1'!$B$13:$C$35,2,FALSE),0),0)</f>
        <v>141.45610278372592</v>
      </c>
      <c r="G27" s="24">
        <f t="shared" si="0"/>
        <v>16.147956938781498</v>
      </c>
      <c r="H27" s="24">
        <f t="shared" si="1"/>
        <v>16.147956938781498</v>
      </c>
      <c r="I27" s="24">
        <f t="shared" si="2"/>
        <v>16.147956938781498</v>
      </c>
    </row>
    <row r="28" spans="2:9" ht="15.75" x14ac:dyDescent="0.25">
      <c r="B28" s="23"/>
      <c r="C28" s="25"/>
      <c r="D28" s="25"/>
      <c r="E28" s="25"/>
      <c r="G28" s="25"/>
      <c r="H28" s="25"/>
    </row>
    <row r="29" spans="2:9" x14ac:dyDescent="0.2">
      <c r="B29" s="18" t="str">
        <f>"Nominal Levelized Payment at "&amp;TEXT($B$40,"0.000%")&amp;" Discount Rate (2)"</f>
        <v>Nominal Levelized Payment at 6.880% Discount Rate (2)</v>
      </c>
    </row>
    <row r="30" spans="2:9" x14ac:dyDescent="0.2">
      <c r="B30" s="26" t="str">
        <f>$B$11&amp;" - "&amp;B25</f>
        <v>2023 - 2037</v>
      </c>
      <c r="C30" s="27">
        <f t="shared" ref="C30:E32" si="4">PMT($B$40,COUNT(C11:C25),-NPV($B$40,C11:C25))</f>
        <v>43.828111400541637</v>
      </c>
      <c r="D30" s="27">
        <f t="shared" ref="D30" si="5">PMT($B$40,COUNT(D11:D25),-NPV($B$40,D11:D25))</f>
        <v>43.828111400541637</v>
      </c>
      <c r="E30" s="27">
        <f t="shared" si="4"/>
        <v>43.828111400541637</v>
      </c>
      <c r="G30" s="27">
        <f t="shared" ref="G30:I32" si="6">PMT($B$40,COUNT(G11:G25),-NPV($B$40,G11:G25))</f>
        <v>4.9993034175334472</v>
      </c>
      <c r="H30" s="27">
        <f t="shared" ref="H30" si="7">PMT($B$40,COUNT(H11:H25),-NPV($B$40,H11:H25))</f>
        <v>4.9993034175334472</v>
      </c>
      <c r="I30" s="27">
        <f t="shared" si="6"/>
        <v>4.9993034175334472</v>
      </c>
    </row>
    <row r="31" spans="2:9" x14ac:dyDescent="0.2">
      <c r="B31" s="26" t="str">
        <f>$B$12&amp;" - "&amp;B26</f>
        <v>2024 - 2038</v>
      </c>
      <c r="C31" s="27">
        <f t="shared" si="4"/>
        <v>52.404940277769462</v>
      </c>
      <c r="D31" s="27">
        <f t="shared" ref="D31" si="8">PMT($B$40,COUNT(D12:D26),-NPV($B$40,D12:D26))</f>
        <v>52.404940277769462</v>
      </c>
      <c r="E31" s="27">
        <f t="shared" si="4"/>
        <v>52.404940277769462</v>
      </c>
      <c r="G31" s="27">
        <f t="shared" si="6"/>
        <v>5.9781247635353818</v>
      </c>
      <c r="H31" s="27">
        <f t="shared" ref="H31" si="9">PMT($B$40,COUNT(H12:H26),-NPV($B$40,H12:H26))</f>
        <v>5.9781247635353818</v>
      </c>
      <c r="I31" s="27">
        <f t="shared" si="6"/>
        <v>5.9781247635353818</v>
      </c>
    </row>
    <row r="32" spans="2:9" x14ac:dyDescent="0.2">
      <c r="B32" s="26" t="str">
        <f>$B$13&amp;" - "&amp;B27</f>
        <v>2025 - 2039</v>
      </c>
      <c r="C32" s="27">
        <f t="shared" si="4"/>
        <v>61.691830694484707</v>
      </c>
      <c r="D32" s="27">
        <f t="shared" ref="D32" si="10">PMT($B$40,COUNT(D13:D27),-NPV($B$40,D13:D27))</f>
        <v>61.691830694484707</v>
      </c>
      <c r="E32" s="27">
        <f t="shared" si="4"/>
        <v>61.691830694484707</v>
      </c>
      <c r="G32" s="27">
        <f t="shared" si="6"/>
        <v>7.0379848757603058</v>
      </c>
      <c r="H32" s="27">
        <f t="shared" ref="H32" si="11">PMT($B$40,COUNT(H13:H27),-NPV($B$40,H13:H27))</f>
        <v>7.0379848757603058</v>
      </c>
      <c r="I32" s="27">
        <f t="shared" si="6"/>
        <v>7.0379848757603058</v>
      </c>
    </row>
    <row r="34" spans="2:12" x14ac:dyDescent="0.2">
      <c r="B34" s="18" t="str">
        <f>"(1)   Capacity costs are allocated based on assumed "&amp;TEXT(B42,"00%")&amp;" capacity factor."</f>
        <v>(1)   Capacity costs are allocated based on assumed 100% capacity factor.</v>
      </c>
    </row>
    <row r="35" spans="2:12" s="1" customFormat="1" x14ac:dyDescent="0.2">
      <c r="B35" s="18" t="str">
        <f>"(2)   "&amp;MID([1]Total!B35,7,99)</f>
        <v>(2)   Discount Rate - 2021 IRP</v>
      </c>
      <c r="C35" s="18"/>
      <c r="D35" s="18"/>
      <c r="E35" s="18"/>
      <c r="F35" s="18"/>
      <c r="G35" s="18"/>
      <c r="H35" s="18"/>
      <c r="K35"/>
      <c r="L35"/>
    </row>
    <row r="36" spans="2:12" x14ac:dyDescent="0.2">
      <c r="B36" s="18" t="s">
        <v>17</v>
      </c>
    </row>
    <row r="39" spans="2:12" x14ac:dyDescent="0.2">
      <c r="B39" s="18" t="str">
        <f>MID([1]Total!B35,7,99)</f>
        <v>Discount Rate - 2021 IRP</v>
      </c>
    </row>
    <row r="40" spans="2:12" x14ac:dyDescent="0.2">
      <c r="B40" s="28">
        <f>Discount_Rate</f>
        <v>6.88E-2</v>
      </c>
    </row>
    <row r="41" spans="2:12" x14ac:dyDescent="0.2">
      <c r="B41" s="18" t="s">
        <v>18</v>
      </c>
    </row>
    <row r="42" spans="2:12" x14ac:dyDescent="0.2">
      <c r="B42" s="72">
        <v>1</v>
      </c>
    </row>
  </sheetData>
  <printOptions horizontalCentered="1"/>
  <pageMargins left="0.25" right="0.25" top="0.75" bottom="0.75" header="0.3" footer="0.2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2023-03-28T21:19:07Z</cp:lastPrinted>
  <dcterms:created xsi:type="dcterms:W3CDTF">2006-07-10T20:43:15Z</dcterms:created>
  <dcterms:modified xsi:type="dcterms:W3CDTF">2023-03-28T22:44:04Z</dcterms:modified>
</cp:coreProperties>
</file>