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51\"/>
    </mc:Choice>
  </mc:AlternateContent>
  <bookViews>
    <workbookView xWindow="-120" yWindow="-120" windowWidth="20730" windowHeight="11160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TransCost" sheetId="47" state="hidden" r:id="rId6"/>
    <sheet name="Table 3 PV wS Borah_2026" sheetId="67" state="hidden" r:id="rId7"/>
    <sheet name="Table 3 StdBat  DJ_2029" sheetId="94" state="hidden" r:id="rId8"/>
    <sheet name="Table 3 PNC Wind_2026" sheetId="83" state="hidden" r:id="rId9"/>
    <sheet name="Table 3 PNC Wind_2038" sheetId="92" state="hidden" r:id="rId10"/>
    <sheet name="Table 3 WV Wind_2026" sheetId="84" state="hidden" r:id="rId11"/>
    <sheet name="Table 3 YK WindwS_2029" sheetId="95" state="hidden" r:id="rId12"/>
    <sheet name="Table 3 WYE Wind_2029" sheetId="43" state="hidden" r:id="rId13"/>
    <sheet name="Table 3 WYE_DJ Wind_2028" sheetId="82" state="hidden" r:id="rId14"/>
    <sheet name="Table 3 PV wS SOR_2028" sheetId="87" state="hidden" r:id="rId15"/>
    <sheet name="Table 3 PV wS SOR_2030" sheetId="88" state="hidden" r:id="rId16"/>
    <sheet name="Table 3 PV wS YK_2029" sheetId="89" state="hidden" r:id="rId17"/>
    <sheet name="Table 3 PV wS UTN_2031" sheetId="90" state="hidden" r:id="rId18"/>
    <sheet name="Table 3 PV wS UTS_2032" sheetId="91" state="hidden" r:id="rId19"/>
    <sheet name="Table 3 SmNuc 345MW (NTN) 2028" sheetId="86" state="hidden" r:id="rId20"/>
    <sheet name="Table 3 NonE 206MW (UTN) 2031" sheetId="68" state="hidden" r:id="rId21"/>
    <sheet name="Table 3 NonE 206MW (Hgtn)" sheetId="85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'[3]Table 1'!#REF!</definedName>
    <definedName name="dateTable">'[4]on off peak hours'!$C$15:$ED$15</definedName>
    <definedName name="Discount_Rate">'Table 1'!$I$43</definedName>
    <definedName name="Discount_Rate_2015_IRP">'[5]Table 7 to 8'!$AE$43</definedName>
    <definedName name="DispatchSum">"GRID Thermal Generation!R2C1:R4C2"</definedName>
    <definedName name="FixedSolar_Capacity_Contr">'[5]Exhibit 3- Std FixedSolar QF'!$G$53</definedName>
    <definedName name="HoursHoliday">'[4]on off peak hours'!$C$16:$ED$20</definedName>
    <definedName name="IRP21_Infl_Rate">'Table 1'!$K$47</definedName>
    <definedName name="Market">'[5]OFPC Source'!$J$8:$M$295</definedName>
    <definedName name="MidC_Flat">[6]Market_Price!#REF!</definedName>
    <definedName name="OR_AC_price">#REF!</definedName>
    <definedName name="_xlnm.Print_Area" localSheetId="0">'Table 1'!$A$1:$G$58</definedName>
    <definedName name="_xlnm.Print_Area" localSheetId="1">'Table 2'!$B$1:$P$36</definedName>
    <definedName name="_xlnm.Print_Area" localSheetId="21">'Table 3 NonE 206MW (Hgtn)'!$A$1:$M$74</definedName>
    <definedName name="_xlnm.Print_Area" localSheetId="20">'Table 3 NonE 206MW (UTN) 2031'!$A$1:$M$75</definedName>
    <definedName name="_xlnm.Print_Area" localSheetId="8">'Table 3 PNC Wind_2026'!$A$1:$Q$64</definedName>
    <definedName name="_xlnm.Print_Area" localSheetId="9">'Table 3 PNC Wind_2038'!$A$1:$Q$64</definedName>
    <definedName name="_xlnm.Print_Area" localSheetId="6">'Table 3 PV wS Borah_2026'!$A$1:$P$64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UTS_2032'!$A$1:$P$64</definedName>
    <definedName name="_xlnm.Print_Area" localSheetId="16">'Table 3 PV wS YK_2029'!$A$1:$P$64</definedName>
    <definedName name="_xlnm.Print_Area" localSheetId="19">'Table 3 SmNuc 345MW (NTN) 2028'!$A$1:$L$83</definedName>
    <definedName name="_xlnm.Print_Area" localSheetId="7">'Table 3 StdBat  DJ_2029'!$A$1:$P$64</definedName>
    <definedName name="_xlnm.Print_Area" localSheetId="5">'Table 3 TransCost'!$A$1:$BD$50</definedName>
    <definedName name="_xlnm.Print_Area" localSheetId="10">'Table 3 WV Wind_2026'!$A$1:$Q$64</definedName>
    <definedName name="_xlnm.Print_Area" localSheetId="12">'Table 3 WYE Wind_2029'!$A$1:$Q$64</definedName>
    <definedName name="_xlnm.Print_Area" localSheetId="13">'Table 3 WYE_DJ Wind_2028'!$A$1:$Q$64</definedName>
    <definedName name="_xlnm.Print_Area" localSheetId="11">'Table 3 YK WindwS_2029'!$A$1:$Q$64</definedName>
    <definedName name="_xlnm.Print_Area" localSheetId="2">'Table 4'!$A$1:$F$44</definedName>
    <definedName name="_xlnm.Print_Area" localSheetId="3">Table3ACsummary!$A$1:$M$50</definedName>
    <definedName name="_xlnm.Print_Titles" localSheetId="1">'Table 2'!$1:$9</definedName>
    <definedName name="_xlnm.Print_Titles" localSheetId="21">'Table 3 NonE 206MW (Hgtn)'!$1:$6</definedName>
    <definedName name="_xlnm.Print_Titles" localSheetId="20">'Table 3 NonE 206MW (UTN) 2031'!$1:$6</definedName>
    <definedName name="_xlnm.Print_Titles" localSheetId="19">'Table 3 SmNuc 345MW (NTN) 2028'!$1:$6</definedName>
    <definedName name="RenewableMarketShape">'[5]OFPC Source'!$P$5:$U$33</definedName>
    <definedName name="RevenueSum">"GRID Thermal Revenue!R2C1:R4C2"</definedName>
    <definedName name="Solar_Fixed_integr_cost">'[7]Table 10'!$B$46</definedName>
    <definedName name="Solar_HLH">'[5]OFPC Source'!$U$48</definedName>
    <definedName name="Solar_LLH">'[5]OFPC Source'!$V$48</definedName>
    <definedName name="Solar_Tracking_integr_cost">'[7]Table 10'!$B$45</definedName>
    <definedName name="Study_Cap_Adj" localSheetId="1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5">'Table 1'!$I$8</definedName>
    <definedName name="Study_Cap_Adj">'Table 1'!$I$8</definedName>
    <definedName name="Study_CF">'Table 5'!$M$7</definedName>
    <definedName name="Study_MW">'Table 5'!$M$6</definedName>
    <definedName name="ValuationDate">#REF!</definedName>
    <definedName name="Wind_Capacity_Contr">'[5]Exhibit 2- Std Wind QF '!$E$57</definedName>
    <definedName name="Wind_Integration_Charge">'[5]Exhibit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31" l="1"/>
  <c r="AA9" i="47" l="1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M31" i="25"/>
  <c r="AL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196" i="31" l="1"/>
  <c r="D196" i="31"/>
  <c r="D141" i="31"/>
  <c r="K141" i="31"/>
  <c r="D236" i="31"/>
  <c r="K236" i="31"/>
  <c r="K151" i="31"/>
  <c r="D151" i="31"/>
  <c r="D138" i="31"/>
  <c r="K138" i="31"/>
  <c r="D227" i="31"/>
  <c r="K227" i="31"/>
  <c r="D144" i="31"/>
  <c r="K144" i="31"/>
  <c r="K139" i="31"/>
  <c r="D139" i="31"/>
  <c r="K134" i="31"/>
  <c r="D134" i="31"/>
  <c r="D147" i="31"/>
  <c r="K147" i="31"/>
  <c r="D167" i="31"/>
  <c r="K167" i="31"/>
  <c r="K238" i="31"/>
  <c r="D238" i="31"/>
  <c r="D178" i="31"/>
  <c r="K178" i="31"/>
  <c r="K170" i="31"/>
  <c r="D170" i="31"/>
  <c r="D209" i="31"/>
  <c r="K209" i="31"/>
  <c r="D199" i="31"/>
  <c r="K199" i="31"/>
  <c r="K195" i="31"/>
  <c r="D195" i="31"/>
  <c r="O32" i="31"/>
  <c r="K205" i="31"/>
  <c r="D205" i="31"/>
  <c r="K162" i="31"/>
  <c r="D162" i="31"/>
  <c r="K219" i="31"/>
  <c r="D219" i="31"/>
  <c r="K135" i="31"/>
  <c r="D135" i="31"/>
  <c r="K188" i="31"/>
  <c r="D188" i="31"/>
  <c r="D212" i="31"/>
  <c r="K212" i="31"/>
  <c r="D137" i="31"/>
  <c r="K137" i="31"/>
  <c r="D204" i="31"/>
  <c r="K204" i="31"/>
  <c r="D175" i="31"/>
  <c r="K175" i="31"/>
  <c r="K159" i="31"/>
  <c r="D159" i="31"/>
  <c r="D152" i="31"/>
  <c r="K152" i="31"/>
  <c r="D142" i="31"/>
  <c r="K142" i="31"/>
  <c r="D200" i="31"/>
  <c r="K200" i="31"/>
  <c r="K210" i="31"/>
  <c r="D210" i="31"/>
  <c r="K153" i="31"/>
  <c r="D153" i="31"/>
  <c r="K213" i="31"/>
  <c r="D213" i="31"/>
  <c r="K224" i="31"/>
  <c r="D224" i="31"/>
  <c r="D232" i="31"/>
  <c r="K232" i="31"/>
  <c r="D140" i="31"/>
  <c r="K140" i="31"/>
  <c r="D173" i="31"/>
  <c r="K173" i="31"/>
  <c r="O29" i="31"/>
  <c r="D169" i="31"/>
  <c r="K169" i="31"/>
  <c r="D229" i="31"/>
  <c r="K229" i="31"/>
  <c r="O34" i="31"/>
  <c r="D225" i="31"/>
  <c r="K225" i="31"/>
  <c r="D218" i="31"/>
  <c r="K218" i="31"/>
  <c r="D206" i="31"/>
  <c r="K206" i="31"/>
  <c r="K146" i="31"/>
  <c r="D146" i="31"/>
  <c r="D211" i="31"/>
  <c r="K211" i="31"/>
  <c r="D154" i="31"/>
  <c r="K154" i="31"/>
  <c r="D183" i="31"/>
  <c r="K183" i="31"/>
  <c r="D193" i="31"/>
  <c r="O31" i="31"/>
  <c r="K193" i="31"/>
  <c r="K187" i="31"/>
  <c r="D187" i="31"/>
  <c r="D228" i="31"/>
  <c r="K228" i="31"/>
  <c r="K201" i="31"/>
  <c r="D201" i="31"/>
  <c r="K235" i="31"/>
  <c r="D235" i="31"/>
  <c r="D203" i="31"/>
  <c r="K203" i="31"/>
  <c r="D233" i="31"/>
  <c r="K233" i="31"/>
  <c r="D221" i="31"/>
  <c r="K221" i="31"/>
  <c r="K237" i="31"/>
  <c r="D237" i="31"/>
  <c r="D184" i="31"/>
  <c r="K184" i="31"/>
  <c r="K234" i="31"/>
  <c r="D234" i="31"/>
  <c r="D163" i="31"/>
  <c r="K163" i="31"/>
  <c r="K143" i="31"/>
  <c r="D143" i="31"/>
  <c r="K182" i="31"/>
  <c r="D182" i="31"/>
  <c r="K166" i="31"/>
  <c r="D166" i="31"/>
  <c r="K149" i="31"/>
  <c r="D149" i="31"/>
  <c r="K172" i="31"/>
  <c r="D172" i="31"/>
  <c r="K214" i="31"/>
  <c r="D214" i="31"/>
  <c r="D202" i="31"/>
  <c r="K202" i="31"/>
  <c r="K215" i="31"/>
  <c r="D215" i="31"/>
  <c r="K177" i="31"/>
  <c r="D177" i="31"/>
  <c r="D192" i="31"/>
  <c r="K192" i="31"/>
  <c r="D145" i="31"/>
  <c r="K145" i="31"/>
  <c r="O27" i="31"/>
  <c r="K148" i="31"/>
  <c r="D148" i="31"/>
  <c r="K207" i="31"/>
  <c r="D207" i="31"/>
  <c r="K150" i="31"/>
  <c r="D150" i="31"/>
  <c r="D185" i="31"/>
  <c r="K185" i="31"/>
  <c r="K239" i="31"/>
  <c r="D239" i="31"/>
  <c r="D179" i="31"/>
  <c r="K179" i="31"/>
  <c r="D220" i="31"/>
  <c r="K220" i="31"/>
  <c r="K217" i="31"/>
  <c r="D217" i="31"/>
  <c r="O33" i="31"/>
  <c r="K197" i="31"/>
  <c r="D197" i="31"/>
  <c r="K222" i="31"/>
  <c r="D222" i="31"/>
  <c r="D240" i="31"/>
  <c r="K240" i="31"/>
  <c r="D136" i="31"/>
  <c r="K136" i="31"/>
  <c r="K216" i="31"/>
  <c r="D216" i="31"/>
  <c r="D208" i="31"/>
  <c r="K208" i="31"/>
  <c r="D176" i="31"/>
  <c r="K176" i="31"/>
  <c r="K164" i="31"/>
  <c r="D164" i="31"/>
  <c r="D226" i="31"/>
  <c r="K226" i="31"/>
  <c r="D190" i="31"/>
  <c r="K190" i="31"/>
  <c r="D161" i="31"/>
  <c r="K161" i="31"/>
  <c r="K223" i="31"/>
  <c r="D223" i="31"/>
  <c r="K191" i="31"/>
  <c r="D191" i="31"/>
  <c r="K231" i="31"/>
  <c r="D231" i="31"/>
  <c r="K174" i="31"/>
  <c r="D174" i="31"/>
  <c r="K158" i="31"/>
  <c r="D158" i="31"/>
  <c r="D168" i="31"/>
  <c r="K168" i="31"/>
  <c r="K165" i="31"/>
  <c r="D165" i="31"/>
  <c r="O26" i="31"/>
  <c r="D133" i="31"/>
  <c r="K133" i="31"/>
  <c r="D155" i="31"/>
  <c r="K155" i="31"/>
  <c r="K230" i="31"/>
  <c r="D230" i="31"/>
  <c r="O30" i="31"/>
  <c r="D181" i="31"/>
  <c r="K181" i="31"/>
  <c r="D194" i="31"/>
  <c r="K194" i="31"/>
  <c r="K157" i="31"/>
  <c r="O28" i="31"/>
  <c r="D157" i="31"/>
  <c r="K156" i="31"/>
  <c r="D156" i="31"/>
  <c r="D198" i="31"/>
  <c r="K198" i="31"/>
  <c r="D160" i="31"/>
  <c r="K160" i="31"/>
  <c r="K189" i="31"/>
  <c r="D189" i="31"/>
  <c r="K180" i="31"/>
  <c r="D180" i="31"/>
  <c r="D171" i="31"/>
  <c r="K171" i="31"/>
  <c r="K186" i="31"/>
  <c r="D186" i="31"/>
  <c r="E239" i="31" l="1"/>
  <c r="G239" i="31" s="1"/>
  <c r="E207" i="31"/>
  <c r="G207" i="31" s="1"/>
  <c r="E215" i="31"/>
  <c r="G215" i="31" s="1"/>
  <c r="N28" i="31"/>
  <c r="E226" i="31"/>
  <c r="G226" i="31" s="1"/>
  <c r="E202" i="31"/>
  <c r="E204" i="31"/>
  <c r="G204" i="31" s="1"/>
  <c r="E219" i="31"/>
  <c r="G219" i="31" s="1"/>
  <c r="E235" i="31"/>
  <c r="G235" i="31" s="1"/>
  <c r="E213" i="31"/>
  <c r="G213" i="31" s="1"/>
  <c r="E238" i="31"/>
  <c r="G238" i="31" s="1"/>
  <c r="E218" i="31"/>
  <c r="G218" i="31" s="1"/>
  <c r="N30" i="31"/>
  <c r="N27" i="31"/>
  <c r="N31" i="31"/>
  <c r="N26" i="31"/>
  <c r="N29" i="31"/>
  <c r="E209" i="31"/>
  <c r="G209" i="31" s="1"/>
  <c r="E230" i="31"/>
  <c r="G230" i="31" s="1"/>
  <c r="E208" i="31"/>
  <c r="G208" i="31" s="1"/>
  <c r="N33" i="31"/>
  <c r="E210" i="31"/>
  <c r="G210" i="31" s="1"/>
  <c r="E214" i="31"/>
  <c r="G214" i="31" s="1"/>
  <c r="E234" i="31"/>
  <c r="G234" i="31" s="1"/>
  <c r="K249" i="31"/>
  <c r="C249" i="31" s="1"/>
  <c r="M34" i="31"/>
  <c r="E229" i="31"/>
  <c r="G229" i="31" s="1"/>
  <c r="D243" i="31"/>
  <c r="K242" i="31"/>
  <c r="C242" i="31" s="1"/>
  <c r="E206" i="31"/>
  <c r="G206" i="31" s="1"/>
  <c r="D242" i="31"/>
  <c r="O35" i="31"/>
  <c r="K241" i="31"/>
  <c r="C241" i="31" s="1"/>
  <c r="D241" i="31"/>
  <c r="E232" i="31"/>
  <c r="G232" i="31" s="1"/>
  <c r="E224" i="31"/>
  <c r="G224" i="31" s="1"/>
  <c r="E212" i="31"/>
  <c r="G212" i="31" s="1"/>
  <c r="M32" i="31"/>
  <c r="E205" i="31"/>
  <c r="G205" i="31" s="1"/>
  <c r="E231" i="31"/>
  <c r="G231" i="31" s="1"/>
  <c r="E223" i="31"/>
  <c r="G223" i="31" s="1"/>
  <c r="E240" i="31"/>
  <c r="G240" i="31" s="1"/>
  <c r="E222" i="31"/>
  <c r="G222" i="31" s="1"/>
  <c r="E220" i="31"/>
  <c r="G220" i="31" s="1"/>
  <c r="K251" i="31"/>
  <c r="C251" i="31" s="1"/>
  <c r="K245" i="31"/>
  <c r="C245" i="31" s="1"/>
  <c r="E228" i="31"/>
  <c r="G228" i="31" s="1"/>
  <c r="R31" i="31"/>
  <c r="E211" i="31"/>
  <c r="G211" i="31" s="1"/>
  <c r="K244" i="31"/>
  <c r="C244" i="31" s="1"/>
  <c r="N32" i="31"/>
  <c r="E236" i="31"/>
  <c r="G236" i="31" s="1"/>
  <c r="D244" i="31"/>
  <c r="K243" i="31"/>
  <c r="C243" i="31" s="1"/>
  <c r="E216" i="31"/>
  <c r="G216" i="31" s="1"/>
  <c r="K252" i="31"/>
  <c r="C252" i="31" s="1"/>
  <c r="E217" i="31"/>
  <c r="G217" i="31" s="1"/>
  <c r="M33" i="31"/>
  <c r="K246" i="31"/>
  <c r="C246" i="31" s="1"/>
  <c r="E237" i="31"/>
  <c r="G237" i="31" s="1"/>
  <c r="E221" i="31"/>
  <c r="G221" i="31" s="1"/>
  <c r="E233" i="31"/>
  <c r="G233" i="31" s="1"/>
  <c r="E203" i="31"/>
  <c r="K247" i="31"/>
  <c r="C247" i="31" s="1"/>
  <c r="E201" i="31"/>
  <c r="E225" i="31"/>
  <c r="G225" i="31" s="1"/>
  <c r="N34" i="31"/>
  <c r="E200" i="31"/>
  <c r="K250" i="31"/>
  <c r="C250" i="31" s="1"/>
  <c r="E227" i="31"/>
  <c r="G227" i="31" s="1"/>
  <c r="K248" i="31"/>
  <c r="C248" i="31" s="1"/>
  <c r="R26" i="31" l="1"/>
  <c r="R28" i="31"/>
  <c r="G201" i="31"/>
  <c r="R33" i="31"/>
  <c r="R27" i="31"/>
  <c r="G200" i="31"/>
  <c r="R29" i="31"/>
  <c r="R30" i="31"/>
  <c r="G202" i="31"/>
  <c r="R34" i="31"/>
  <c r="R32" i="31"/>
  <c r="G203" i="31"/>
  <c r="E244" i="31"/>
  <c r="G244" i="31" s="1"/>
  <c r="D250" i="31"/>
  <c r="E250" i="31" s="1"/>
  <c r="G250" i="31" s="1"/>
  <c r="D246" i="31"/>
  <c r="E246" i="31" s="1"/>
  <c r="G246" i="31" s="1"/>
  <c r="D247" i="31"/>
  <c r="E247" i="31" s="1"/>
  <c r="G247" i="31" s="1"/>
  <c r="D252" i="31"/>
  <c r="E252" i="31" s="1"/>
  <c r="G252" i="31" s="1"/>
  <c r="E243" i="31"/>
  <c r="G243" i="31" s="1"/>
  <c r="D249" i="31"/>
  <c r="E249" i="31" s="1"/>
  <c r="G249" i="31" s="1"/>
  <c r="D248" i="31"/>
  <c r="E248" i="31" s="1"/>
  <c r="G248" i="31" s="1"/>
  <c r="K260" i="31"/>
  <c r="C260" i="31" s="1"/>
  <c r="K262" i="31"/>
  <c r="C262" i="31" s="1"/>
  <c r="K256" i="31"/>
  <c r="C256" i="31" s="1"/>
  <c r="D245" i="31"/>
  <c r="E245" i="31" s="1"/>
  <c r="G245" i="31" s="1"/>
  <c r="Q32" i="31"/>
  <c r="P32" i="31"/>
  <c r="K261" i="31"/>
  <c r="C261" i="31" s="1"/>
  <c r="K263" i="31"/>
  <c r="C263" i="31" s="1"/>
  <c r="E241" i="31"/>
  <c r="G241" i="31" s="1"/>
  <c r="M35" i="31"/>
  <c r="Q34" i="31"/>
  <c r="P34" i="31"/>
  <c r="K258" i="31"/>
  <c r="C258" i="31" s="1"/>
  <c r="K257" i="31"/>
  <c r="C257" i="31" s="1"/>
  <c r="E242" i="31"/>
  <c r="G242" i="31" s="1"/>
  <c r="K259" i="31"/>
  <c r="C259" i="31" s="1"/>
  <c r="Q33" i="31"/>
  <c r="P33" i="31"/>
  <c r="K264" i="31"/>
  <c r="C264" i="31" s="1"/>
  <c r="K255" i="31"/>
  <c r="C255" i="31" s="1"/>
  <c r="D251" i="31"/>
  <c r="E251" i="31" s="1"/>
  <c r="G251" i="31" s="1"/>
  <c r="D254" i="31"/>
  <c r="K253" i="31"/>
  <c r="C253" i="31" s="1"/>
  <c r="O36" i="31"/>
  <c r="D253" i="31"/>
  <c r="K254" i="31"/>
  <c r="C254" i="31" s="1"/>
  <c r="E254" i="31" l="1"/>
  <c r="G254" i="31" s="1"/>
  <c r="N35" i="31"/>
  <c r="D262" i="31"/>
  <c r="E262" i="31" s="1"/>
  <c r="G262" i="31" s="1"/>
  <c r="D259" i="31"/>
  <c r="E259" i="31" s="1"/>
  <c r="G259" i="31" s="1"/>
  <c r="D257" i="31"/>
  <c r="E257" i="31" s="1"/>
  <c r="G257" i="31" s="1"/>
  <c r="D255" i="31"/>
  <c r="E255" i="31" s="1"/>
  <c r="G255" i="31" s="1"/>
  <c r="D264" i="31"/>
  <c r="E264" i="31" s="1"/>
  <c r="G264" i="31" s="1"/>
  <c r="D258" i="31"/>
  <c r="E258" i="31" s="1"/>
  <c r="G258" i="31" s="1"/>
  <c r="K273" i="31"/>
  <c r="C273" i="31" s="1"/>
  <c r="D273" i="31"/>
  <c r="K268" i="31"/>
  <c r="C268" i="31" s="1"/>
  <c r="D268" i="31"/>
  <c r="D274" i="31"/>
  <c r="K274" i="31"/>
  <c r="C274" i="31" s="1"/>
  <c r="Q35" i="31"/>
  <c r="D275" i="31"/>
  <c r="K275" i="31"/>
  <c r="C275" i="31" s="1"/>
  <c r="D260" i="31"/>
  <c r="E260" i="31" s="1"/>
  <c r="G260" i="31" s="1"/>
  <c r="M36" i="31"/>
  <c r="E253" i="31"/>
  <c r="G253" i="31" s="1"/>
  <c r="K276" i="31"/>
  <c r="C276" i="31" s="1"/>
  <c r="D276" i="31"/>
  <c r="D270" i="31"/>
  <c r="K270" i="31"/>
  <c r="C270" i="31" s="1"/>
  <c r="D261" i="31"/>
  <c r="E261" i="31" s="1"/>
  <c r="G261" i="31" s="1"/>
  <c r="D256" i="31"/>
  <c r="E256" i="31" s="1"/>
  <c r="G256" i="31" s="1"/>
  <c r="K266" i="31"/>
  <c r="C266" i="31" s="1"/>
  <c r="D266" i="31"/>
  <c r="D265" i="31"/>
  <c r="K265" i="31"/>
  <c r="C265" i="31" s="1"/>
  <c r="O37" i="31"/>
  <c r="K267" i="31"/>
  <c r="C267" i="31" s="1"/>
  <c r="D267" i="31"/>
  <c r="K271" i="31"/>
  <c r="C271" i="31" s="1"/>
  <c r="D271" i="31"/>
  <c r="D269" i="31"/>
  <c r="K269" i="31"/>
  <c r="C269" i="31" s="1"/>
  <c r="D263" i="31"/>
  <c r="E263" i="31" s="1"/>
  <c r="G263" i="31" s="1"/>
  <c r="K272" i="31"/>
  <c r="C272" i="31" s="1"/>
  <c r="D272" i="31"/>
  <c r="E266" i="31" l="1"/>
  <c r="G266" i="31" s="1"/>
  <c r="E275" i="31"/>
  <c r="G275" i="31" s="1"/>
  <c r="R35" i="31"/>
  <c r="E274" i="31"/>
  <c r="G274" i="31" s="1"/>
  <c r="E269" i="31"/>
  <c r="G269" i="31" s="1"/>
  <c r="N36" i="31"/>
  <c r="E276" i="31"/>
  <c r="G276" i="31" s="1"/>
  <c r="P35" i="31"/>
  <c r="E268" i="31"/>
  <c r="G268" i="31" s="1"/>
  <c r="E272" i="31"/>
  <c r="G272" i="31" s="1"/>
  <c r="E267" i="31"/>
  <c r="G267" i="31" s="1"/>
  <c r="E270" i="31"/>
  <c r="G270" i="31" s="1"/>
  <c r="E273" i="31"/>
  <c r="G273" i="31" s="1"/>
  <c r="Q36" i="31"/>
  <c r="E271" i="31"/>
  <c r="G271" i="31" s="1"/>
  <c r="M37" i="31"/>
  <c r="E265" i="31"/>
  <c r="G265" i="31" s="1"/>
  <c r="N37" i="31"/>
  <c r="R37" i="31" l="1"/>
  <c r="R36" i="31"/>
  <c r="P36" i="31"/>
  <c r="Q37" i="31"/>
  <c r="P37" i="31"/>
  <c r="E161" i="31" l="1"/>
  <c r="E152" i="31"/>
  <c r="E171" i="31"/>
  <c r="E147" i="31"/>
  <c r="E197" i="31"/>
  <c r="E183" i="31"/>
  <c r="E194" i="31"/>
  <c r="E170" i="31"/>
  <c r="E187" i="31"/>
  <c r="E188" i="31"/>
  <c r="E195" i="31"/>
  <c r="E150" i="31"/>
  <c r="E178" i="31"/>
  <c r="E172" i="31"/>
  <c r="E191" i="31"/>
  <c r="E158" i="31"/>
  <c r="E144" i="31"/>
  <c r="E186" i="31"/>
  <c r="E162" i="31"/>
  <c r="E198" i="31"/>
  <c r="E184" i="31"/>
  <c r="E156" i="31"/>
  <c r="E199" i="31"/>
  <c r="E177" i="31"/>
  <c r="E149" i="31"/>
  <c r="E173" i="31"/>
  <c r="E135" i="31"/>
  <c r="E163" i="31"/>
  <c r="E164" i="31"/>
  <c r="E166" i="31"/>
  <c r="E146" i="31"/>
  <c r="E139" i="31"/>
  <c r="E137" i="31"/>
  <c r="E140" i="31"/>
  <c r="E167" i="31"/>
  <c r="E159" i="31"/>
  <c r="E151" i="31"/>
  <c r="E165" i="31"/>
  <c r="E176" i="31"/>
  <c r="E160" i="31"/>
  <c r="E189" i="31"/>
  <c r="E182" i="31"/>
  <c r="E196" i="31"/>
  <c r="E148" i="31"/>
  <c r="E190" i="31"/>
  <c r="E179" i="31"/>
  <c r="E175" i="31"/>
  <c r="E153" i="31"/>
  <c r="E136" i="31"/>
  <c r="E174" i="31"/>
  <c r="E154" i="31"/>
  <c r="E134" i="31"/>
  <c r="E155" i="31"/>
  <c r="E185" i="31"/>
  <c r="G189" i="31" l="1"/>
  <c r="G165" i="31"/>
  <c r="G159" i="31"/>
  <c r="G140" i="31"/>
  <c r="G146" i="31"/>
  <c r="G164" i="31"/>
  <c r="G149" i="31"/>
  <c r="G156" i="31"/>
  <c r="G198" i="31"/>
  <c r="G186" i="31"/>
  <c r="G194" i="31"/>
  <c r="G183" i="31"/>
  <c r="G197" i="31"/>
  <c r="G185" i="31"/>
  <c r="G174" i="31"/>
  <c r="G190" i="31"/>
  <c r="G173" i="31"/>
  <c r="G177" i="31"/>
  <c r="G158" i="31"/>
  <c r="G195" i="31"/>
  <c r="G187" i="31"/>
  <c r="G171" i="31"/>
  <c r="G161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188" i="31"/>
  <c r="G152" i="31"/>
  <c r="E180" i="31"/>
  <c r="E168" i="3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M26" i="31" l="1"/>
  <c r="E133" i="31"/>
  <c r="M30" i="31"/>
  <c r="E181" i="31"/>
  <c r="G181" i="31" l="1"/>
  <c r="G133" i="31"/>
  <c r="E157" i="31"/>
  <c r="M28" i="31"/>
  <c r="E145" i="31"/>
  <c r="M27" i="31"/>
  <c r="E169" i="31"/>
  <c r="M29" i="31"/>
  <c r="P30" i="31"/>
  <c r="Q30" i="31"/>
  <c r="M31" i="31"/>
  <c r="E193" i="31"/>
  <c r="P26" i="31"/>
  <c r="Q26" i="31"/>
  <c r="G169" i="31" l="1"/>
  <c r="G157" i="31"/>
  <c r="G145" i="31"/>
  <c r="G193" i="31"/>
  <c r="P27" i="31"/>
  <c r="Q27" i="31"/>
  <c r="Q29" i="31"/>
  <c r="P29" i="31"/>
  <c r="P28" i="31"/>
  <c r="Q28" i="31"/>
  <c r="Q31" i="31"/>
  <c r="P31" i="31"/>
  <c r="F9" i="31"/>
  <c r="D125" i="31" l="1"/>
  <c r="K125" i="31"/>
  <c r="K17" i="31"/>
  <c r="D17" i="31"/>
  <c r="D84" i="31"/>
  <c r="K84" i="31"/>
  <c r="K18" i="31"/>
  <c r="D18" i="31"/>
  <c r="D24" i="31"/>
  <c r="K24" i="31"/>
  <c r="K19" i="31"/>
  <c r="D19" i="31"/>
  <c r="K14" i="31"/>
  <c r="D14" i="31"/>
  <c r="D27" i="31"/>
  <c r="K27" i="31"/>
  <c r="D47" i="31"/>
  <c r="K47" i="31"/>
  <c r="D126" i="31"/>
  <c r="K126" i="31"/>
  <c r="K118" i="31"/>
  <c r="D118" i="31"/>
  <c r="D121" i="31"/>
  <c r="K121" i="31"/>
  <c r="O25" i="31"/>
  <c r="K130" i="31"/>
  <c r="D130" i="31"/>
  <c r="K58" i="31"/>
  <c r="D58" i="31"/>
  <c r="D50" i="31"/>
  <c r="K50" i="31"/>
  <c r="D89" i="31"/>
  <c r="K89" i="31"/>
  <c r="K79" i="31"/>
  <c r="D79" i="31"/>
  <c r="K75" i="31"/>
  <c r="D75" i="31"/>
  <c r="K85" i="31"/>
  <c r="O22" i="31"/>
  <c r="D85" i="31"/>
  <c r="D42" i="31"/>
  <c r="K42" i="31"/>
  <c r="D99" i="31"/>
  <c r="K99" i="31"/>
  <c r="D15" i="31"/>
  <c r="K15" i="31"/>
  <c r="K68" i="31"/>
  <c r="D68" i="31"/>
  <c r="D92" i="31"/>
  <c r="K92" i="31"/>
  <c r="D62" i="31"/>
  <c r="K62" i="31"/>
  <c r="D116" i="31"/>
  <c r="K116" i="31"/>
  <c r="K31" i="31"/>
  <c r="D31" i="31"/>
  <c r="K107" i="31"/>
  <c r="D107" i="31"/>
  <c r="K55" i="31"/>
  <c r="D55" i="31"/>
  <c r="K127" i="31"/>
  <c r="D127" i="31"/>
  <c r="D39" i="31"/>
  <c r="K39" i="31"/>
  <c r="D32" i="31"/>
  <c r="K32" i="31"/>
  <c r="D22" i="31"/>
  <c r="K22" i="31"/>
  <c r="D80" i="31"/>
  <c r="K80" i="31"/>
  <c r="K90" i="31"/>
  <c r="D90" i="31"/>
  <c r="D33" i="31"/>
  <c r="K33" i="31"/>
  <c r="D93" i="31"/>
  <c r="K93" i="31"/>
  <c r="K104" i="31"/>
  <c r="D104" i="31"/>
  <c r="D112" i="31"/>
  <c r="K112" i="31"/>
  <c r="K20" i="31"/>
  <c r="D20" i="31"/>
  <c r="K53" i="31"/>
  <c r="D53" i="31"/>
  <c r="K49" i="31"/>
  <c r="O19" i="31"/>
  <c r="D49" i="31"/>
  <c r="K109" i="31"/>
  <c r="O24" i="31"/>
  <c r="D109" i="31"/>
  <c r="K105" i="31"/>
  <c r="D105" i="31"/>
  <c r="K98" i="31"/>
  <c r="D98" i="31"/>
  <c r="E98" i="31"/>
  <c r="K86" i="31"/>
  <c r="D86" i="31"/>
  <c r="K26" i="31"/>
  <c r="D26" i="31"/>
  <c r="K91" i="31"/>
  <c r="D91" i="31"/>
  <c r="D34" i="31"/>
  <c r="K34" i="31"/>
  <c r="K63" i="31"/>
  <c r="D63" i="31"/>
  <c r="O21" i="31"/>
  <c r="K73" i="31"/>
  <c r="D73" i="31"/>
  <c r="K67" i="31"/>
  <c r="D67" i="31"/>
  <c r="K108" i="31"/>
  <c r="D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K114" i="31"/>
  <c r="D114" i="31"/>
  <c r="K43" i="31"/>
  <c r="D43" i="31"/>
  <c r="K23" i="31"/>
  <c r="D23" i="31"/>
  <c r="K76" i="31"/>
  <c r="D76" i="31"/>
  <c r="D100" i="31"/>
  <c r="K100" i="31"/>
  <c r="D97" i="31"/>
  <c r="O23" i="31"/>
  <c r="K97" i="31"/>
  <c r="D29" i="31"/>
  <c r="K29" i="31"/>
  <c r="D52" i="31"/>
  <c r="K52" i="31"/>
  <c r="K128" i="31"/>
  <c r="D128" i="31"/>
  <c r="K129" i="31"/>
  <c r="D129" i="31"/>
  <c r="D94" i="31"/>
  <c r="K94" i="31"/>
  <c r="K82" i="31"/>
  <c r="D82" i="31"/>
  <c r="D95" i="31"/>
  <c r="K95" i="31"/>
  <c r="D57" i="31"/>
  <c r="K57" i="31"/>
  <c r="D72" i="31"/>
  <c r="K72" i="31"/>
  <c r="D12" i="31"/>
  <c r="G12" i="31" s="1"/>
  <c r="K25" i="31"/>
  <c r="O17" i="31"/>
  <c r="D25" i="31"/>
  <c r="K28" i="31"/>
  <c r="D28" i="31"/>
  <c r="D87" i="31"/>
  <c r="K87" i="31"/>
  <c r="K132" i="31"/>
  <c r="D132" i="31"/>
  <c r="D30" i="31"/>
  <c r="K30" i="31"/>
  <c r="D65" i="31"/>
  <c r="K65" i="31"/>
  <c r="K119" i="31"/>
  <c r="D119" i="31"/>
  <c r="E119" i="31"/>
  <c r="K59" i="31"/>
  <c r="D59" i="31"/>
  <c r="K21" i="31"/>
  <c r="D21" i="31"/>
  <c r="D46" i="31"/>
  <c r="K46" i="31"/>
  <c r="K77" i="31"/>
  <c r="D77" i="31"/>
  <c r="K102" i="31"/>
  <c r="D102" i="31"/>
  <c r="E102" i="31"/>
  <c r="D120" i="31"/>
  <c r="K120" i="31"/>
  <c r="K16" i="31"/>
  <c r="D16" i="31"/>
  <c r="D96" i="31"/>
  <c r="K96" i="31"/>
  <c r="D88" i="31"/>
  <c r="K88" i="31"/>
  <c r="D56" i="31"/>
  <c r="K56" i="31"/>
  <c r="D44" i="31"/>
  <c r="K44" i="31"/>
  <c r="D106" i="31"/>
  <c r="K106" i="31"/>
  <c r="D70" i="31"/>
  <c r="K70" i="31"/>
  <c r="K41" i="31"/>
  <c r="D41" i="31"/>
  <c r="E41" i="31" s="1"/>
  <c r="K103" i="31"/>
  <c r="D103" i="31"/>
  <c r="D122" i="31"/>
  <c r="K122" i="31"/>
  <c r="D71" i="31"/>
  <c r="K71" i="31"/>
  <c r="D111" i="31"/>
  <c r="K111" i="31"/>
  <c r="D54" i="31"/>
  <c r="K54" i="31"/>
  <c r="D38" i="31"/>
  <c r="K38" i="31"/>
  <c r="K48" i="31"/>
  <c r="D48" i="31"/>
  <c r="D124" i="31"/>
  <c r="K124" i="31"/>
  <c r="D45" i="31"/>
  <c r="K45" i="31"/>
  <c r="O16" i="31"/>
  <c r="D13" i="31"/>
  <c r="K13" i="31"/>
  <c r="K35" i="31"/>
  <c r="D35" i="31"/>
  <c r="K110" i="31"/>
  <c r="D110" i="31"/>
  <c r="D131" i="31"/>
  <c r="K131" i="31"/>
  <c r="O20" i="31"/>
  <c r="D61" i="31"/>
  <c r="K61" i="31"/>
  <c r="D74" i="31"/>
  <c r="K74" i="31"/>
  <c r="D37" i="31"/>
  <c r="O18" i="31"/>
  <c r="K37" i="31"/>
  <c r="K36" i="31"/>
  <c r="D36" i="31"/>
  <c r="D78" i="31"/>
  <c r="K78" i="31"/>
  <c r="D40" i="31"/>
  <c r="K40" i="31"/>
  <c r="D69" i="31"/>
  <c r="K69" i="31"/>
  <c r="K60" i="31"/>
  <c r="D60" i="31"/>
  <c r="D51" i="31"/>
  <c r="K51" i="31"/>
  <c r="D66" i="31"/>
  <c r="K66" i="31"/>
  <c r="K123" i="31"/>
  <c r="D123" i="31"/>
  <c r="D9" i="31"/>
  <c r="E100" i="31" l="1"/>
  <c r="E81" i="31"/>
  <c r="E34" i="31"/>
  <c r="E27" i="31"/>
  <c r="E125" i="31"/>
  <c r="G102" i="31"/>
  <c r="G34" i="31"/>
  <c r="G98" i="31"/>
  <c r="G100" i="31"/>
  <c r="G81" i="31"/>
  <c r="G41" i="31"/>
  <c r="G119" i="31"/>
  <c r="E47" i="31"/>
  <c r="E82" i="31"/>
  <c r="E71" i="31"/>
  <c r="E70" i="31"/>
  <c r="E88" i="31"/>
  <c r="E120" i="31"/>
  <c r="E65" i="31"/>
  <c r="E115" i="31"/>
  <c r="E124" i="31"/>
  <c r="E111" i="31"/>
  <c r="E56" i="31"/>
  <c r="E46" i="31"/>
  <c r="E87" i="31"/>
  <c r="E83" i="31"/>
  <c r="E126" i="31"/>
  <c r="N18" i="31"/>
  <c r="E90" i="31"/>
  <c r="E107" i="31"/>
  <c r="E118" i="31"/>
  <c r="E48" i="31"/>
  <c r="E28" i="31"/>
  <c r="E91" i="31"/>
  <c r="E105" i="31"/>
  <c r="E55" i="31"/>
  <c r="E89" i="31"/>
  <c r="E50" i="31"/>
  <c r="E131" i="31"/>
  <c r="E45" i="31"/>
  <c r="E54" i="31"/>
  <c r="E103" i="31"/>
  <c r="E44" i="31"/>
  <c r="E77" i="31"/>
  <c r="E59" i="31"/>
  <c r="E132" i="31"/>
  <c r="E128" i="31"/>
  <c r="E117" i="31"/>
  <c r="E101" i="31"/>
  <c r="E63" i="31"/>
  <c r="E86" i="31"/>
  <c r="E127" i="31"/>
  <c r="N20" i="31"/>
  <c r="E38" i="31"/>
  <c r="E122" i="31"/>
  <c r="E106" i="31"/>
  <c r="E96" i="31"/>
  <c r="E30" i="31"/>
  <c r="E129" i="31"/>
  <c r="E26" i="31"/>
  <c r="E53" i="31"/>
  <c r="E104" i="31"/>
  <c r="E31" i="31"/>
  <c r="E68" i="31"/>
  <c r="E84" i="31"/>
  <c r="E110" i="31"/>
  <c r="E35" i="31"/>
  <c r="E76" i="31"/>
  <c r="E43" i="31"/>
  <c r="E114" i="31"/>
  <c r="E64" i="31"/>
  <c r="E113" i="31"/>
  <c r="E108" i="31"/>
  <c r="E67" i="31"/>
  <c r="M21" i="31"/>
  <c r="E73" i="31"/>
  <c r="N22" i="31"/>
  <c r="E75" i="31"/>
  <c r="E79" i="31"/>
  <c r="E58" i="31"/>
  <c r="E130" i="31"/>
  <c r="M25" i="31"/>
  <c r="E121" i="31"/>
  <c r="K5" i="31"/>
  <c r="K6" i="31" s="1"/>
  <c r="K4" i="31"/>
  <c r="M17" i="31"/>
  <c r="E25" i="31"/>
  <c r="N21" i="31"/>
  <c r="M24" i="31"/>
  <c r="E109" i="31"/>
  <c r="E123" i="31"/>
  <c r="E66" i="31"/>
  <c r="E51" i="31"/>
  <c r="E60" i="31"/>
  <c r="E69" i="31"/>
  <c r="E40" i="31"/>
  <c r="E78" i="31"/>
  <c r="E36" i="31"/>
  <c r="E37" i="31"/>
  <c r="M18" i="31"/>
  <c r="N16" i="31"/>
  <c r="N17" i="31"/>
  <c r="N23" i="31"/>
  <c r="N24" i="31"/>
  <c r="E49" i="31"/>
  <c r="M19" i="31"/>
  <c r="E74" i="31"/>
  <c r="M20" i="31"/>
  <c r="E61" i="31"/>
  <c r="E72" i="31"/>
  <c r="E57" i="31"/>
  <c r="E95" i="31"/>
  <c r="E94" i="31"/>
  <c r="E52" i="31"/>
  <c r="E29" i="31"/>
  <c r="M23" i="31"/>
  <c r="E97" i="31"/>
  <c r="N19" i="31"/>
  <c r="E112" i="31"/>
  <c r="E93" i="31"/>
  <c r="E33" i="31"/>
  <c r="E80" i="31"/>
  <c r="E32" i="31"/>
  <c r="E39" i="31"/>
  <c r="E116" i="31"/>
  <c r="E62" i="31"/>
  <c r="E92" i="31"/>
  <c r="E99" i="31"/>
  <c r="E42" i="31"/>
  <c r="E85" i="31"/>
  <c r="M22" i="31"/>
  <c r="N25" i="31"/>
  <c r="R17" i="31" l="1"/>
  <c r="R16" i="31"/>
  <c r="G125" i="31"/>
  <c r="G27" i="31"/>
  <c r="G95" i="31"/>
  <c r="R24" i="31"/>
  <c r="G40" i="31"/>
  <c r="G66" i="31"/>
  <c r="R21" i="31"/>
  <c r="G58" i="31"/>
  <c r="G73" i="31"/>
  <c r="G113" i="31"/>
  <c r="G76" i="31"/>
  <c r="G68" i="31"/>
  <c r="G26" i="31"/>
  <c r="G106" i="31"/>
  <c r="G127" i="31"/>
  <c r="G117" i="31"/>
  <c r="G77" i="31"/>
  <c r="G45" i="31"/>
  <c r="G55" i="31"/>
  <c r="G48" i="31"/>
  <c r="R18" i="31"/>
  <c r="G46" i="31"/>
  <c r="G115" i="31"/>
  <c r="G70" i="31"/>
  <c r="G92" i="31"/>
  <c r="G32" i="31"/>
  <c r="G112" i="31"/>
  <c r="G29" i="31"/>
  <c r="G57" i="31"/>
  <c r="G74" i="31"/>
  <c r="R23" i="31"/>
  <c r="G37" i="31"/>
  <c r="G69" i="31"/>
  <c r="G123" i="31"/>
  <c r="G25" i="31"/>
  <c r="G121" i="31"/>
  <c r="G79" i="31"/>
  <c r="G64" i="31"/>
  <c r="G35" i="31"/>
  <c r="G31" i="31"/>
  <c r="G129" i="31"/>
  <c r="G122" i="31"/>
  <c r="G86" i="31"/>
  <c r="G128" i="31"/>
  <c r="G44" i="31"/>
  <c r="G131" i="31"/>
  <c r="G105" i="31"/>
  <c r="G118" i="31"/>
  <c r="G126" i="31"/>
  <c r="G56" i="31"/>
  <c r="G65" i="31"/>
  <c r="G71" i="31"/>
  <c r="G39" i="31"/>
  <c r="G85" i="31"/>
  <c r="G62" i="31"/>
  <c r="G80" i="31"/>
  <c r="R19" i="31"/>
  <c r="G52" i="31"/>
  <c r="G72" i="31"/>
  <c r="G36" i="31"/>
  <c r="G60" i="31"/>
  <c r="G109" i="31"/>
  <c r="G75" i="31"/>
  <c r="G67" i="31"/>
  <c r="G114" i="31"/>
  <c r="G110" i="31"/>
  <c r="G104" i="31"/>
  <c r="G30" i="31"/>
  <c r="G38" i="31"/>
  <c r="G63" i="31"/>
  <c r="G132" i="31"/>
  <c r="G103" i="31"/>
  <c r="G50" i="31"/>
  <c r="G91" i="31"/>
  <c r="G107" i="31"/>
  <c r="G83" i="31"/>
  <c r="G111" i="31"/>
  <c r="G120" i="31"/>
  <c r="G82" i="31"/>
  <c r="R25" i="31"/>
  <c r="G99" i="31"/>
  <c r="G93" i="31"/>
  <c r="G42" i="31"/>
  <c r="G116" i="31"/>
  <c r="G33" i="31"/>
  <c r="G97" i="31"/>
  <c r="G94" i="31"/>
  <c r="G61" i="31"/>
  <c r="G49" i="31"/>
  <c r="G78" i="31"/>
  <c r="G51" i="31"/>
  <c r="G130" i="31"/>
  <c r="R22" i="31"/>
  <c r="G108" i="31"/>
  <c r="G43" i="31"/>
  <c r="G84" i="31"/>
  <c r="G53" i="31"/>
  <c r="G96" i="31"/>
  <c r="R20" i="31"/>
  <c r="G101" i="31"/>
  <c r="G59" i="31"/>
  <c r="G54" i="31"/>
  <c r="G89" i="31"/>
  <c r="G28" i="31"/>
  <c r="G90" i="31"/>
  <c r="G87" i="31"/>
  <c r="G124" i="31"/>
  <c r="G88" i="31"/>
  <c r="G47" i="31"/>
  <c r="Q23" i="31"/>
  <c r="P23" i="31"/>
  <c r="P20" i="31"/>
  <c r="Q20" i="31"/>
  <c r="P18" i="31"/>
  <c r="Q18" i="31"/>
  <c r="B5" i="31"/>
  <c r="K3" i="25"/>
  <c r="M7" i="31"/>
  <c r="Q22" i="31"/>
  <c r="P22" i="31"/>
  <c r="P21" i="31"/>
  <c r="Q21" i="31"/>
  <c r="P19" i="31"/>
  <c r="Q19" i="31"/>
  <c r="Q17" i="31"/>
  <c r="P17" i="31"/>
  <c r="P25" i="31"/>
  <c r="Q25" i="31"/>
  <c r="Q24" i="31"/>
  <c r="P24" i="31"/>
  <c r="G9" i="25" l="1"/>
  <c r="B5" i="25"/>
  <c r="C57" i="25"/>
  <c r="C53" i="25"/>
  <c r="C49" i="25"/>
  <c r="E27" i="25"/>
  <c r="G30" i="25"/>
  <c r="G14" i="25"/>
  <c r="E32" i="25"/>
  <c r="G21" i="25"/>
  <c r="G27" i="25"/>
  <c r="E18" i="25"/>
  <c r="E31" i="25"/>
  <c r="G28" i="25"/>
  <c r="E26" i="25"/>
  <c r="E23" i="25"/>
  <c r="E16" i="25"/>
  <c r="G26" i="25"/>
  <c r="E22" i="25"/>
  <c r="E17" i="25"/>
  <c r="G17" i="25"/>
  <c r="E21" i="25"/>
  <c r="E30" i="25"/>
  <c r="G31" i="25"/>
  <c r="G33" i="25"/>
  <c r="G20" i="25"/>
  <c r="G24" i="25"/>
  <c r="G22" i="25"/>
  <c r="E14" i="25"/>
  <c r="E28" i="25"/>
  <c r="E19" i="25"/>
  <c r="G16" i="25"/>
  <c r="G32" i="25"/>
  <c r="G25" i="25"/>
  <c r="E15" i="25"/>
  <c r="E29" i="25"/>
  <c r="E33" i="25"/>
  <c r="G18" i="25"/>
  <c r="G15" i="25"/>
  <c r="E34" i="25"/>
  <c r="G34" i="25"/>
  <c r="G29" i="25"/>
  <c r="G19" i="25"/>
  <c r="E24" i="25"/>
  <c r="E25" i="25"/>
  <c r="G23" i="25"/>
  <c r="E20" i="25"/>
  <c r="B4" i="31" l="1"/>
  <c r="B5" i="66"/>
  <c r="B5" i="28"/>
  <c r="E24" i="31" l="1"/>
  <c r="E15" i="31"/>
  <c r="E19" i="31"/>
  <c r="E17" i="31"/>
  <c r="E16" i="31"/>
  <c r="E14" i="31"/>
  <c r="G14" i="31" l="1"/>
  <c r="G15" i="31"/>
  <c r="G24" i="31"/>
  <c r="G16" i="31"/>
  <c r="G17" i="31"/>
  <c r="G19" i="31"/>
  <c r="E20" i="31"/>
  <c r="E23" i="31"/>
  <c r="E22" i="31"/>
  <c r="E18" i="31"/>
  <c r="G22" i="31" l="1"/>
  <c r="G23" i="31"/>
  <c r="G18" i="31"/>
  <c r="E21" i="31"/>
  <c r="G20" i="31"/>
  <c r="C9" i="31"/>
  <c r="E13" i="25"/>
  <c r="E50" i="25" l="1"/>
  <c r="G9" i="31"/>
  <c r="G50" i="25" s="1"/>
  <c r="E13" i="31"/>
  <c r="M16" i="31"/>
  <c r="G21" i="31"/>
  <c r="G13" i="25"/>
  <c r="E9" i="31"/>
  <c r="I75" i="25" l="1"/>
  <c r="P16" i="31"/>
  <c r="Q16" i="31"/>
  <c r="G13" i="3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<sst xmlns="http://schemas.openxmlformats.org/spreadsheetml/2006/main" count="1353" uniqueCount="245">
  <si>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</si>
  <si>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</si>
  <si>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</si>
  <si>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</si>
  <si>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</si>
  <si>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</si>
  <si>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</si>
  <si>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</si>
  <si>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</si>
  <si>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</si>
  <si>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</si>
  <si>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</si>
  <si>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</si>
  <si>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</si>
  <si>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</si>
  <si>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</si>
  <si>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</si>
  <si>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</si>
  <si>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</si>
  <si>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</si>
  <si>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</si>
  <si>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</si>
  <si>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</si>
  <si>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</si>
  <si>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</si>
  <si>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</si>
  <si>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</si>
  <si>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</si>
  <si>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</si>
  <si>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</si>
  <si>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</si>
  <si>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</si>
  <si>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</si>
  <si>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</si>
  <si>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</si>
  <si>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</si>
  <si>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</si>
  <si>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</si>
  <si>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</si>
  <si>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</si>
  <si>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</si>
  <si>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</si>
  <si>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</si>
  <si>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</si>
  <si>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</si>
  <si>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</si>
  <si>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</si>
  <si>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</si>
  <si>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</si>
  <si>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</si>
  <si>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</si>
  <si>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</si>
  <si>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</si>
  <si>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</si>
  <si>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</si>
  <si>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</si>
  <si>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</si>
  <si>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</si>
  <si>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</si>
  <si>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</si>
  <si>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</si>
  <si>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</si>
  <si>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</si>
  <si>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</si>
  <si>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</si>
  <si>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</si>
  <si>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</si>
  <si>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</si>
  <si>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</si>
  <si>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</si>
  <si>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</si>
  <si>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</si>
  <si>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</si>
  <si>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</si>
  <si>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</si>
  <si>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</si>
  <si>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</si>
  <si>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</si>
  <si>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</si>
  <si>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</si>
  <si>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</si>
  <si>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</si>
  <si>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</si>
  <si>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</si>
  <si>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</si>
  <si>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</si>
  <si>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</si>
  <si>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</si>
  <si>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</si>
  <si>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</si>
  <si>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</si>
  <si>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</si>
  <si>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</si>
  <si>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</si>
  <si>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</si>
  <si>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</si>
  <si>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</si>
  <si>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</si>
  <si>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</si>
  <si>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</si>
  <si>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</si>
  <si>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</si>
  <si>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</si>
  <si>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</si>
  <si>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</si>
  <si>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</si>
  <si>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</si>
  <si>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</si>
  <si>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</si>
  <si>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</si>
  <si>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</si>
  <si>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</si>
  <si>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</si>
  <si>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</si>
  <si>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</si>
  <si>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</si>
  <si>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</si>
  <si>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</si>
  <si>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</si>
  <si>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</si>
  <si>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</si>
  <si>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</si>
  <si>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</si>
  <si>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</si>
  <si>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</si>
  <si>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</si>
  <si>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</si>
  <si>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</si>
  <si>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</si>
  <si>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</si>
  <si>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</si>
  <si>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</si>
  <si>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</si>
  <si>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</si>
  <si>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</si>
  <si>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</si>
  <si>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</si>
  <si>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</si>
  <si>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</si>
  <si>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</si>
  <si>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</si>
  <si>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</si>
  <si>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</si>
  <si>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</si>
  <si>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</si>
  <si>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</si>
  <si>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</si>
  <si>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</si>
  <si>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</si>
  <si>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</si>
  <si>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</si>
  <si>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</si>
  <si>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</si>
  <si>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</si>
  <si>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</si>
  <si>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</si>
  <si>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</si>
  <si>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</si>
  <si>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</si>
  <si>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</si>
  <si>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</si>
  <si>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</si>
  <si>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</si>
  <si>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</si>
  <si>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</si>
  <si>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</si>
  <si>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</si>
  <si>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</si>
  <si>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</si>
  <si>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</si>
  <si>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</si>
  <si>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</si>
  <si>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</si>
  <si>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</si>
  <si>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</si>
  <si>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</si>
  <si>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</si>
  <si>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</si>
  <si>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</si>
  <si>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</si>
  <si>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</si>
  <si>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</si>
  <si>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</si>
  <si>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</si>
  <si>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</si>
  <si>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</si>
  <si>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</si>
  <si>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</si>
  <si>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</si>
  <si>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</si>
  <si>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</si>
  <si>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</si>
  <si>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</si>
  <si>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</si>
  <si>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</si>
  <si>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</si>
  <si>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</si>
  <si>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</si>
  <si>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</si>
  <si>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</si>
  <si>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</si>
  <si>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</si>
  <si>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</si>
  <si>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</si>
  <si>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</si>
  <si>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</si>
  <si>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</si>
  <si>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</si>
  <si>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</si>
  <si>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</si>
  <si>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</si>
  <si>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</si>
  <si>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</si>
  <si>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</si>
  <si>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</si>
  <si>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</si>
  <si>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</si>
  <si>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</si>
  <si>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</si>
  <si>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</si>
  <si>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</si>
  <si>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</si>
  <si>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</si>
  <si>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</si>
  <si>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</si>
  <si>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</si>
  <si>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</si>
  <si>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</si>
  <si>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</si>
  <si>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</si>
  <si>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Kennecott Smelter Non Firm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</si>
  <si>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</si>
  <si>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</si>
  <si>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</si>
  <si>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</si>
  <si>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</si>
  <si>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</si>
  <si>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</si>
  <si>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</si>
  <si>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</si>
  <si>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</si>
  <si>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</si>
  <si>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</si>
  <si>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</si>
  <si>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- 433 -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</si>
</sst>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</cellStyleXfs>
  <cellXfs count="421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4" zoomScale="70" zoomScaleNormal="70" zoomScaleSheetLayoutView="70" workbookViewId="0">
      <selection activeCell="K35" sqref="K35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0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Kennecott Smelter Non Firm - 31.8 MW and 58.2%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8" t="s">
        <v>74</v>
      </c>
      <c r="AM7" s="208"/>
    </row>
    <row r="8" spans="2:107" s="205" customFormat="1" ht="40.700000000000003" customHeight="1">
      <c r="B8" s="196"/>
      <c r="C8" s="196"/>
      <c r="D8" s="196"/>
      <c r="E8" s="198"/>
      <c r="F8" s="199"/>
      <c r="G8" s="197" t="s">
        <v>14</v>
      </c>
      <c r="H8" s="201"/>
      <c r="I8" s="207"/>
      <c r="K8"/>
      <c r="L8"/>
      <c r="M8"/>
      <c r="P8" s="213"/>
      <c r="Q8" s="213"/>
      <c r="R8" s="213"/>
      <c r="T8" s="213"/>
      <c r="U8" s="210"/>
      <c r="V8" s="213"/>
      <c r="W8" s="213"/>
      <c r="X8" s="213"/>
      <c r="Y8" s="213"/>
      <c r="Z8" s="210"/>
      <c r="AB8" s="213"/>
      <c r="AC8" s="213"/>
      <c r="AE8" s="213"/>
      <c r="AF8" s="213"/>
      <c r="AG8" s="213"/>
      <c r="AL8" s="213">
        <f>P8</f>
        <v>0</v>
      </c>
      <c r="AM8" s="213"/>
      <c r="AN8" s="213">
        <f t="shared" ref="AN8" si="0">R8</f>
        <v>0</v>
      </c>
      <c r="AO8" s="213">
        <f t="shared" ref="AO8" si="1">S8</f>
        <v>0</v>
      </c>
      <c r="AP8" s="213">
        <f t="shared" ref="AP8" si="2">T8</f>
        <v>0</v>
      </c>
      <c r="AQ8" s="213">
        <f t="shared" ref="AQ8" si="3">U8</f>
        <v>0</v>
      </c>
      <c r="AR8" s="213">
        <f t="shared" ref="AR8" si="4">V8</f>
        <v>0</v>
      </c>
      <c r="AS8" s="213">
        <f t="shared" ref="AS8" si="5">W8</f>
        <v>0</v>
      </c>
      <c r="AT8" s="213">
        <f t="shared" ref="AT8" si="6">X8</f>
        <v>0</v>
      </c>
      <c r="AU8" s="213">
        <f t="shared" ref="AU8" si="7">Y8</f>
        <v>0</v>
      </c>
      <c r="AV8" s="213">
        <f t="shared" ref="AV8" si="8">Z8</f>
        <v>0</v>
      </c>
      <c r="AW8" s="213">
        <f t="shared" ref="AW8" si="9">AA8</f>
        <v>0</v>
      </c>
      <c r="AX8" s="213">
        <f t="shared" ref="AX8" si="10">AB8</f>
        <v>0</v>
      </c>
      <c r="AY8" s="213">
        <f t="shared" ref="AY8" si="11">AC8</f>
        <v>0</v>
      </c>
      <c r="AZ8" s="213">
        <f t="shared" ref="AZ8" si="12">AD8</f>
        <v>0</v>
      </c>
      <c r="BA8" s="213">
        <f t="shared" ref="BA8" si="13">AE8</f>
        <v>0</v>
      </c>
      <c r="BB8" s="213">
        <f>AF8</f>
        <v>0</v>
      </c>
      <c r="BC8" s="213">
        <f>AG8</f>
        <v>0</v>
      </c>
      <c r="BD8" s="213"/>
      <c r="BE8" s="213"/>
      <c r="BF8" s="213"/>
      <c r="BH8" s="208" t="s">
        <v>75</v>
      </c>
      <c r="BI8" s="208"/>
      <c r="BJ8" s="208"/>
      <c r="BK8" s="213"/>
      <c r="BL8" s="213"/>
      <c r="BM8" s="213">
        <f t="shared" ref="BL8:BY9" si="14">U8</f>
        <v>0</v>
      </c>
      <c r="BN8" s="213">
        <f t="shared" si="14"/>
        <v>0</v>
      </c>
      <c r="BO8" s="213">
        <f t="shared" si="14"/>
        <v>0</v>
      </c>
      <c r="BP8" s="213">
        <f t="shared" si="14"/>
        <v>0</v>
      </c>
      <c r="BQ8" s="213">
        <f t="shared" si="14"/>
        <v>0</v>
      </c>
      <c r="BR8" s="213">
        <f t="shared" si="14"/>
        <v>0</v>
      </c>
      <c r="BS8" s="213">
        <f t="shared" si="14"/>
        <v>0</v>
      </c>
      <c r="BT8" s="213">
        <f t="shared" si="14"/>
        <v>0</v>
      </c>
      <c r="BU8" s="213">
        <f t="shared" si="14"/>
        <v>0</v>
      </c>
      <c r="BV8" s="213">
        <f t="shared" si="14"/>
        <v>0</v>
      </c>
      <c r="BW8" s="213">
        <f t="shared" si="14"/>
        <v>0</v>
      </c>
      <c r="BX8" s="213">
        <f t="shared" si="14"/>
        <v>0</v>
      </c>
      <c r="BY8" s="213">
        <f t="shared" si="14"/>
        <v>0</v>
      </c>
      <c r="BZ8" s="213"/>
      <c r="CA8" s="213"/>
      <c r="CB8" s="213"/>
      <c r="CD8" s="208" t="s">
        <v>76</v>
      </c>
      <c r="CE8" s="208"/>
      <c r="CF8" s="208"/>
      <c r="CI8" s="213"/>
      <c r="CN8" s="213"/>
      <c r="DB8" s="183" t="s">
        <v>75</v>
      </c>
      <c r="DC8" s="184" t="s">
        <v>76</v>
      </c>
    </row>
    <row r="9" spans="2:107" s="192" customFormat="1" ht="76.7" customHeight="1">
      <c r="B9" s="196"/>
      <c r="C9" s="197" t="s">
        <v>6</v>
      </c>
      <c r="D9" s="197"/>
      <c r="E9" s="198" t="s">
        <v>18</v>
      </c>
      <c r="F9" s="199"/>
      <c r="G9" s="200">
        <f ca="1">Study_CF</f>
        <v>0.58176100628930816</v>
      </c>
      <c r="H9" s="201"/>
      <c r="I9" s="202"/>
      <c r="K9"/>
      <c r="L9"/>
      <c r="M9"/>
      <c r="P9" s="192" t="s">
        <v>186</v>
      </c>
      <c r="Q9" s="213" t="s">
        <v>187</v>
      </c>
      <c r="R9" s="192" t="s">
        <v>188</v>
      </c>
      <c r="S9" s="213" t="s">
        <v>189</v>
      </c>
      <c r="T9" s="213" t="s">
        <v>190</v>
      </c>
      <c r="U9" s="210" t="s">
        <v>191</v>
      </c>
      <c r="V9" s="192" t="s">
        <v>192</v>
      </c>
      <c r="W9" s="213" t="s">
        <v>193</v>
      </c>
      <c r="X9" s="192" t="s">
        <v>194</v>
      </c>
      <c r="Y9" s="213" t="s">
        <v>195</v>
      </c>
      <c r="Z9" s="210" t="s">
        <v>196</v>
      </c>
      <c r="AA9" s="192" t="s">
        <v>197</v>
      </c>
      <c r="AB9" s="213"/>
      <c r="AC9" s="213"/>
      <c r="AD9" s="213" t="s">
        <v>199</v>
      </c>
      <c r="AE9" s="213" t="s">
        <v>203</v>
      </c>
      <c r="AF9" s="213" t="s">
        <v>204</v>
      </c>
      <c r="AG9" s="205"/>
      <c r="AH9" s="205"/>
      <c r="AI9" s="205"/>
      <c r="AK9" s="204"/>
      <c r="AL9" s="192" t="str">
        <f>P9</f>
        <v>IRP21_WD_PX_PNC_006_WD_T</v>
      </c>
      <c r="AM9" s="213" t="str">
        <f t="shared" ref="AM9:BA9" si="15">Q9</f>
        <v>IRP21_WD_PX_PNC_WD_T</v>
      </c>
      <c r="AN9" s="192" t="str">
        <f t="shared" si="15"/>
        <v>IRP21_WD_PX_WMV_006_WD_T</v>
      </c>
      <c r="AO9" s="192" t="str">
        <f t="shared" si="15"/>
        <v>IRP21_WD_PX_WYE_WD_T</v>
      </c>
      <c r="AP9" s="192" t="str">
        <f t="shared" si="15"/>
        <v>IRP21_WD_PX_WYE_Djohns_WD_T</v>
      </c>
      <c r="AQ9" s="210" t="str">
        <f t="shared" si="15"/>
        <v>IRP21_PWS_PX_YAK_WD_T</v>
      </c>
      <c r="AR9" s="192" t="str">
        <f t="shared" si="15"/>
        <v>IRP21_PVS_PX_BOR_002_PV_T</v>
      </c>
      <c r="AS9" s="192" t="str">
        <f t="shared" si="15"/>
        <v>IRP21_PVS_PX_SOR_C_PV_ 2028_T</v>
      </c>
      <c r="AT9" s="192" t="str">
        <f t="shared" si="15"/>
        <v>IRP21_PVS_PX_SOR_PV_T</v>
      </c>
      <c r="AU9" s="192" t="str">
        <f t="shared" si="15"/>
        <v>IRP21_PVS_PX_YAK_PV_T</v>
      </c>
      <c r="AV9" s="210" t="str">
        <f t="shared" si="15"/>
        <v>IRP21_PVS_PX_UTN_PV_T</v>
      </c>
      <c r="AW9" s="192" t="str">
        <f t="shared" si="15"/>
        <v>IRP21_PVS_PX_UTS_PV_T</v>
      </c>
      <c r="AX9" s="205">
        <f t="shared" si="15"/>
        <v>0</v>
      </c>
      <c r="AY9" s="205">
        <f t="shared" si="15"/>
        <v>0</v>
      </c>
      <c r="AZ9" s="205" t="str">
        <f t="shared" si="15"/>
        <v>IRP21_BAT_WYE_DJ_Wyodak</v>
      </c>
      <c r="BA9" s="205" t="str">
        <f t="shared" si="15"/>
        <v>IRP21_UTN_Non_Emitting_2031_T</v>
      </c>
      <c r="BB9" s="205" t="str">
        <f>AF9</f>
        <v>IRP21_Huntington_Non_Emitting_2037_T</v>
      </c>
      <c r="BC9" s="213">
        <f>AG9</f>
        <v>0</v>
      </c>
      <c r="BD9" s="205"/>
      <c r="BE9" s="205"/>
      <c r="BF9" s="205"/>
      <c r="BH9" s="213" t="str">
        <f t="shared" ref="BH9" si="16">P9</f>
        <v>IRP21_WD_PX_PNC_006_WD_T</v>
      </c>
      <c r="BI9" s="213" t="str">
        <f t="shared" ref="BI9" si="17">Q9</f>
        <v>IRP21_WD_PX_PNC_WD_T</v>
      </c>
      <c r="BJ9" s="213" t="str">
        <f t="shared" ref="BJ9" si="18">R9</f>
        <v>IRP21_WD_PX_WMV_006_WD_T</v>
      </c>
      <c r="BK9" s="213" t="str">
        <f t="shared" ref="BK9" si="19">S9</f>
        <v>IRP21_WD_PX_WYE_WD_T</v>
      </c>
      <c r="BL9" s="213" t="str">
        <f t="shared" si="14"/>
        <v>IRP21_WD_PX_WYE_Djohns_WD_T</v>
      </c>
      <c r="BM9" s="213" t="str">
        <f t="shared" si="14"/>
        <v>IRP21_PWS_PX_YAK_WD_T</v>
      </c>
      <c r="BN9" s="213" t="str">
        <f t="shared" si="14"/>
        <v>IRP21_PVS_PX_BOR_002_PV_T</v>
      </c>
      <c r="BO9" s="213" t="str">
        <f t="shared" si="14"/>
        <v>IRP21_PVS_PX_SOR_C_PV_ 2028_T</v>
      </c>
      <c r="BP9" s="213" t="str">
        <f t="shared" si="14"/>
        <v>IRP21_PVS_PX_SOR_PV_T</v>
      </c>
      <c r="BQ9" s="213" t="str">
        <f t="shared" si="14"/>
        <v>IRP21_PVS_PX_YAK_PV_T</v>
      </c>
      <c r="BR9" s="213" t="str">
        <f t="shared" si="14"/>
        <v>IRP21_PVS_PX_UTN_PV_T</v>
      </c>
      <c r="BS9" s="213" t="str">
        <f t="shared" si="14"/>
        <v>IRP21_PVS_PX_UTS_PV_T</v>
      </c>
      <c r="BT9" s="213">
        <f t="shared" si="14"/>
        <v>0</v>
      </c>
      <c r="BU9" s="213">
        <f t="shared" si="14"/>
        <v>0</v>
      </c>
      <c r="BV9" s="213" t="str">
        <f t="shared" si="14"/>
        <v>IRP21_BAT_WYE_DJ_Wyodak</v>
      </c>
      <c r="BW9" s="213" t="str">
        <f t="shared" si="14"/>
        <v>IRP21_UTN_Non_Emitting_2031_T</v>
      </c>
      <c r="BX9" s="213" t="str">
        <f t="shared" si="14"/>
        <v>IRP21_Huntington_Non_Emitting_2037_T</v>
      </c>
      <c r="BY9" s="213">
        <f t="shared" si="14"/>
        <v>0</v>
      </c>
      <c r="BZ9" s="213"/>
      <c r="CA9" s="213"/>
      <c r="CB9" s="213"/>
      <c r="CD9" s="192" t="str">
        <f t="shared" ref="CD9:CX9" si="20">BH9</f>
        <v>IRP21_WD_PX_PNC_006_WD_T</v>
      </c>
      <c r="CE9" s="213" t="str">
        <f t="shared" si="20"/>
        <v>IRP21_WD_PX_PNC_WD_T</v>
      </c>
      <c r="CF9" s="205" t="str">
        <f t="shared" si="20"/>
        <v>IRP21_WD_PX_WMV_006_WD_T</v>
      </c>
      <c r="CG9" s="205" t="str">
        <f t="shared" si="20"/>
        <v>IRP21_WD_PX_WYE_WD_T</v>
      </c>
      <c r="CH9" s="205" t="str">
        <f t="shared" si="20"/>
        <v>IRP21_WD_PX_WYE_Djohns_WD_T</v>
      </c>
      <c r="CI9" s="211" t="str">
        <f t="shared" si="20"/>
        <v>IRP21_PWS_PX_YAK_WD_T</v>
      </c>
      <c r="CJ9" s="205" t="str">
        <f t="shared" si="20"/>
        <v>IRP21_PVS_PX_BOR_002_PV_T</v>
      </c>
      <c r="CK9" s="205" t="str">
        <f t="shared" si="20"/>
        <v>IRP21_PVS_PX_SOR_C_PV_ 2028_T</v>
      </c>
      <c r="CL9" s="205" t="str">
        <f t="shared" si="20"/>
        <v>IRP21_PVS_PX_SOR_PV_T</v>
      </c>
      <c r="CM9" s="205" t="str">
        <f t="shared" si="20"/>
        <v>IRP21_PVS_PX_YAK_PV_T</v>
      </c>
      <c r="CN9" s="211" t="str">
        <f t="shared" si="20"/>
        <v>IRP21_PVS_PX_UTN_PV_T</v>
      </c>
      <c r="CO9" s="205" t="str">
        <f t="shared" si="20"/>
        <v>IRP21_PVS_PX_UTS_PV_T</v>
      </c>
      <c r="CP9" s="205">
        <f t="shared" si="20"/>
        <v>0</v>
      </c>
      <c r="CQ9" s="205">
        <f t="shared" si="20"/>
        <v>0</v>
      </c>
      <c r="CR9" s="205" t="str">
        <f t="shared" si="20"/>
        <v>IRP21_BAT_WYE_DJ_Wyodak</v>
      </c>
      <c r="CS9" s="205" t="str">
        <f t="shared" si="20"/>
        <v>IRP21_UTN_Non_Emitting_2031_T</v>
      </c>
      <c r="CT9" s="205" t="str">
        <f t="shared" si="20"/>
        <v>IRP21_Huntington_Non_Emitting_2037_T</v>
      </c>
      <c r="CU9" s="205">
        <f t="shared" si="20"/>
        <v>0</v>
      </c>
      <c r="CV9" s="205">
        <f t="shared" si="20"/>
        <v>0</v>
      </c>
      <c r="CW9" s="205">
        <f t="shared" si="20"/>
        <v>0</v>
      </c>
      <c r="CX9" s="205">
        <f t="shared" si="20"/>
        <v>0</v>
      </c>
      <c r="CY9" s="192" t="s">
        <v>77</v>
      </c>
      <c r="DB9" s="192" t="s">
        <v>163</v>
      </c>
      <c r="DC9" s="213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53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36.601267694894744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36.601267694894744</v>
      </c>
      <c r="H13" s="36"/>
      <c r="I13" s="171"/>
      <c r="J13" s="171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9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9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9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 hidden="1">
      <c r="B14" s="15">
        <f t="shared" ref="B14:B34" si="41">B13+1</f>
        <v>2024</v>
      </c>
      <c r="C14" s="9">
        <f t="shared" si="21"/>
        <v>0</v>
      </c>
      <c r="D14" s="45"/>
      <c r="E14" s="9" t="e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71"/>
      <c r="J14" s="171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9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91"/>
      <c r="BU14" s="39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9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 hidden="1">
      <c r="B15" s="15">
        <f t="shared" si="41"/>
        <v>2025</v>
      </c>
      <c r="C15" s="9">
        <f t="shared" si="21"/>
        <v>0</v>
      </c>
      <c r="D15" s="45"/>
      <c r="E15" s="9" t="e">
        <f t="shared" ca="1" si="42"/>
        <v>#DIV/0!</v>
      </c>
      <c r="F15" s="37"/>
      <c r="G15" s="14" t="e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71"/>
      <c r="J15" s="171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9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91"/>
      <c r="BU15" s="39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9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 hidden="1">
      <c r="B16" s="15">
        <f t="shared" si="41"/>
        <v>2026</v>
      </c>
      <c r="C16" s="9">
        <f t="shared" si="21"/>
        <v>0</v>
      </c>
      <c r="D16" s="45"/>
      <c r="E16" s="9" t="e">
        <f t="shared" ca="1" si="42"/>
        <v>#DIV/0!</v>
      </c>
      <c r="F16" s="37"/>
      <c r="G16" s="14" t="e">
        <f t="shared" ca="1" si="45"/>
        <v>#DIV/0!</v>
      </c>
      <c r="H16" s="36"/>
      <c r="I16" s="171"/>
      <c r="J16" s="89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9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91"/>
      <c r="BU16" s="39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91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2026</v>
      </c>
      <c r="DB16" s="89">
        <f>IFERROR(VLOOKUP($DA16,'Table 3 TransCost'!$AA$10:$AD$32,4,FALSE),0)</f>
        <v>54.441007169221002</v>
      </c>
      <c r="DC16" s="171">
        <f t="shared" si="44"/>
        <v>0</v>
      </c>
    </row>
    <row r="17" spans="2:107" hidden="1">
      <c r="B17" s="15">
        <f t="shared" si="41"/>
        <v>2027</v>
      </c>
      <c r="C17" s="9">
        <f t="shared" si="21"/>
        <v>0</v>
      </c>
      <c r="D17" s="45"/>
      <c r="E17" s="9" t="e">
        <f t="shared" ca="1" si="42"/>
        <v>#DIV/0!</v>
      </c>
      <c r="F17" s="37"/>
      <c r="G17" s="14" t="e">
        <f t="shared" ca="1" si="45"/>
        <v>#DIV/0!</v>
      </c>
      <c r="H17" s="36"/>
      <c r="I17" s="171"/>
      <c r="J17" s="89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9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91"/>
      <c r="BU17" s="39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91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0</v>
      </c>
      <c r="DA17">
        <f t="shared" si="40"/>
        <v>2027</v>
      </c>
      <c r="DB17" s="89">
        <f>IFERROR(VLOOKUP($DA17,'Table 3 TransCost'!$AA$10:$AD$32,4,FALSE),0)</f>
        <v>55.609999999999992</v>
      </c>
      <c r="DC17" s="171">
        <f t="shared" si="44"/>
        <v>0</v>
      </c>
    </row>
    <row r="18" spans="2:107" hidden="1">
      <c r="B18" s="15">
        <f t="shared" si="41"/>
        <v>2028</v>
      </c>
      <c r="C18" s="9">
        <f t="shared" si="21"/>
        <v>0</v>
      </c>
      <c r="D18" s="45"/>
      <c r="E18" s="9" t="e">
        <f t="shared" ca="1" si="42"/>
        <v>#DIV/0!</v>
      </c>
      <c r="F18" s="37"/>
      <c r="G18" s="14" t="e">
        <f t="shared" ca="1" si="45"/>
        <v>#DIV/0!</v>
      </c>
      <c r="H18" s="36"/>
      <c r="I18" s="171"/>
      <c r="J18" s="89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9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91"/>
      <c r="BU18" s="39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91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0</v>
      </c>
      <c r="DA18">
        <f t="shared" si="40"/>
        <v>2028</v>
      </c>
      <c r="DB18" s="89">
        <f>IFERROR(VLOOKUP($DA18,'Table 3 TransCost'!$AA$10:$AD$32,4,FALSE),0)</f>
        <v>56.81</v>
      </c>
      <c r="DC18" s="171">
        <f t="shared" si="44"/>
        <v>0</v>
      </c>
    </row>
    <row r="19" spans="2:107" hidden="1">
      <c r="B19" s="15">
        <f t="shared" si="41"/>
        <v>2029</v>
      </c>
      <c r="C19" s="9">
        <f t="shared" si="21"/>
        <v>0</v>
      </c>
      <c r="D19" s="45"/>
      <c r="E19" s="9" t="e">
        <f t="shared" ca="1" si="42"/>
        <v>#DIV/0!</v>
      </c>
      <c r="F19" s="37"/>
      <c r="G19" s="14" t="e">
        <f t="shared" ca="1" si="45"/>
        <v>#DIV/0!</v>
      </c>
      <c r="H19" s="36"/>
      <c r="I19" s="171"/>
      <c r="J19" s="89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92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91"/>
      <c r="BU19" s="392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91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0</v>
      </c>
      <c r="DA19">
        <f t="shared" si="40"/>
        <v>2029</v>
      </c>
      <c r="DB19" s="89">
        <f>IFERROR(VLOOKUP($DA19,'Table 3 TransCost'!$AA$10:$AD$32,4,FALSE),0)</f>
        <v>58.03</v>
      </c>
      <c r="DC19" s="171">
        <f t="shared" si="44"/>
        <v>0</v>
      </c>
    </row>
    <row r="20" spans="2:107" hidden="1">
      <c r="B20" s="15">
        <f t="shared" si="41"/>
        <v>2030</v>
      </c>
      <c r="C20" s="9">
        <f t="shared" si="21"/>
        <v>0</v>
      </c>
      <c r="D20" s="45"/>
      <c r="E20" s="9" t="e">
        <f t="shared" ca="1" si="42"/>
        <v>#DIV/0!</v>
      </c>
      <c r="F20" s="37"/>
      <c r="G20" s="14" t="e">
        <f t="shared" ca="1" si="45"/>
        <v>#DIV/0!</v>
      </c>
      <c r="H20" s="36"/>
      <c r="I20" s="171"/>
      <c r="J20" s="89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92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91"/>
      <c r="BU20" s="392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91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0</v>
      </c>
      <c r="DA20">
        <f t="shared" si="40"/>
        <v>2030</v>
      </c>
      <c r="DB20" s="89">
        <f>IFERROR(VLOOKUP($DA20,'Table 3 TransCost'!$AA$10:$AD$32,4,FALSE),0)</f>
        <v>59.28</v>
      </c>
      <c r="DC20" s="171">
        <f t="shared" si="44"/>
        <v>0</v>
      </c>
    </row>
    <row r="21" spans="2:107" hidden="1">
      <c r="B21" s="15">
        <f t="shared" si="41"/>
        <v>2031</v>
      </c>
      <c r="C21" s="9">
        <f t="shared" si="21"/>
        <v>0</v>
      </c>
      <c r="D21" s="45"/>
      <c r="E21" s="9" t="e">
        <f t="shared" ca="1" si="42"/>
        <v>#DIV/0!</v>
      </c>
      <c r="F21" s="37"/>
      <c r="G21" s="14" t="e">
        <f t="shared" ca="1" si="45"/>
        <v>#DIV/0!</v>
      </c>
      <c r="H21" s="36"/>
      <c r="I21" s="171"/>
      <c r="J21" s="89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92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91"/>
      <c r="BU21" s="392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91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0</v>
      </c>
      <c r="DA21">
        <f t="shared" si="40"/>
        <v>2031</v>
      </c>
      <c r="DB21" s="89">
        <f>IFERROR(VLOOKUP($DA21,'Table 3 TransCost'!$AA$10:$AD$32,4,FALSE),0)</f>
        <v>60.56</v>
      </c>
      <c r="DC21" s="171">
        <f t="shared" si="44"/>
        <v>0</v>
      </c>
    </row>
    <row r="22" spans="2:107" hidden="1">
      <c r="B22" s="15">
        <f t="shared" si="41"/>
        <v>2032</v>
      </c>
      <c r="C22" s="9">
        <f t="shared" si="21"/>
        <v>0</v>
      </c>
      <c r="D22" s="45"/>
      <c r="E22" s="9" t="e">
        <f t="shared" ca="1" si="42"/>
        <v>#DIV/0!</v>
      </c>
      <c r="F22" s="37"/>
      <c r="G22" s="14" t="e">
        <f t="shared" ca="1" si="45"/>
        <v>#DIV/0!</v>
      </c>
      <c r="H22" s="36"/>
      <c r="I22" s="171"/>
      <c r="J22" s="89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92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91"/>
      <c r="BU22" s="392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91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0</v>
      </c>
      <c r="DA22">
        <f t="shared" si="40"/>
        <v>2032</v>
      </c>
      <c r="DB22" s="89">
        <f>IFERROR(VLOOKUP($DA22,'Table 3 TransCost'!$AA$10:$AD$32,4,FALSE),0)</f>
        <v>61.87</v>
      </c>
      <c r="DC22" s="171">
        <f t="shared" si="44"/>
        <v>0</v>
      </c>
    </row>
    <row r="23" spans="2:107" hidden="1">
      <c r="B23" s="15">
        <f t="shared" si="41"/>
        <v>2033</v>
      </c>
      <c r="C23" s="9">
        <f t="shared" si="21"/>
        <v>0</v>
      </c>
      <c r="D23" s="45"/>
      <c r="E23" s="9" t="e">
        <f t="shared" ca="1" si="42"/>
        <v>#DIV/0!</v>
      </c>
      <c r="F23" s="37"/>
      <c r="G23" s="14" t="e">
        <f t="shared" ca="1" si="45"/>
        <v>#DIV/0!</v>
      </c>
      <c r="H23" s="36"/>
      <c r="I23" s="171"/>
      <c r="J23" s="89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92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91"/>
      <c r="BU23" s="392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91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0</v>
      </c>
      <c r="DA23">
        <f t="shared" si="40"/>
        <v>2033</v>
      </c>
      <c r="DB23" s="89">
        <f>IFERROR(VLOOKUP($DA23,'Table 3 TransCost'!$AA$10:$AD$32,4,FALSE),0)</f>
        <v>63.20000000000001</v>
      </c>
      <c r="DC23" s="171">
        <f t="shared" si="44"/>
        <v>0</v>
      </c>
    </row>
    <row r="24" spans="2:107" hidden="1">
      <c r="B24" s="15">
        <f t="shared" si="41"/>
        <v>2034</v>
      </c>
      <c r="C24" s="9">
        <f t="shared" si="21"/>
        <v>0</v>
      </c>
      <c r="D24" s="45"/>
      <c r="E24" s="9" t="e">
        <f t="shared" ca="1" si="42"/>
        <v>#DIV/0!</v>
      </c>
      <c r="F24" s="37"/>
      <c r="G24" s="14" t="e">
        <f t="shared" ca="1" si="45"/>
        <v>#DIV/0!</v>
      </c>
      <c r="H24" s="36"/>
      <c r="I24" s="171"/>
      <c r="J24" s="89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92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91"/>
      <c r="BU24" s="392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91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0</v>
      </c>
      <c r="DA24">
        <f t="shared" si="40"/>
        <v>2034</v>
      </c>
      <c r="DB24" s="89">
        <f>IFERROR(VLOOKUP($DA24,'Table 3 TransCost'!$AA$10:$AD$32,4,FALSE),0)</f>
        <v>64.56</v>
      </c>
      <c r="DC24" s="171">
        <f t="shared" si="44"/>
        <v>0</v>
      </c>
    </row>
    <row r="25" spans="2:107" hidden="1">
      <c r="B25" s="15">
        <f t="shared" si="41"/>
        <v>2035</v>
      </c>
      <c r="C25" s="9">
        <f t="shared" si="21"/>
        <v>0</v>
      </c>
      <c r="D25" s="45"/>
      <c r="E25" s="9" t="e">
        <f t="shared" ca="1" si="42"/>
        <v>#DIV/0!</v>
      </c>
      <c r="F25" s="37"/>
      <c r="G25" s="14" t="e">
        <f t="shared" ca="1" si="45"/>
        <v>#DIV/0!</v>
      </c>
      <c r="H25" s="36"/>
      <c r="I25" s="171"/>
      <c r="J25" s="89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92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91"/>
      <c r="BU25" s="392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91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0</v>
      </c>
      <c r="DA25">
        <f t="shared" si="40"/>
        <v>2035</v>
      </c>
      <c r="DB25" s="89">
        <f>IFERROR(VLOOKUP($DA25,'Table 3 TransCost'!$AA$10:$AD$32,4,FALSE),0)</f>
        <v>65.95</v>
      </c>
      <c r="DC25" s="171">
        <f t="shared" si="44"/>
        <v>0</v>
      </c>
    </row>
    <row r="26" spans="2:107" hidden="1">
      <c r="B26" s="15">
        <f t="shared" si="41"/>
        <v>2036</v>
      </c>
      <c r="C26" s="9">
        <f t="shared" si="21"/>
        <v>0</v>
      </c>
      <c r="D26" s="45"/>
      <c r="E26" s="9" t="e">
        <f t="shared" ca="1" si="42"/>
        <v>#DIV/0!</v>
      </c>
      <c r="F26" s="37"/>
      <c r="G26" s="14" t="e">
        <f t="shared" ca="1" si="45"/>
        <v>#DIV/0!</v>
      </c>
      <c r="H26" s="36"/>
      <c r="I26" s="171"/>
      <c r="J26" s="89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92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91"/>
      <c r="BU26" s="392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91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0</v>
      </c>
      <c r="DA26">
        <f t="shared" si="40"/>
        <v>2036</v>
      </c>
      <c r="DB26" s="89">
        <f>IFERROR(VLOOKUP($DA26,'Table 3 TransCost'!$AA$10:$AD$32,4,FALSE),0)</f>
        <v>67.37</v>
      </c>
      <c r="DC26" s="171">
        <f t="shared" si="44"/>
        <v>0</v>
      </c>
    </row>
    <row r="27" spans="2:107" hidden="1">
      <c r="B27" s="15">
        <f t="shared" si="41"/>
        <v>2037</v>
      </c>
      <c r="C27" s="9">
        <f t="shared" si="21"/>
        <v>0</v>
      </c>
      <c r="D27" s="45"/>
      <c r="E27" s="9" t="e">
        <f t="shared" ca="1" si="42"/>
        <v>#DIV/0!</v>
      </c>
      <c r="F27" s="37"/>
      <c r="G27" s="14" t="e">
        <f t="shared" ca="1" si="45"/>
        <v>#DIV/0!</v>
      </c>
      <c r="H27" s="36"/>
      <c r="I27" s="171"/>
      <c r="J27" s="89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92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91"/>
      <c r="BU27" s="392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91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0</v>
      </c>
      <c r="DA27">
        <f t="shared" si="40"/>
        <v>2037</v>
      </c>
      <c r="DB27" s="89">
        <f>IFERROR(VLOOKUP($DA27,'Table 3 TransCost'!$AA$10:$AD$32,4,FALSE),0)</f>
        <v>68.819999999999993</v>
      </c>
      <c r="DC27" s="171">
        <f t="shared" si="44"/>
        <v>0</v>
      </c>
    </row>
    <row r="28" spans="2:107" hidden="1">
      <c r="B28" s="15">
        <f t="shared" si="41"/>
        <v>2038</v>
      </c>
      <c r="C28" s="9">
        <f t="shared" si="21"/>
        <v>0</v>
      </c>
      <c r="D28" s="45"/>
      <c r="E28" s="9" t="e">
        <f t="shared" ca="1" si="42"/>
        <v>#DIV/0!</v>
      </c>
      <c r="F28" s="37"/>
      <c r="G28" s="14" t="e">
        <f t="shared" ca="1" si="45"/>
        <v>#DIV/0!</v>
      </c>
      <c r="H28" s="36"/>
      <c r="I28" s="171"/>
      <c r="J28" s="89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92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91"/>
      <c r="BU28" s="392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91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0</v>
      </c>
      <c r="DA28">
        <f t="shared" si="40"/>
        <v>2038</v>
      </c>
      <c r="DB28" s="89">
        <f>IFERROR(VLOOKUP($DA28,'Table 3 TransCost'!$AA$10:$AD$32,4,FALSE),0)</f>
        <v>70.3</v>
      </c>
      <c r="DC28" s="171">
        <f t="shared" si="44"/>
        <v>0</v>
      </c>
    </row>
    <row r="29" spans="2:107" hidden="1">
      <c r="B29" s="15">
        <f t="shared" si="41"/>
        <v>2039</v>
      </c>
      <c r="C29" s="9">
        <f t="shared" si="21"/>
        <v>0</v>
      </c>
      <c r="D29" s="45"/>
      <c r="E29" s="9" t="e">
        <f t="shared" ca="1" si="42"/>
        <v>#DIV/0!</v>
      </c>
      <c r="F29" s="37"/>
      <c r="G29" s="14" t="e">
        <f t="shared" ca="1" si="45"/>
        <v>#DIV/0!</v>
      </c>
      <c r="H29" s="36"/>
      <c r="I29" s="171"/>
      <c r="J29" s="171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92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91"/>
      <c r="BU29" s="392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91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0</v>
      </c>
      <c r="DA29">
        <f t="shared" si="40"/>
        <v>2039</v>
      </c>
      <c r="DB29" s="89">
        <f>IFERROR(VLOOKUP($DA29,'Table 3 TransCost'!$AA$10:$AD$32,4,FALSE),0)</f>
        <v>71.81</v>
      </c>
      <c r="DC29" s="171">
        <f t="shared" si="44"/>
        <v>0</v>
      </c>
    </row>
    <row r="30" spans="2:107" hidden="1">
      <c r="B30" s="15">
        <f t="shared" si="41"/>
        <v>2040</v>
      </c>
      <c r="C30" s="9">
        <f t="shared" si="21"/>
        <v>0</v>
      </c>
      <c r="D30" s="45"/>
      <c r="E30" s="9" t="e">
        <f t="shared" ca="1" si="42"/>
        <v>#DIV/0!</v>
      </c>
      <c r="F30" s="37"/>
      <c r="G30" s="14" t="e">
        <f t="shared" ca="1" si="45"/>
        <v>#DIV/0!</v>
      </c>
      <c r="H30" s="36"/>
      <c r="I30" s="171"/>
      <c r="J30" s="171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92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91"/>
      <c r="BU30" s="392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91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0</v>
      </c>
      <c r="DA30">
        <f t="shared" si="40"/>
        <v>2040</v>
      </c>
      <c r="DB30" s="89">
        <f>IFERROR(VLOOKUP($DA30,'Table 3 TransCost'!$AA$10:$AD$32,4,FALSE),0)</f>
        <v>73.36</v>
      </c>
      <c r="DC30" s="171">
        <f t="shared" si="44"/>
        <v>0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71"/>
      <c r="J31" s="171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92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91"/>
      <c r="BU31" s="392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91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71">
        <f t="shared" ref="DC31:DC32" si="67">$DB$5*DB31/1000</f>
        <v>0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#VALUE!</v>
      </c>
      <c r="F32" s="37"/>
      <c r="G32" s="14" t="e">
        <f t="shared" ca="1" si="45"/>
        <v>#VALUE!</v>
      </c>
      <c r="H32" s="36"/>
      <c r="I32" s="171"/>
      <c r="J32" s="171"/>
      <c r="M32" s="111"/>
      <c r="O32">
        <f t="shared" si="22"/>
        <v>2042</v>
      </c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G32" s="356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92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91"/>
      <c r="BU32" s="392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91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71">
        <f t="shared" si="67"/>
        <v>0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#VALUE!</v>
      </c>
      <c r="F33" s="37"/>
      <c r="G33" s="14" t="e">
        <f t="shared" ca="1" si="45"/>
        <v>#VALUE!</v>
      </c>
      <c r="H33" s="36"/>
      <c r="I33" s="171"/>
      <c r="J33" s="171"/>
      <c r="M33" s="111"/>
      <c r="O33">
        <f t="shared" ref="O33" si="68">B33</f>
        <v>2043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G33" s="356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92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91"/>
      <c r="BU33" s="392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91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71">
        <f t="shared" ref="DC33:DC34" si="72">$DB$5*DB33/1000</f>
        <v>0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#VALUE!</v>
      </c>
      <c r="F34" s="37"/>
      <c r="G34" s="14" t="e">
        <f t="shared" ca="1" si="45"/>
        <v>#VALUE!</v>
      </c>
      <c r="H34" s="36"/>
      <c r="I34" s="171"/>
      <c r="J34" s="171"/>
      <c r="M34" s="111"/>
      <c r="O34">
        <f t="shared" ref="O34" si="74">B34</f>
        <v>2044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G34" s="356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92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91"/>
      <c r="BU34" s="392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91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71">
        <f t="shared" si="72"/>
        <v>0</v>
      </c>
    </row>
    <row r="35" spans="1:107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BH35" s="129"/>
      <c r="BI35" s="129"/>
      <c r="BJ35" s="129"/>
      <c r="BK35" s="129"/>
      <c r="BL35" s="354"/>
      <c r="BM35" s="129"/>
      <c r="BN35" s="129"/>
      <c r="BO35" s="354"/>
      <c r="BP35" s="129"/>
      <c r="BQ35" s="354"/>
      <c r="BR35" s="129"/>
      <c r="BS35" s="129"/>
      <c r="BT35" s="129"/>
      <c r="BU35" s="354"/>
      <c r="BV35" s="129"/>
      <c r="BW35" s="129"/>
      <c r="BX35" s="353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BH36" s="129"/>
      <c r="BI36" s="129"/>
      <c r="BJ36" s="129"/>
      <c r="BK36" s="129"/>
      <c r="BL36" s="354"/>
      <c r="BM36" s="129"/>
      <c r="BN36" s="129"/>
      <c r="BO36" s="354"/>
      <c r="BP36" s="129"/>
      <c r="BQ36" s="354"/>
      <c r="BR36" s="129"/>
      <c r="BS36" s="129"/>
      <c r="BT36" s="129"/>
      <c r="BU36" s="354"/>
      <c r="BV36" s="129"/>
      <c r="BW36" s="129"/>
      <c r="BX36" s="353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BH37" s="129"/>
      <c r="BI37" s="129"/>
      <c r="BJ37" s="129"/>
      <c r="BK37" s="129"/>
      <c r="BL37" s="354"/>
      <c r="BM37" s="129"/>
      <c r="BN37" s="129"/>
      <c r="BO37" s="354"/>
      <c r="BP37" s="129"/>
      <c r="BQ37" s="354"/>
      <c r="BR37" s="129"/>
      <c r="BS37" s="129"/>
      <c r="BT37" s="129"/>
      <c r="BU37" s="354"/>
      <c r="BV37" s="129"/>
      <c r="BW37" s="129"/>
      <c r="BX37" s="353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BH38" s="129"/>
      <c r="BI38" s="129"/>
      <c r="BJ38" s="129"/>
      <c r="BK38" s="129"/>
      <c r="BL38" s="354"/>
      <c r="BM38" s="129"/>
      <c r="BN38" s="129"/>
      <c r="BO38" s="354"/>
      <c r="BP38" s="129"/>
      <c r="BQ38" s="354"/>
      <c r="BR38" s="129"/>
      <c r="BS38" s="129"/>
      <c r="BT38" s="129"/>
      <c r="BU38" s="354"/>
      <c r="BV38" s="129"/>
      <c r="BW38" s="129"/>
      <c r="BX38" s="353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10"/>
      <c r="B41" s="410"/>
      <c r="D41" s="9"/>
      <c r="F41" s="37"/>
      <c r="H41" s="36"/>
      <c r="I41"/>
      <c r="N41" t="s">
        <v>153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/>
      <c r="AC41" s="206"/>
      <c r="AD41" s="206">
        <v>0</v>
      </c>
      <c r="AE41" s="206">
        <v>0</v>
      </c>
      <c r="AF41" s="206">
        <v>0</v>
      </c>
      <c r="AG41" s="206"/>
      <c r="AH41" s="206"/>
      <c r="AI41" s="206"/>
      <c r="AJ41" s="206"/>
    </row>
    <row r="42" spans="1:107">
      <c r="A42" s="189"/>
      <c r="B42" s="55"/>
      <c r="E42" s="5"/>
      <c r="I42" s="49" t="s">
        <v>217</v>
      </c>
      <c r="P42" s="166"/>
      <c r="Q42" s="166"/>
      <c r="R42" s="16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91"/>
      <c r="H44" s="36"/>
    </row>
    <row r="45" spans="1:107">
      <c r="A45" s="411"/>
      <c r="B45" s="411"/>
      <c r="E45" s="9"/>
      <c r="G45" s="191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411" t="str">
        <f>'Table 5'!A9</f>
        <v>15 Year</v>
      </c>
      <c r="B47" s="411"/>
      <c r="E47" s="9"/>
      <c r="G47" s="108"/>
      <c r="H47" s="36"/>
      <c r="I47" t="s">
        <v>100</v>
      </c>
      <c r="K47" s="379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36.492292468615268</v>
      </c>
      <c r="G50" s="191">
        <f ca="1">'Table 5'!$G$9</f>
        <v>36.492292468615268</v>
      </c>
      <c r="H50" s="36"/>
      <c r="I50" s="212"/>
      <c r="K50" s="89"/>
      <c r="S50" s="171"/>
    </row>
    <row r="51" spans="1:19" ht="8.25" customHeight="1">
      <c r="A51" s="411"/>
      <c r="B51" s="411"/>
      <c r="E51" s="9"/>
      <c r="G51" s="108"/>
      <c r="H51" s="36"/>
    </row>
    <row r="52" spans="1:19">
      <c r="A52" s="411">
        <f>'Table 5'!A7</f>
        <v>0</v>
      </c>
      <c r="B52" s="411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91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91"/>
      <c r="H55" s="36"/>
    </row>
    <row r="56" spans="1:19" hidden="1">
      <c r="A56" s="411">
        <f>'Table 5'!A10</f>
        <v>0</v>
      </c>
      <c r="B56" s="411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91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11"/>
      <c r="B61" s="411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1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0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e">
        <f ca="1">"       Avoided Costs calculated annually are  "&amp;TEXT(PMT(Discount_Rate,COUNT($G$13:$G$27),-NPV(Discount_Rate,$G$13:$G$27)),"$0.00")&amp;"/MWH"</f>
        <v>#DIV/0!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94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97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55" t="s">
        <v>211</v>
      </c>
      <c r="C55" s="39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55" t="s">
        <v>211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94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55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6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76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76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94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55" t="s">
        <v>212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94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94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40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55" t="s">
        <v>212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212</v>
      </c>
      <c r="C58" s="146">
        <v>0.78700000000000003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/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40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55" t="s">
        <v>214</v>
      </c>
      <c r="C55" s="39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55" t="s">
        <v>214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214</v>
      </c>
      <c r="C58" s="146">
        <v>0.77100000000000002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/>
      <c r="C60" s="151">
        <v>0</v>
      </c>
      <c r="D60" s="116" t="s">
        <v>150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67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9">
        <f>221123.288/83</f>
        <v>2664.136</v>
      </c>
      <c r="D22" s="127">
        <f>C22*$C$62</f>
        <v>144.36368381336902</v>
      </c>
      <c r="E22" s="374">
        <f>5722.71583561707/83</f>
        <v>68.948383561651454</v>
      </c>
      <c r="F22" s="377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8">
        <f t="shared" ref="D23:F37" si="5">ROUND(D22*(1+IRP21_Infl_Rate),2)</f>
        <v>147.47</v>
      </c>
      <c r="E23" s="388">
        <f t="shared" si="5"/>
        <v>70.430000000000007</v>
      </c>
      <c r="F23" s="388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8">
        <f t="shared" si="5"/>
        <v>150.65</v>
      </c>
      <c r="E24" s="388">
        <f t="shared" si="5"/>
        <v>71.95</v>
      </c>
      <c r="F24" s="388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8">
        <f t="shared" si="5"/>
        <v>153.9</v>
      </c>
      <c r="E25" s="388">
        <f t="shared" si="5"/>
        <v>73.5</v>
      </c>
      <c r="F25" s="388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8">
        <f t="shared" si="5"/>
        <v>157.22</v>
      </c>
      <c r="E26" s="388">
        <f t="shared" si="5"/>
        <v>75.08</v>
      </c>
      <c r="F26" s="388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8">
        <f t="shared" si="5"/>
        <v>160.61000000000001</v>
      </c>
      <c r="E27" s="388">
        <f t="shared" si="5"/>
        <v>76.7</v>
      </c>
      <c r="F27" s="388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8">
        <f t="shared" si="5"/>
        <v>164.07</v>
      </c>
      <c r="E28" s="388">
        <f t="shared" si="5"/>
        <v>78.349999999999994</v>
      </c>
      <c r="F28" s="388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8">
        <f t="shared" si="5"/>
        <v>167.61</v>
      </c>
      <c r="E29" s="388">
        <f t="shared" si="5"/>
        <v>80.040000000000006</v>
      </c>
      <c r="F29" s="388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8">
        <f t="shared" si="5"/>
        <v>171.22</v>
      </c>
      <c r="E30" s="388">
        <f t="shared" si="5"/>
        <v>81.760000000000005</v>
      </c>
      <c r="F30" s="388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8">
        <f t="shared" si="5"/>
        <v>174.91</v>
      </c>
      <c r="E31" s="388">
        <f t="shared" si="5"/>
        <v>83.52</v>
      </c>
      <c r="F31" s="388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8">
        <f t="shared" si="5"/>
        <v>178.68</v>
      </c>
      <c r="E32" s="388">
        <f t="shared" si="5"/>
        <v>85.32</v>
      </c>
      <c r="F32" s="388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8">
        <f t="shared" si="5"/>
        <v>182.53</v>
      </c>
      <c r="E33" s="388">
        <f t="shared" si="5"/>
        <v>87.16</v>
      </c>
      <c r="F33" s="388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73"/>
    </row>
    <row r="34" spans="2:30">
      <c r="B34" s="134">
        <f t="shared" si="0"/>
        <v>2040</v>
      </c>
      <c r="C34" s="135"/>
      <c r="D34" s="388">
        <f t="shared" si="5"/>
        <v>186.46</v>
      </c>
      <c r="E34" s="388">
        <f t="shared" si="5"/>
        <v>89.04</v>
      </c>
      <c r="F34" s="388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73"/>
    </row>
    <row r="35" spans="2:30">
      <c r="B35" s="134">
        <f t="shared" si="0"/>
        <v>2041</v>
      </c>
      <c r="C35" s="135"/>
      <c r="D35" s="388">
        <f t="shared" si="5"/>
        <v>190.48</v>
      </c>
      <c r="E35" s="388">
        <f t="shared" si="5"/>
        <v>90.96</v>
      </c>
      <c r="F35" s="388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73"/>
    </row>
    <row r="36" spans="2:30">
      <c r="B36" s="134">
        <f t="shared" si="0"/>
        <v>2042</v>
      </c>
      <c r="C36" s="135"/>
      <c r="D36" s="388">
        <f t="shared" si="5"/>
        <v>194.58</v>
      </c>
      <c r="E36" s="388">
        <f t="shared" si="5"/>
        <v>92.92</v>
      </c>
      <c r="F36" s="388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73"/>
    </row>
    <row r="37" spans="2:30">
      <c r="B37" s="134">
        <f t="shared" si="0"/>
        <v>2043</v>
      </c>
      <c r="C37" s="135"/>
      <c r="D37" s="388">
        <f t="shared" si="5"/>
        <v>198.77</v>
      </c>
      <c r="E37" s="388">
        <f t="shared" si="5"/>
        <v>94.92</v>
      </c>
      <c r="F37" s="388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73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73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73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73"/>
    </row>
    <row r="41" spans="2:30">
      <c r="N41" s="116"/>
      <c r="O41" s="158"/>
      <c r="S41" s="118"/>
      <c r="AD41" s="273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73"/>
    </row>
    <row r="43" spans="2:30">
      <c r="AC43" s="273"/>
    </row>
    <row r="44" spans="2:30">
      <c r="B44" s="116" t="s">
        <v>63</v>
      </c>
      <c r="C44" s="139" t="s">
        <v>64</v>
      </c>
      <c r="D44" s="294" t="s">
        <v>155</v>
      </c>
      <c r="AC44" s="273"/>
    </row>
    <row r="45" spans="2:30">
      <c r="C45" s="139" t="str">
        <f>C7</f>
        <v>(a)</v>
      </c>
      <c r="D45" s="116" t="s">
        <v>65</v>
      </c>
      <c r="AC45" s="273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73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73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70">
        <v>2028</v>
      </c>
    </row>
    <row r="55" spans="2:25">
      <c r="B55" s="85" t="s">
        <v>156</v>
      </c>
      <c r="C55" s="167"/>
      <c r="D55" s="116" t="s">
        <v>65</v>
      </c>
      <c r="O55" s="274">
        <v>83</v>
      </c>
      <c r="P55" s="116" t="s">
        <v>32</v>
      </c>
    </row>
    <row r="56" spans="2:25">
      <c r="B56" s="85" t="s">
        <v>156</v>
      </c>
      <c r="C56" s="264"/>
      <c r="D56" s="116" t="s">
        <v>68</v>
      </c>
      <c r="R56" s="118"/>
    </row>
    <row r="57" spans="2:25" ht="24" customHeight="1">
      <c r="B57" s="85"/>
      <c r="C57" s="266"/>
      <c r="D57" s="116" t="s">
        <v>99</v>
      </c>
      <c r="Q57" s="209"/>
    </row>
    <row r="58" spans="2:25">
      <c r="B58" s="85" t="s">
        <v>156</v>
      </c>
      <c r="C58" s="264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93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266">
        <f>INDEX('Table 3 TransCost'!$39:$39,1,MATCH(F60,'Table 3 TransCost'!$4:$4,0)+2)</f>
        <v>9.0939944302083777</v>
      </c>
      <c r="D60" s="116" t="s">
        <v>150</v>
      </c>
      <c r="F60" s="270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65">
        <v>5.4187805657582425E-2</v>
      </c>
      <c r="D62" s="116" t="s">
        <v>36</v>
      </c>
      <c r="E62" s="375"/>
      <c r="K62" s="153"/>
      <c r="L62" s="154"/>
      <c r="M62" s="154"/>
      <c r="O62" s="155"/>
    </row>
    <row r="63" spans="2:25">
      <c r="C63" s="203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June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4">
      <c r="C71" s="87">
        <f t="shared" si="6"/>
        <v>2022</v>
      </c>
      <c r="D71" s="41">
        <v>7.0999999999999994E-2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3.5000000000000003E-2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0.02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94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97">
        <f>967346.939/377</f>
        <v>2565.9070000000002</v>
      </c>
      <c r="D55" s="116" t="s">
        <v>65</v>
      </c>
      <c r="O55" s="274">
        <v>377</v>
      </c>
      <c r="P55" s="116" t="s">
        <v>32</v>
      </c>
    </row>
    <row r="56" spans="2:25">
      <c r="B56" s="85" t="s">
        <v>198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97">
        <v>2702.6239999999998</v>
      </c>
      <c r="D23" s="127">
        <f>C23*$C$62</f>
        <v>146.44926407751802</v>
      </c>
      <c r="E23" s="127">
        <f>$C$56</f>
        <v>36.305800000007437</v>
      </c>
      <c r="F23" s="194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97">
        <f>+(432419.84/160)</f>
        <v>2702.6240000000003</v>
      </c>
      <c r="D55" s="116" t="s">
        <v>65</v>
      </c>
      <c r="O55" s="274">
        <v>160</v>
      </c>
      <c r="P55" s="116" t="s">
        <v>32</v>
      </c>
    </row>
    <row r="56" spans="2:25">
      <c r="B56" s="85" t="s">
        <v>200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94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97">
        <f>1551264.308/626</f>
        <v>2478.058</v>
      </c>
      <c r="D55" s="116" t="s">
        <v>65</v>
      </c>
      <c r="O55" s="274">
        <v>626</v>
      </c>
      <c r="P55" s="116" t="s">
        <v>32</v>
      </c>
    </row>
    <row r="56" spans="2:25">
      <c r="B56" s="85" t="s">
        <v>206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94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97">
        <f>2718196.8/1100</f>
        <v>2471.0879999999997</v>
      </c>
      <c r="D55" s="116" t="s">
        <v>65</v>
      </c>
      <c r="O55" s="274">
        <v>1100</v>
      </c>
      <c r="P55" s="116" t="s">
        <v>32</v>
      </c>
    </row>
    <row r="56" spans="2:25">
      <c r="B56" s="85" t="s">
        <v>215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215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9" customFormat="1" ht="15.75" hidden="1">
      <c r="B1" s="1" t="s">
        <v>35</v>
      </c>
      <c r="C1" s="1"/>
      <c r="D1" s="1"/>
      <c r="E1" s="1"/>
      <c r="F1" s="1"/>
      <c r="G1" s="216"/>
      <c r="H1" s="1"/>
      <c r="I1" s="1"/>
      <c r="J1" s="1"/>
      <c r="K1" s="1"/>
      <c r="L1" s="217"/>
      <c r="M1" s="218"/>
      <c r="N1" s="218"/>
      <c r="O1" s="218"/>
      <c r="P1" s="218"/>
    </row>
    <row r="2" spans="2:16" s="219" customFormat="1" ht="5.25" customHeight="1">
      <c r="B2" s="1"/>
      <c r="C2" s="1"/>
      <c r="D2" s="1"/>
      <c r="E2" s="1"/>
      <c r="F2" s="1"/>
      <c r="G2" s="216"/>
      <c r="H2" s="1"/>
      <c r="I2" s="1"/>
      <c r="J2" s="1"/>
      <c r="K2" s="1"/>
      <c r="L2" s="217"/>
      <c r="M2" s="218"/>
      <c r="N2" s="218"/>
      <c r="O2" s="218"/>
      <c r="P2" s="218"/>
    </row>
    <row r="3" spans="2:16" s="219" customFormat="1" ht="15.75">
      <c r="B3" s="1" t="s">
        <v>93</v>
      </c>
      <c r="C3" s="1"/>
      <c r="D3" s="1"/>
      <c r="E3" s="1"/>
      <c r="F3" s="1"/>
      <c r="G3" s="216"/>
      <c r="H3" s="1"/>
      <c r="I3" s="1"/>
      <c r="J3" s="1"/>
      <c r="K3" s="1"/>
      <c r="L3" s="217"/>
      <c r="M3" s="218"/>
      <c r="N3" s="218"/>
      <c r="O3" s="218"/>
      <c r="P3" s="218"/>
    </row>
    <row r="4" spans="2:16" s="22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0"/>
      <c r="N4" s="220"/>
      <c r="O4" s="220"/>
      <c r="P4" s="220"/>
    </row>
    <row r="5" spans="2:16" s="221" customFormat="1" ht="15">
      <c r="B5" s="4" t="str">
        <f ca="1">'Table 1'!B5</f>
        <v>Kennecott Smelter Non Firm - 31.8 MW and 58.2%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0"/>
      <c r="N6" s="220"/>
      <c r="O6" s="220"/>
      <c r="P6" s="220"/>
    </row>
    <row r="7" spans="2:16">
      <c r="D7" s="222"/>
      <c r="E7" s="222"/>
      <c r="F7" s="222"/>
      <c r="G7" s="223"/>
      <c r="H7" s="223"/>
      <c r="I7" s="223"/>
      <c r="J7" s="223"/>
      <c r="K7" s="223"/>
      <c r="L7" s="223"/>
      <c r="M7" s="224"/>
    </row>
    <row r="8" spans="2:16">
      <c r="B8" s="225"/>
      <c r="C8" s="225"/>
      <c r="D8" s="226" t="s">
        <v>95</v>
      </c>
      <c r="E8" s="227"/>
      <c r="F8" s="227"/>
      <c r="G8" s="226"/>
      <c r="H8" s="226"/>
      <c r="I8" s="228" t="s">
        <v>96</v>
      </c>
      <c r="J8" s="229"/>
      <c r="K8" s="229"/>
      <c r="L8" s="230"/>
      <c r="M8" s="231" t="s">
        <v>95</v>
      </c>
      <c r="N8" s="232"/>
      <c r="O8" s="233"/>
    </row>
    <row r="9" spans="2:16">
      <c r="B9" s="234" t="s">
        <v>0</v>
      </c>
      <c r="C9" s="234" t="s">
        <v>231</v>
      </c>
      <c r="D9" s="235" t="s">
        <v>232</v>
      </c>
      <c r="E9" s="236" t="s">
        <v>233</v>
      </c>
      <c r="F9" s="236" t="s">
        <v>234</v>
      </c>
      <c r="G9" s="236" t="s">
        <v>235</v>
      </c>
      <c r="H9" s="237" t="s">
        <v>236</v>
      </c>
      <c r="I9" s="168" t="s">
        <v>237</v>
      </c>
      <c r="J9" s="168" t="s">
        <v>238</v>
      </c>
      <c r="K9" s="168" t="s">
        <v>239</v>
      </c>
      <c r="L9" s="168" t="s">
        <v>240</v>
      </c>
      <c r="M9" s="235" t="s">
        <v>241</v>
      </c>
      <c r="N9" s="236" t="s">
        <v>242</v>
      </c>
      <c r="O9" s="237" t="s">
        <v>243</v>
      </c>
    </row>
    <row r="10" spans="2:16" ht="12.75" customHeight="1">
      <c r="B10" s="215"/>
      <c r="C10" s="21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5"/>
    </row>
    <row r="11" spans="2:16" ht="12.75" customHeight="1">
      <c r="B11" s="239" t="s">
        <v>97</v>
      </c>
      <c r="C11" s="239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6" ht="12.75" hidden="1" customHeight="1">
      <c r="B12" s="240"/>
      <c r="C12" s="241"/>
      <c r="D12" s="8"/>
      <c r="E12" s="8"/>
      <c r="F12" s="8"/>
      <c r="G12" s="8"/>
      <c r="H12" s="13"/>
      <c r="I12" s="242"/>
      <c r="J12" s="243"/>
      <c r="K12" s="243"/>
      <c r="L12" s="244"/>
      <c r="M12" s="242"/>
      <c r="N12" s="243"/>
      <c r="O12" s="244"/>
    </row>
    <row r="13" spans="2:16" ht="12.75" customHeight="1">
      <c r="B13" s="245">
        <v>2023</v>
      </c>
      <c r="C13" s="246">
        <v>36.601267694894375</v>
      </c>
      <c r="D13" s="247">
        <v>22.362405443877474</v>
      </c>
      <c r="E13" s="247">
        <v>34.034210258883881</v>
      </c>
      <c r="F13" s="247">
        <v>29.395184255080864</v>
      </c>
      <c r="G13" s="247">
        <v>25.378362005398618</v>
      </c>
      <c r="H13" s="248">
        <v>22.170215429877281</v>
      </c>
      <c r="I13" s="249">
        <v>29.224803124327916</v>
      </c>
      <c r="J13" s="247">
        <v>60.065982657068176</v>
      </c>
      <c r="K13" s="247">
        <v>64.129175921144764</v>
      </c>
      <c r="L13" s="248">
        <v>49.713504151648678</v>
      </c>
      <c r="M13" s="249">
        <v>29.501872870905459</v>
      </c>
      <c r="N13" s="247">
        <v>30.668602138142418</v>
      </c>
      <c r="O13" s="248">
        <v>41.954088544700944</v>
      </c>
    </row>
    <row r="14" spans="2:16" ht="12.75" customHeight="1">
      <c r="B14" s="262">
        <v>2024</v>
      </c>
      <c r="C14" s="250">
        <v>0</v>
      </c>
      <c r="D14" s="251">
        <v>0</v>
      </c>
      <c r="E14" s="251">
        <v>0</v>
      </c>
      <c r="F14" s="251">
        <v>0</v>
      </c>
      <c r="G14" s="251">
        <v>0</v>
      </c>
      <c r="H14" s="252">
        <v>0</v>
      </c>
      <c r="I14" s="253">
        <v>0</v>
      </c>
      <c r="J14" s="251">
        <v>0</v>
      </c>
      <c r="K14" s="251">
        <v>0</v>
      </c>
      <c r="L14" s="252">
        <v>0</v>
      </c>
      <c r="M14" s="253">
        <v>0</v>
      </c>
      <c r="N14" s="251">
        <v>0</v>
      </c>
      <c r="O14" s="252">
        <v>0</v>
      </c>
    </row>
    <row r="15" spans="2:16" ht="12.75" customHeight="1">
      <c r="B15" s="262">
        <v>2025</v>
      </c>
      <c r="C15" s="250">
        <v>0</v>
      </c>
      <c r="D15" s="251">
        <v>0</v>
      </c>
      <c r="E15" s="251">
        <v>0</v>
      </c>
      <c r="F15" s="251">
        <v>0</v>
      </c>
      <c r="G15" s="251">
        <v>0</v>
      </c>
      <c r="H15" s="252">
        <v>0</v>
      </c>
      <c r="I15" s="253">
        <v>0</v>
      </c>
      <c r="J15" s="251">
        <v>0</v>
      </c>
      <c r="K15" s="251">
        <v>0</v>
      </c>
      <c r="L15" s="252">
        <v>0</v>
      </c>
      <c r="M15" s="253">
        <v>0</v>
      </c>
      <c r="N15" s="251">
        <v>0</v>
      </c>
      <c r="O15" s="252">
        <v>0</v>
      </c>
    </row>
    <row r="16" spans="2:16" ht="12.75" customHeight="1">
      <c r="B16" s="262">
        <v>2026</v>
      </c>
      <c r="C16" s="250">
        <v>0</v>
      </c>
      <c r="D16" s="251">
        <v>0</v>
      </c>
      <c r="E16" s="251">
        <v>0</v>
      </c>
      <c r="F16" s="251">
        <v>0</v>
      </c>
      <c r="G16" s="251">
        <v>0</v>
      </c>
      <c r="H16" s="252">
        <v>0</v>
      </c>
      <c r="I16" s="253">
        <v>0</v>
      </c>
      <c r="J16" s="251">
        <v>0</v>
      </c>
      <c r="K16" s="251">
        <v>0</v>
      </c>
      <c r="L16" s="252">
        <v>0</v>
      </c>
      <c r="M16" s="253">
        <v>0</v>
      </c>
      <c r="N16" s="251">
        <v>0</v>
      </c>
      <c r="O16" s="252">
        <v>0</v>
      </c>
    </row>
    <row r="17" spans="2:15" ht="12.75" customHeight="1">
      <c r="B17" s="262">
        <v>2027</v>
      </c>
      <c r="C17" s="250">
        <v>0</v>
      </c>
      <c r="D17" s="251">
        <v>0</v>
      </c>
      <c r="E17" s="251">
        <v>0</v>
      </c>
      <c r="F17" s="251">
        <v>0</v>
      </c>
      <c r="G17" s="251">
        <v>0</v>
      </c>
      <c r="H17" s="252">
        <v>0</v>
      </c>
      <c r="I17" s="253">
        <v>0</v>
      </c>
      <c r="J17" s="251">
        <v>0</v>
      </c>
      <c r="K17" s="251">
        <v>0</v>
      </c>
      <c r="L17" s="252">
        <v>0</v>
      </c>
      <c r="M17" s="253">
        <v>0</v>
      </c>
      <c r="N17" s="251">
        <v>0</v>
      </c>
      <c r="O17" s="252">
        <v>0</v>
      </c>
    </row>
    <row r="18" spans="2:15" ht="12.75" customHeight="1">
      <c r="B18" s="262">
        <v>2028</v>
      </c>
      <c r="C18" s="250">
        <v>0</v>
      </c>
      <c r="D18" s="251">
        <v>0</v>
      </c>
      <c r="E18" s="251">
        <v>0</v>
      </c>
      <c r="F18" s="251">
        <v>0</v>
      </c>
      <c r="G18" s="251">
        <v>0</v>
      </c>
      <c r="H18" s="252">
        <v>0</v>
      </c>
      <c r="I18" s="253">
        <v>0</v>
      </c>
      <c r="J18" s="251">
        <v>0</v>
      </c>
      <c r="K18" s="251">
        <v>0</v>
      </c>
      <c r="L18" s="252">
        <v>0</v>
      </c>
      <c r="M18" s="253">
        <v>0</v>
      </c>
      <c r="N18" s="251">
        <v>0</v>
      </c>
      <c r="O18" s="252">
        <v>0</v>
      </c>
    </row>
    <row r="19" spans="2:15" ht="12.75" customHeight="1">
      <c r="B19" s="262">
        <v>2029</v>
      </c>
      <c r="C19" s="250">
        <v>0</v>
      </c>
      <c r="D19" s="251">
        <v>0</v>
      </c>
      <c r="E19" s="251">
        <v>0</v>
      </c>
      <c r="F19" s="251">
        <v>0</v>
      </c>
      <c r="G19" s="251">
        <v>0</v>
      </c>
      <c r="H19" s="252">
        <v>0</v>
      </c>
      <c r="I19" s="253">
        <v>0</v>
      </c>
      <c r="J19" s="251">
        <v>0</v>
      </c>
      <c r="K19" s="251">
        <v>0</v>
      </c>
      <c r="L19" s="252">
        <v>0</v>
      </c>
      <c r="M19" s="253">
        <v>0</v>
      </c>
      <c r="N19" s="251">
        <v>0</v>
      </c>
      <c r="O19" s="252">
        <v>0</v>
      </c>
    </row>
    <row r="20" spans="2:15" ht="12.75" customHeight="1">
      <c r="B20" s="262">
        <v>2030</v>
      </c>
      <c r="C20" s="250">
        <v>0</v>
      </c>
      <c r="D20" s="251">
        <v>0</v>
      </c>
      <c r="E20" s="251">
        <v>0</v>
      </c>
      <c r="F20" s="251">
        <v>0</v>
      </c>
      <c r="G20" s="251">
        <v>0</v>
      </c>
      <c r="H20" s="252">
        <v>0</v>
      </c>
      <c r="I20" s="253">
        <v>0</v>
      </c>
      <c r="J20" s="251">
        <v>0</v>
      </c>
      <c r="K20" s="251">
        <v>0</v>
      </c>
      <c r="L20" s="252">
        <v>0</v>
      </c>
      <c r="M20" s="253">
        <v>0</v>
      </c>
      <c r="N20" s="251">
        <v>0</v>
      </c>
      <c r="O20" s="252">
        <v>0</v>
      </c>
    </row>
    <row r="21" spans="2:15" ht="12.75" customHeight="1">
      <c r="B21" s="262">
        <v>2031</v>
      </c>
      <c r="C21" s="250">
        <v>0</v>
      </c>
      <c r="D21" s="251">
        <v>0</v>
      </c>
      <c r="E21" s="251">
        <v>0</v>
      </c>
      <c r="F21" s="251">
        <v>0</v>
      </c>
      <c r="G21" s="251">
        <v>0</v>
      </c>
      <c r="H21" s="252">
        <v>0</v>
      </c>
      <c r="I21" s="253">
        <v>0</v>
      </c>
      <c r="J21" s="251">
        <v>0</v>
      </c>
      <c r="K21" s="251">
        <v>0</v>
      </c>
      <c r="L21" s="252">
        <v>0</v>
      </c>
      <c r="M21" s="253">
        <v>0</v>
      </c>
      <c r="N21" s="251">
        <v>0</v>
      </c>
      <c r="O21" s="252">
        <v>0</v>
      </c>
    </row>
    <row r="22" spans="2:15" ht="12.75" customHeight="1">
      <c r="B22" s="262">
        <v>2032</v>
      </c>
      <c r="C22" s="250">
        <v>0</v>
      </c>
      <c r="D22" s="251">
        <v>0</v>
      </c>
      <c r="E22" s="251">
        <v>0</v>
      </c>
      <c r="F22" s="251">
        <v>0</v>
      </c>
      <c r="G22" s="251">
        <v>0</v>
      </c>
      <c r="H22" s="252">
        <v>0</v>
      </c>
      <c r="I22" s="253">
        <v>0</v>
      </c>
      <c r="J22" s="251">
        <v>0</v>
      </c>
      <c r="K22" s="251">
        <v>0</v>
      </c>
      <c r="L22" s="252">
        <v>0</v>
      </c>
      <c r="M22" s="253">
        <v>0</v>
      </c>
      <c r="N22" s="251">
        <v>0</v>
      </c>
      <c r="O22" s="252">
        <v>0</v>
      </c>
    </row>
    <row r="23" spans="2:15" ht="12.75" customHeight="1">
      <c r="B23" s="262">
        <v>0</v>
      </c>
      <c r="C23" s="250">
        <v>0</v>
      </c>
      <c r="D23" s="251">
        <v>0</v>
      </c>
      <c r="E23" s="251">
        <v>0</v>
      </c>
      <c r="F23" s="251">
        <v>0</v>
      </c>
      <c r="G23" s="251">
        <v>0</v>
      </c>
      <c r="H23" s="252">
        <v>0</v>
      </c>
      <c r="I23" s="253">
        <v>0</v>
      </c>
      <c r="J23" s="251">
        <v>0</v>
      </c>
      <c r="K23" s="251">
        <v>0</v>
      </c>
      <c r="L23" s="252">
        <v>0</v>
      </c>
      <c r="M23" s="253">
        <v>0</v>
      </c>
      <c r="N23" s="251">
        <v>0</v>
      </c>
      <c r="O23" s="252">
        <v>0</v>
      </c>
    </row>
    <row r="24" spans="2:15" ht="12.75" customHeight="1">
      <c r="B24" s="262">
        <v>0</v>
      </c>
      <c r="C24" s="250">
        <v>0</v>
      </c>
      <c r="D24" s="251">
        <v>0</v>
      </c>
      <c r="E24" s="251">
        <v>0</v>
      </c>
      <c r="F24" s="251">
        <v>0</v>
      </c>
      <c r="G24" s="251">
        <v>0</v>
      </c>
      <c r="H24" s="252">
        <v>0</v>
      </c>
      <c r="I24" s="253">
        <v>0</v>
      </c>
      <c r="J24" s="251">
        <v>0</v>
      </c>
      <c r="K24" s="251">
        <v>0</v>
      </c>
      <c r="L24" s="252">
        <v>0</v>
      </c>
      <c r="M24" s="253">
        <v>0</v>
      </c>
      <c r="N24" s="251">
        <v>0</v>
      </c>
      <c r="O24" s="252">
        <v>0</v>
      </c>
    </row>
    <row r="25" spans="2:15" ht="12.75" customHeight="1">
      <c r="B25" s="262">
        <v>0</v>
      </c>
      <c r="C25" s="250">
        <v>0</v>
      </c>
      <c r="D25" s="251">
        <v>0</v>
      </c>
      <c r="E25" s="251">
        <v>0</v>
      </c>
      <c r="F25" s="251">
        <v>0</v>
      </c>
      <c r="G25" s="251">
        <v>0</v>
      </c>
      <c r="H25" s="252">
        <v>0</v>
      </c>
      <c r="I25" s="253">
        <v>0</v>
      </c>
      <c r="J25" s="251">
        <v>0</v>
      </c>
      <c r="K25" s="251">
        <v>0</v>
      </c>
      <c r="L25" s="252">
        <v>0</v>
      </c>
      <c r="M25" s="253">
        <v>0</v>
      </c>
      <c r="N25" s="251">
        <v>0</v>
      </c>
      <c r="O25" s="252">
        <v>0</v>
      </c>
    </row>
    <row r="26" spans="2:15" ht="12.75" customHeight="1">
      <c r="B26" s="262">
        <v>0</v>
      </c>
      <c r="C26" s="250">
        <v>0</v>
      </c>
      <c r="D26" s="251">
        <v>0</v>
      </c>
      <c r="E26" s="251">
        <v>0</v>
      </c>
      <c r="F26" s="251">
        <v>0</v>
      </c>
      <c r="G26" s="251">
        <v>0</v>
      </c>
      <c r="H26" s="252">
        <v>0</v>
      </c>
      <c r="I26" s="253">
        <v>0</v>
      </c>
      <c r="J26" s="251">
        <v>0</v>
      </c>
      <c r="K26" s="251">
        <v>0</v>
      </c>
      <c r="L26" s="252">
        <v>0</v>
      </c>
      <c r="M26" s="253">
        <v>0</v>
      </c>
      <c r="N26" s="251">
        <v>0</v>
      </c>
      <c r="O26" s="252">
        <v>0</v>
      </c>
    </row>
    <row r="27" spans="2:15" ht="12.75" customHeight="1">
      <c r="B27" s="262">
        <v>0</v>
      </c>
      <c r="C27" s="250">
        <v>0</v>
      </c>
      <c r="D27" s="251">
        <v>0</v>
      </c>
      <c r="E27" s="251">
        <v>0</v>
      </c>
      <c r="F27" s="251">
        <v>0</v>
      </c>
      <c r="G27" s="251">
        <v>0</v>
      </c>
      <c r="H27" s="252">
        <v>0</v>
      </c>
      <c r="I27" s="253">
        <v>0</v>
      </c>
      <c r="J27" s="251">
        <v>0</v>
      </c>
      <c r="K27" s="251">
        <v>0</v>
      </c>
      <c r="L27" s="252">
        <v>0</v>
      </c>
      <c r="M27" s="253">
        <v>0</v>
      </c>
      <c r="N27" s="251">
        <v>0</v>
      </c>
      <c r="O27" s="252">
        <v>0</v>
      </c>
    </row>
    <row r="28" spans="2:15" ht="12.75" customHeight="1">
      <c r="B28" s="262">
        <v>0</v>
      </c>
      <c r="C28" s="250">
        <v>0</v>
      </c>
      <c r="D28" s="251">
        <v>0</v>
      </c>
      <c r="E28" s="251">
        <v>0</v>
      </c>
      <c r="F28" s="251">
        <v>0</v>
      </c>
      <c r="G28" s="251">
        <v>0</v>
      </c>
      <c r="H28" s="252">
        <v>0</v>
      </c>
      <c r="I28" s="253">
        <v>0</v>
      </c>
      <c r="J28" s="251">
        <v>0</v>
      </c>
      <c r="K28" s="251">
        <v>0</v>
      </c>
      <c r="L28" s="252">
        <v>0</v>
      </c>
      <c r="M28" s="253">
        <v>0</v>
      </c>
      <c r="N28" s="251">
        <v>0</v>
      </c>
      <c r="O28" s="252">
        <v>0</v>
      </c>
    </row>
    <row r="29" spans="2:15" ht="12.75" customHeight="1">
      <c r="B29" s="262">
        <v>0</v>
      </c>
      <c r="C29" s="250">
        <v>0</v>
      </c>
      <c r="D29" s="251">
        <v>0</v>
      </c>
      <c r="E29" s="251">
        <v>0</v>
      </c>
      <c r="F29" s="251">
        <v>0</v>
      </c>
      <c r="G29" s="251">
        <v>0</v>
      </c>
      <c r="H29" s="252">
        <v>0</v>
      </c>
      <c r="I29" s="253">
        <v>0</v>
      </c>
      <c r="J29" s="251">
        <v>0</v>
      </c>
      <c r="K29" s="251">
        <v>0</v>
      </c>
      <c r="L29" s="252">
        <v>0</v>
      </c>
      <c r="M29" s="253">
        <v>0</v>
      </c>
      <c r="N29" s="251">
        <v>0</v>
      </c>
      <c r="O29" s="252">
        <v>0</v>
      </c>
    </row>
    <row r="30" spans="2:15" ht="12.75" customHeight="1">
      <c r="B30" s="263">
        <v>0</v>
      </c>
      <c r="C30" s="255">
        <v>0</v>
      </c>
      <c r="D30" s="256">
        <v>0</v>
      </c>
      <c r="E30" s="256">
        <v>0</v>
      </c>
      <c r="F30" s="256">
        <v>0</v>
      </c>
      <c r="G30" s="256">
        <v>0</v>
      </c>
      <c r="H30" s="257">
        <v>0</v>
      </c>
      <c r="I30" s="258">
        <v>0</v>
      </c>
      <c r="J30" s="256">
        <v>0</v>
      </c>
      <c r="K30" s="256">
        <v>0</v>
      </c>
      <c r="L30" s="257">
        <v>0</v>
      </c>
      <c r="M30" s="258">
        <v>0</v>
      </c>
      <c r="N30" s="256">
        <v>0</v>
      </c>
      <c r="O30" s="257">
        <v>0</v>
      </c>
    </row>
    <row r="31" spans="2:15" ht="12.75" hidden="1" customHeight="1">
      <c r="B31" s="15"/>
      <c r="C31" s="250"/>
      <c r="D31" s="251"/>
      <c r="E31" s="251"/>
      <c r="F31" s="251"/>
      <c r="G31" s="251"/>
      <c r="H31" s="252"/>
      <c r="I31" s="253"/>
      <c r="J31" s="251"/>
      <c r="K31" s="251"/>
      <c r="L31" s="252"/>
      <c r="M31" s="253"/>
      <c r="N31" s="251"/>
      <c r="O31" s="252"/>
    </row>
    <row r="32" spans="2:15" ht="12.75" hidden="1" customHeight="1">
      <c r="B32" s="254"/>
      <c r="C32" s="255"/>
      <c r="D32" s="256"/>
      <c r="E32" s="256"/>
      <c r="F32" s="256"/>
      <c r="G32" s="256"/>
      <c r="H32" s="257"/>
      <c r="I32" s="258"/>
      <c r="J32" s="256"/>
      <c r="K32" s="256"/>
      <c r="L32" s="257"/>
      <c r="M32" s="258"/>
      <c r="N32" s="256"/>
      <c r="O32" s="257"/>
    </row>
    <row r="33" spans="2:16" ht="12.75" customHeight="1">
      <c r="D33" s="10"/>
      <c r="E33" s="10"/>
      <c r="F33" s="10"/>
      <c r="M33" s="259"/>
    </row>
    <row r="34" spans="2:16">
      <c r="B34" s="26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8" spans="2:16" hidden="1">
      <c r="C38" s="261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1"/>
    </row>
    <row r="40" spans="2:16">
      <c r="C40" s="261"/>
    </row>
    <row r="41" spans="2:16">
      <c r="C41" s="26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386">
        <f>$C$68</f>
        <v>6.7187999999999999</v>
      </c>
      <c r="H14" s="288"/>
      <c r="I14" s="288"/>
      <c r="J14" s="288"/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388">
        <f t="shared" ref="G15:G36" si="1">ROUND(G14*(1+IRP21_Infl_Rate),2)</f>
        <v>6.86</v>
      </c>
      <c r="H15" s="288"/>
      <c r="I15" s="288"/>
      <c r="J15" s="127"/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388">
        <f t="shared" si="1"/>
        <v>7.01</v>
      </c>
      <c r="H16" s="288"/>
      <c r="I16" s="288"/>
      <c r="J16" s="127"/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388">
        <f t="shared" si="1"/>
        <v>7.16</v>
      </c>
      <c r="H17" s="288"/>
      <c r="I17" s="288"/>
      <c r="J17" s="127"/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388">
        <f t="shared" si="1"/>
        <v>7.31</v>
      </c>
      <c r="H18" s="288"/>
      <c r="I18" s="288"/>
      <c r="J18" s="127"/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388">
        <f t="shared" si="1"/>
        <v>7.47</v>
      </c>
      <c r="H19" s="288"/>
      <c r="I19" s="288"/>
      <c r="J19" s="127"/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388">
        <f t="shared" si="1"/>
        <v>7.63</v>
      </c>
      <c r="H20" s="288"/>
      <c r="I20" s="288"/>
      <c r="J20" s="127"/>
      <c r="K20" s="288"/>
      <c r="L20" s="288"/>
      <c r="M20" s="127"/>
      <c r="N20" s="41"/>
      <c r="P20" s="380"/>
      <c r="Q20" s="380" t="s">
        <v>182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388">
        <f t="shared" si="1"/>
        <v>7.79</v>
      </c>
      <c r="H21" s="288"/>
      <c r="I21" s="288"/>
      <c r="J21" s="127"/>
      <c r="K21" s="288"/>
      <c r="L21" s="288"/>
      <c r="M21" s="127"/>
      <c r="N21" s="41"/>
      <c r="P21" s="380"/>
      <c r="Q21" s="85" t="s">
        <v>183</v>
      </c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378">
        <f>$C$64</f>
        <v>3799.5717060566089</v>
      </c>
      <c r="D22" s="387">
        <f>ROUND(C22*$C$70,2)</f>
        <v>255.84</v>
      </c>
      <c r="E22" s="127"/>
      <c r="F22" s="374">
        <f>$C$67</f>
        <v>222.01</v>
      </c>
      <c r="G22" s="388">
        <f t="shared" si="1"/>
        <v>7.96</v>
      </c>
      <c r="H22" s="288">
        <f t="shared" ref="H22:H26" si="2">ROUND(G22*(8.76*$H$59)+F22,2)</f>
        <v>281.7</v>
      </c>
      <c r="I22" s="288">
        <f t="shared" ref="I22:I26" si="3">ROUND(D22+E22+H22,2)</f>
        <v>537.54</v>
      </c>
      <c r="J22" s="127"/>
      <c r="K22" s="288">
        <f t="shared" ref="K22:K26" si="4">ROUND($L$59*J22/1000,2)</f>
        <v>0</v>
      </c>
      <c r="L22" s="288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80"/>
      <c r="Q22" s="380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388">
        <f t="shared" ref="D23:D36" si="7">ROUND(D22*(1+IRP21_Infl_Rate),2)</f>
        <v>261.35000000000002</v>
      </c>
      <c r="E23" s="127"/>
      <c r="F23" s="388">
        <f t="shared" ref="F23:F36" si="8">ROUND(F22*(1+IRP21_Infl_Rate),2)</f>
        <v>226.79</v>
      </c>
      <c r="G23" s="388">
        <f t="shared" si="1"/>
        <v>8.1300000000000008</v>
      </c>
      <c r="H23" s="288">
        <f t="shared" si="2"/>
        <v>287.75</v>
      </c>
      <c r="I23" s="288">
        <f t="shared" si="3"/>
        <v>549.1</v>
      </c>
      <c r="J23" s="127"/>
      <c r="K23" s="288">
        <f t="shared" si="4"/>
        <v>0</v>
      </c>
      <c r="L23" s="288">
        <f t="shared" si="5"/>
        <v>73.23</v>
      </c>
      <c r="M23" s="127">
        <f t="shared" si="6"/>
        <v>488.14</v>
      </c>
      <c r="N23" s="41"/>
      <c r="P23" s="380"/>
      <c r="Q23" s="380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388">
        <f t="shared" si="7"/>
        <v>266.98</v>
      </c>
      <c r="E24" s="127"/>
      <c r="F24" s="388">
        <f t="shared" si="8"/>
        <v>231.68</v>
      </c>
      <c r="G24" s="388">
        <f t="shared" si="1"/>
        <v>8.31</v>
      </c>
      <c r="H24" s="288">
        <f t="shared" si="2"/>
        <v>293.99</v>
      </c>
      <c r="I24" s="288">
        <f t="shared" si="3"/>
        <v>560.97</v>
      </c>
      <c r="J24" s="127"/>
      <c r="K24" s="288">
        <f t="shared" si="4"/>
        <v>0</v>
      </c>
      <c r="L24" s="288">
        <f t="shared" si="5"/>
        <v>74.81</v>
      </c>
      <c r="M24" s="127">
        <f t="shared" si="6"/>
        <v>498.66</v>
      </c>
      <c r="N24" s="50"/>
      <c r="O24" s="85"/>
      <c r="P24" s="380"/>
      <c r="Q24" s="380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388">
        <f t="shared" si="7"/>
        <v>272.73</v>
      </c>
      <c r="E25" s="127"/>
      <c r="F25" s="388">
        <f t="shared" si="8"/>
        <v>236.67</v>
      </c>
      <c r="G25" s="388">
        <f t="shared" si="1"/>
        <v>8.49</v>
      </c>
      <c r="H25" s="288">
        <f t="shared" si="2"/>
        <v>300.33</v>
      </c>
      <c r="I25" s="288">
        <f t="shared" si="3"/>
        <v>573.05999999999995</v>
      </c>
      <c r="J25" s="127"/>
      <c r="K25" s="288">
        <f t="shared" si="4"/>
        <v>0</v>
      </c>
      <c r="L25" s="288">
        <f t="shared" si="5"/>
        <v>76.42</v>
      </c>
      <c r="M25" s="127">
        <f t="shared" si="6"/>
        <v>509.4</v>
      </c>
      <c r="N25" s="50"/>
      <c r="O25" s="85"/>
      <c r="P25" s="380"/>
      <c r="Q25" s="380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388">
        <f t="shared" si="7"/>
        <v>278.61</v>
      </c>
      <c r="E26" s="127"/>
      <c r="F26" s="388">
        <f t="shared" si="8"/>
        <v>241.77</v>
      </c>
      <c r="G26" s="388">
        <f t="shared" si="1"/>
        <v>8.67</v>
      </c>
      <c r="H26" s="288">
        <f t="shared" si="2"/>
        <v>306.77999999999997</v>
      </c>
      <c r="I26" s="288">
        <f t="shared" si="3"/>
        <v>585.39</v>
      </c>
      <c r="J26" s="127"/>
      <c r="K26" s="288">
        <f t="shared" si="4"/>
        <v>0</v>
      </c>
      <c r="L26" s="288">
        <f t="shared" si="5"/>
        <v>78.069999999999993</v>
      </c>
      <c r="M26" s="127">
        <f t="shared" si="6"/>
        <v>520.38</v>
      </c>
      <c r="N26" s="50"/>
      <c r="O26" s="85"/>
      <c r="P26" s="380"/>
      <c r="Q26" s="380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388">
        <f t="shared" si="7"/>
        <v>284.61</v>
      </c>
      <c r="E27" s="127"/>
      <c r="F27" s="388">
        <f t="shared" si="8"/>
        <v>246.98</v>
      </c>
      <c r="G27" s="388">
        <f t="shared" si="1"/>
        <v>8.86</v>
      </c>
      <c r="H27" s="288">
        <f t="shared" ref="H27:H36" si="9">ROUND(G27*(8.76*$H$59)+F27,2)</f>
        <v>313.42</v>
      </c>
      <c r="I27" s="288">
        <f>ROUND(D27+E27+H27,2)</f>
        <v>598.03</v>
      </c>
      <c r="J27" s="127"/>
      <c r="K27" s="288">
        <f t="shared" ref="K27:K36" si="10">ROUND($L$59*J27/1000,2)</f>
        <v>0</v>
      </c>
      <c r="L27" s="288">
        <f t="shared" ref="L27:L36" si="11">ROUND(I27*1000/8760/$H$59+K27,2)</f>
        <v>79.75</v>
      </c>
      <c r="M27" s="127">
        <f>(D27+E27+F27)</f>
        <v>531.59</v>
      </c>
      <c r="N27" s="50"/>
      <c r="O27" s="85"/>
      <c r="P27" s="380"/>
      <c r="Q27" s="380">
        <v>-13</v>
      </c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388">
        <f t="shared" si="7"/>
        <v>290.74</v>
      </c>
      <c r="E28" s="127"/>
      <c r="F28" s="388">
        <f t="shared" si="8"/>
        <v>252.3</v>
      </c>
      <c r="G28" s="388">
        <f t="shared" si="1"/>
        <v>9.0500000000000007</v>
      </c>
      <c r="H28" s="288">
        <f t="shared" si="9"/>
        <v>320.16000000000003</v>
      </c>
      <c r="I28" s="288">
        <f t="shared" ref="I28:I36" si="12">ROUND(D28+E28+H28,2)</f>
        <v>610.9</v>
      </c>
      <c r="J28" s="127"/>
      <c r="K28" s="288">
        <f t="shared" si="10"/>
        <v>0</v>
      </c>
      <c r="L28" s="288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80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388">
        <f t="shared" si="7"/>
        <v>297.01</v>
      </c>
      <c r="E29" s="127"/>
      <c r="F29" s="388">
        <f t="shared" si="8"/>
        <v>257.74</v>
      </c>
      <c r="G29" s="388">
        <f t="shared" si="1"/>
        <v>9.25</v>
      </c>
      <c r="H29" s="288">
        <f t="shared" si="9"/>
        <v>327.10000000000002</v>
      </c>
      <c r="I29" s="288">
        <f t="shared" si="12"/>
        <v>624.11</v>
      </c>
      <c r="J29" s="127"/>
      <c r="K29" s="288">
        <f t="shared" si="10"/>
        <v>0</v>
      </c>
      <c r="L29" s="288">
        <f t="shared" si="11"/>
        <v>83.23</v>
      </c>
      <c r="M29" s="127">
        <f t="shared" si="13"/>
        <v>554.75</v>
      </c>
      <c r="N29" s="50"/>
      <c r="Q29" s="380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388">
        <f t="shared" si="7"/>
        <v>303.41000000000003</v>
      </c>
      <c r="E30" s="127"/>
      <c r="F30" s="388">
        <f t="shared" si="8"/>
        <v>263.29000000000002</v>
      </c>
      <c r="G30" s="388">
        <f t="shared" si="1"/>
        <v>9.4499999999999993</v>
      </c>
      <c r="H30" s="288">
        <f t="shared" si="9"/>
        <v>334.15</v>
      </c>
      <c r="I30" s="288">
        <f t="shared" si="12"/>
        <v>637.55999999999995</v>
      </c>
      <c r="J30" s="127"/>
      <c r="K30" s="288">
        <f t="shared" si="10"/>
        <v>0</v>
      </c>
      <c r="L30" s="288">
        <f t="shared" si="11"/>
        <v>85.02</v>
      </c>
      <c r="M30" s="127">
        <f t="shared" si="13"/>
        <v>566.70000000000005</v>
      </c>
      <c r="N30" s="50"/>
      <c r="Q30" s="380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388">
        <f t="shared" si="7"/>
        <v>309.95</v>
      </c>
      <c r="E31" s="127"/>
      <c r="F31" s="388">
        <f t="shared" si="8"/>
        <v>268.95999999999998</v>
      </c>
      <c r="G31" s="388">
        <f t="shared" si="1"/>
        <v>9.65</v>
      </c>
      <c r="H31" s="288">
        <f t="shared" si="9"/>
        <v>341.32</v>
      </c>
      <c r="I31" s="288">
        <f t="shared" si="12"/>
        <v>651.27</v>
      </c>
      <c r="J31" s="127"/>
      <c r="K31" s="288">
        <f t="shared" si="10"/>
        <v>0</v>
      </c>
      <c r="L31" s="288">
        <f t="shared" si="11"/>
        <v>86.85</v>
      </c>
      <c r="M31" s="127">
        <f t="shared" si="13"/>
        <v>578.91</v>
      </c>
      <c r="N31" s="50"/>
      <c r="Q31" s="380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388">
        <f t="shared" si="7"/>
        <v>316.63</v>
      </c>
      <c r="E32" s="127"/>
      <c r="F32" s="388">
        <f t="shared" si="8"/>
        <v>274.76</v>
      </c>
      <c r="G32" s="388">
        <f t="shared" si="1"/>
        <v>9.86</v>
      </c>
      <c r="H32" s="288">
        <f t="shared" si="9"/>
        <v>348.7</v>
      </c>
      <c r="I32" s="288">
        <f t="shared" si="12"/>
        <v>665.33</v>
      </c>
      <c r="J32" s="127"/>
      <c r="K32" s="288">
        <f t="shared" si="10"/>
        <v>0</v>
      </c>
      <c r="L32" s="288">
        <f t="shared" si="11"/>
        <v>88.73</v>
      </c>
      <c r="M32" s="127">
        <f t="shared" si="13"/>
        <v>591.39</v>
      </c>
      <c r="N32" s="50"/>
      <c r="Q32" s="380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388">
        <f t="shared" si="7"/>
        <v>323.45</v>
      </c>
      <c r="E33" s="127"/>
      <c r="F33" s="388">
        <f t="shared" si="8"/>
        <v>280.68</v>
      </c>
      <c r="G33" s="388">
        <f t="shared" si="1"/>
        <v>10.07</v>
      </c>
      <c r="H33" s="288">
        <f t="shared" si="9"/>
        <v>356.19</v>
      </c>
      <c r="I33" s="288">
        <f t="shared" si="12"/>
        <v>679.64</v>
      </c>
      <c r="J33" s="127"/>
      <c r="K33" s="288">
        <f t="shared" si="10"/>
        <v>0</v>
      </c>
      <c r="L33" s="288">
        <f t="shared" si="11"/>
        <v>90.64</v>
      </c>
      <c r="M33" s="127">
        <f t="shared" si="13"/>
        <v>604.13</v>
      </c>
      <c r="Q33" s="380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388">
        <f t="shared" si="7"/>
        <v>330.42</v>
      </c>
      <c r="E34" s="127"/>
      <c r="F34" s="388">
        <f t="shared" si="8"/>
        <v>286.73</v>
      </c>
      <c r="G34" s="388">
        <f t="shared" si="1"/>
        <v>10.29</v>
      </c>
      <c r="H34" s="288">
        <f t="shared" si="9"/>
        <v>363.89</v>
      </c>
      <c r="I34" s="288">
        <f t="shared" si="12"/>
        <v>694.31</v>
      </c>
      <c r="J34" s="127"/>
      <c r="K34" s="288">
        <f t="shared" si="10"/>
        <v>0</v>
      </c>
      <c r="L34" s="288">
        <f t="shared" si="11"/>
        <v>92.59</v>
      </c>
      <c r="M34" s="127">
        <f t="shared" si="13"/>
        <v>617.15000000000009</v>
      </c>
      <c r="Q34" s="380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388">
        <f t="shared" si="7"/>
        <v>337.54</v>
      </c>
      <c r="E35" s="127"/>
      <c r="F35" s="388">
        <f t="shared" si="8"/>
        <v>292.91000000000003</v>
      </c>
      <c r="G35" s="388">
        <f t="shared" si="1"/>
        <v>10.51</v>
      </c>
      <c r="H35" s="288">
        <f t="shared" si="9"/>
        <v>371.72</v>
      </c>
      <c r="I35" s="288">
        <f t="shared" si="12"/>
        <v>709.26</v>
      </c>
      <c r="J35" s="127"/>
      <c r="K35" s="288">
        <f t="shared" si="10"/>
        <v>0</v>
      </c>
      <c r="L35" s="288">
        <f t="shared" si="11"/>
        <v>94.59</v>
      </c>
      <c r="M35" s="127">
        <f t="shared" si="13"/>
        <v>630.45000000000005</v>
      </c>
      <c r="Q35" s="380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388">
        <f t="shared" si="7"/>
        <v>344.81</v>
      </c>
      <c r="E36" s="127"/>
      <c r="F36" s="388">
        <f t="shared" si="8"/>
        <v>299.22000000000003</v>
      </c>
      <c r="G36" s="388">
        <f t="shared" si="1"/>
        <v>10.74</v>
      </c>
      <c r="H36" s="288">
        <f t="shared" si="9"/>
        <v>379.75</v>
      </c>
      <c r="I36" s="288">
        <f t="shared" si="12"/>
        <v>724.56</v>
      </c>
      <c r="J36" s="127"/>
      <c r="K36" s="288">
        <f t="shared" si="10"/>
        <v>0</v>
      </c>
      <c r="L36" s="288">
        <f t="shared" si="11"/>
        <v>96.63</v>
      </c>
      <c r="M36" s="127">
        <f t="shared" si="13"/>
        <v>644.03</v>
      </c>
      <c r="Q36" s="380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345</v>
      </c>
      <c r="H52" s="41">
        <f>G52/G54</f>
        <v>1</v>
      </c>
      <c r="I52" s="304">
        <f>C64</f>
        <v>3799.5717060566089</v>
      </c>
      <c r="J52" s="305">
        <f>C67</f>
        <v>222.01</v>
      </c>
      <c r="Q52" s="116"/>
      <c r="R52" s="116"/>
      <c r="S52" s="270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40"/>
      <c r="R53" s="116"/>
      <c r="S53" s="270"/>
      <c r="T53" s="270"/>
      <c r="U53" s="116"/>
      <c r="V53" s="270"/>
    </row>
    <row r="54" spans="2:22">
      <c r="C54" s="292" t="s">
        <v>110</v>
      </c>
      <c r="G54" s="303">
        <f>G52+G53</f>
        <v>345</v>
      </c>
      <c r="H54" s="41">
        <f>H52+H53</f>
        <v>1</v>
      </c>
      <c r="I54" s="304">
        <f>ROUND(((G52*I52)+(G53*I53))/G54,0)</f>
        <v>3800</v>
      </c>
      <c r="J54" s="305">
        <f>ROUND(((G52*J52)+(G53*J53))/G54,2)</f>
        <v>222.01</v>
      </c>
      <c r="Q54" s="340"/>
      <c r="R54" s="116"/>
      <c r="S54" s="270"/>
      <c r="T54" s="118"/>
      <c r="U54" s="116"/>
      <c r="V54" s="270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270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345</v>
      </c>
      <c r="H57" s="41">
        <f>C71</f>
        <v>0.85562099999999996</v>
      </c>
      <c r="I57" s="315">
        <f>H57*G57</f>
        <v>295.18924499999997</v>
      </c>
      <c r="J57" s="41">
        <f>I57/I59</f>
        <v>1</v>
      </c>
      <c r="K57" s="311">
        <f>C68</f>
        <v>6.7187999999999999</v>
      </c>
      <c r="L57" s="316">
        <f>C69</f>
        <v>0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345</v>
      </c>
      <c r="H59" s="321">
        <f>ROUND(I59/G59,3)</f>
        <v>0.85599999999999998</v>
      </c>
      <c r="I59" s="315">
        <f>SUM(I57:I58)</f>
        <v>295.18924499999997</v>
      </c>
      <c r="J59" s="41">
        <f>J57+J58</f>
        <v>1</v>
      </c>
      <c r="K59" s="311">
        <f>ROUND(($J57*K57)+($J58*K58),2)</f>
        <v>6.72</v>
      </c>
      <c r="L59" s="322">
        <f>ROUND(($J57*L57)+($J58*L58),0)</f>
        <v>0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- 2019 IRP - Table 7.1 &amp; 7.2 </v>
      </c>
      <c r="G62" s="325"/>
      <c r="H62" s="325"/>
      <c r="I62" s="325"/>
      <c r="J62" s="325"/>
      <c r="K62" s="325"/>
      <c r="L62" s="326"/>
    </row>
    <row r="63" spans="2:22">
      <c r="C63" s="333">
        <v>345</v>
      </c>
      <c r="F63" s="85" t="s">
        <v>118</v>
      </c>
      <c r="I63" s="327"/>
    </row>
    <row r="64" spans="2:22">
      <c r="B64" s="85" t="s">
        <v>179</v>
      </c>
      <c r="C64" s="332">
        <f>1310852.23858953/C63</f>
        <v>3799.5717060566089</v>
      </c>
      <c r="D64" s="310"/>
      <c r="F64" s="85" t="s">
        <v>119</v>
      </c>
    </row>
    <row r="65" spans="2:30">
      <c r="B65" s="85" t="s">
        <v>179</v>
      </c>
      <c r="C65" s="381">
        <v>222.01</v>
      </c>
      <c r="D65" s="311"/>
      <c r="F65" s="85" t="s">
        <v>120</v>
      </c>
    </row>
    <row r="66" spans="2:30">
      <c r="C66" s="335">
        <v>0</v>
      </c>
      <c r="D66" s="328"/>
      <c r="F66" s="85" t="s">
        <v>121</v>
      </c>
    </row>
    <row r="67" spans="2:30">
      <c r="B67" s="85" t="s">
        <v>179</v>
      </c>
      <c r="C67" s="311">
        <f>C65+C66</f>
        <v>222.01</v>
      </c>
      <c r="D67" s="311"/>
      <c r="F67" s="85" t="s">
        <v>122</v>
      </c>
    </row>
    <row r="68" spans="2:30">
      <c r="B68" s="85" t="s">
        <v>156</v>
      </c>
      <c r="C68" s="381">
        <v>6.7187999999999999</v>
      </c>
      <c r="D68" s="311"/>
      <c r="F68" s="85" t="s">
        <v>123</v>
      </c>
    </row>
    <row r="69" spans="2:30">
      <c r="C69" s="337"/>
      <c r="D69" s="322"/>
      <c r="F69" s="85" t="s">
        <v>124</v>
      </c>
    </row>
    <row r="70" spans="2:30">
      <c r="C70" s="334">
        <v>6.7333481514181892E-2</v>
      </c>
      <c r="D70" s="329"/>
      <c r="F70" s="85" t="s">
        <v>36</v>
      </c>
      <c r="AC70" s="118"/>
      <c r="AD70" s="118"/>
    </row>
    <row r="71" spans="2:30">
      <c r="C71" s="336">
        <v>0.85562099999999996</v>
      </c>
      <c r="D71" s="330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55" t="e">
        <f>LEFT(RIGHT(INDEX('Table 3 TransCost'!$39:$39,1,MATCH(E73,'Table 3 TransCost'!$4:$4,0)),6),5)</f>
        <v>#N/A</v>
      </c>
      <c r="C73" s="266"/>
      <c r="D73" s="116" t="s">
        <v>150</v>
      </c>
      <c r="E73" s="270"/>
      <c r="F73" s="116"/>
      <c r="AC73" s="118"/>
      <c r="AD73" s="118"/>
    </row>
    <row r="74" spans="2:30" ht="13.5" thickBot="1">
      <c r="B74"/>
      <c r="C74" s="383">
        <v>26.724569206547603</v>
      </c>
      <c r="D74"/>
      <c r="F74" s="85" t="s">
        <v>176</v>
      </c>
      <c r="G74" s="382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June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2.1999999999999999E-2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2.3E-2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2.1999999999999999E-2</v>
      </c>
      <c r="L81" s="116"/>
      <c r="M81" s="116"/>
    </row>
    <row r="82" spans="3:30">
      <c r="C82" s="87">
        <f t="shared" si="14"/>
        <v>2022</v>
      </c>
      <c r="D82" s="41">
        <v>7.0999999999999994E-2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3.5000000000000003E-2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0.02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2.1999999999999999E-2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31"/>
    </row>
    <row r="89" spans="3:30">
      <c r="D89" s="33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4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380">
        <f>$C$64</f>
        <v>1319.927786794867</v>
      </c>
      <c r="D25" s="286">
        <f>ROUND(C25*$C$70,2)</f>
        <v>98.96</v>
      </c>
      <c r="E25" s="194">
        <f>$C$73</f>
        <v>12.45513744317196</v>
      </c>
      <c r="F25" s="127">
        <v>0</v>
      </c>
      <c r="G25" s="127">
        <f t="shared" si="1"/>
        <v>26.92</v>
      </c>
      <c r="H25" s="288">
        <f t="shared" ref="H25" si="3">ROUND(G25*(8.76*$H$59)+F25,2)</f>
        <v>77.819999999999993</v>
      </c>
      <c r="I25" s="288">
        <f>ROUND(D25+E25+H25,2)</f>
        <v>189.24</v>
      </c>
      <c r="J25" s="127">
        <f t="shared" si="2"/>
        <v>33.78</v>
      </c>
      <c r="K25" s="288">
        <f t="shared" ref="K25" si="4">ROUND($L$59*J25/1000,2)</f>
        <v>335.64</v>
      </c>
      <c r="L25" s="288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88">
        <f t="shared" ref="H26" si="9">ROUND(G26*(8.76*$H$59)+F26,2)</f>
        <v>79.5</v>
      </c>
      <c r="I26" s="288">
        <f>ROUND(D26+E26+H26,2)</f>
        <v>193.31</v>
      </c>
      <c r="J26" s="127">
        <f t="shared" si="2"/>
        <v>34.51</v>
      </c>
      <c r="K26" s="288">
        <f t="shared" ref="K26" si="10">ROUND($L$59*J26/1000,2)</f>
        <v>342.89</v>
      </c>
      <c r="L26" s="288">
        <f t="shared" ref="L26" si="11">ROUND(I26*1000/8760/$H$59+K26,2)</f>
        <v>409.76</v>
      </c>
      <c r="M26" s="127">
        <f>(D26+E26+F26)</f>
        <v>113.81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88">
        <f t="shared" ref="H27:H36" si="12">ROUND(G27*(8.76*$H$59)+F27,2)</f>
        <v>81.2</v>
      </c>
      <c r="I27" s="288">
        <f>ROUND(D27+E27+H27,2)</f>
        <v>197.46</v>
      </c>
      <c r="J27" s="127">
        <f t="shared" si="2"/>
        <v>35.25</v>
      </c>
      <c r="K27" s="288">
        <f t="shared" ref="K27:K32" si="13">ROUND($L$59*J27/1000,2)</f>
        <v>350.24</v>
      </c>
      <c r="L27" s="288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88">
        <f t="shared" si="12"/>
        <v>82.97</v>
      </c>
      <c r="I28" s="288">
        <f t="shared" ref="I28:I36" si="15">ROUND(D28+E28+H28,2)</f>
        <v>201.74</v>
      </c>
      <c r="J28" s="127">
        <f t="shared" si="2"/>
        <v>36.01</v>
      </c>
      <c r="K28" s="288">
        <f t="shared" si="13"/>
        <v>357.8</v>
      </c>
      <c r="L28" s="288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88">
        <f t="shared" si="12"/>
        <v>84.76</v>
      </c>
      <c r="I29" s="288">
        <f t="shared" si="15"/>
        <v>206.09</v>
      </c>
      <c r="J29" s="127">
        <f t="shared" si="2"/>
        <v>36.79</v>
      </c>
      <c r="K29" s="288">
        <f t="shared" si="13"/>
        <v>365.55</v>
      </c>
      <c r="L29" s="288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88">
        <f t="shared" si="12"/>
        <v>86.58</v>
      </c>
      <c r="I30" s="288">
        <f t="shared" si="15"/>
        <v>210.52</v>
      </c>
      <c r="J30" s="127">
        <f t="shared" si="2"/>
        <v>37.58</v>
      </c>
      <c r="K30" s="288">
        <f t="shared" si="13"/>
        <v>373.39</v>
      </c>
      <c r="L30" s="288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88">
        <f t="shared" si="12"/>
        <v>88.46</v>
      </c>
      <c r="I31" s="288">
        <f t="shared" si="15"/>
        <v>215.07</v>
      </c>
      <c r="J31" s="127">
        <f t="shared" si="2"/>
        <v>38.39</v>
      </c>
      <c r="K31" s="288">
        <f t="shared" si="13"/>
        <v>381.44</v>
      </c>
      <c r="L31" s="288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88">
        <f t="shared" si="12"/>
        <v>90.37</v>
      </c>
      <c r="I32" s="288">
        <f t="shared" si="15"/>
        <v>219.7</v>
      </c>
      <c r="J32" s="127">
        <f t="shared" si="2"/>
        <v>39.22</v>
      </c>
      <c r="K32" s="288">
        <f t="shared" si="13"/>
        <v>389.69</v>
      </c>
      <c r="L32" s="288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88">
        <f t="shared" si="12"/>
        <v>92.3</v>
      </c>
      <c r="I33" s="288">
        <f t="shared" si="15"/>
        <v>224.42</v>
      </c>
      <c r="J33" s="127">
        <f t="shared" si="2"/>
        <v>40.07</v>
      </c>
      <c r="K33" s="288">
        <f t="shared" ref="K33:K36" si="17">ROUND($L$59*J33/1000,2)</f>
        <v>398.14</v>
      </c>
      <c r="L33" s="288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88">
        <f t="shared" si="12"/>
        <v>94.3</v>
      </c>
      <c r="I34" s="288">
        <f t="shared" si="15"/>
        <v>229.27</v>
      </c>
      <c r="J34" s="127">
        <f t="shared" si="2"/>
        <v>40.93</v>
      </c>
      <c r="K34" s="288">
        <f t="shared" si="17"/>
        <v>406.68</v>
      </c>
      <c r="L34" s="288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88">
        <f t="shared" si="12"/>
        <v>96.32</v>
      </c>
      <c r="I35" s="288">
        <f t="shared" si="15"/>
        <v>234.19</v>
      </c>
      <c r="J35" s="127">
        <f t="shared" si="2"/>
        <v>41.81</v>
      </c>
      <c r="K35" s="288">
        <f t="shared" si="17"/>
        <v>415.42</v>
      </c>
      <c r="L35" s="288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88">
        <f t="shared" si="12"/>
        <v>98.4</v>
      </c>
      <c r="I36" s="288">
        <f t="shared" si="15"/>
        <v>239.24</v>
      </c>
      <c r="J36" s="127">
        <f t="shared" si="2"/>
        <v>42.71</v>
      </c>
      <c r="K36" s="288">
        <f t="shared" si="17"/>
        <v>424.37</v>
      </c>
      <c r="L36" s="288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206.11</v>
      </c>
      <c r="H52" s="41">
        <f>G52/G54</f>
        <v>1</v>
      </c>
      <c r="I52" s="304">
        <f>C64</f>
        <v>1319.927786794867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206.11</v>
      </c>
      <c r="H54" s="41">
        <f>H52+H53</f>
        <v>1</v>
      </c>
      <c r="I54" s="304">
        <f>ROUND(((G52*I52)+(G53*I53))/G54,0)</f>
        <v>1320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206.11</v>
      </c>
      <c r="H57" s="41">
        <f>C71</f>
        <v>0.33</v>
      </c>
      <c r="I57" s="315">
        <f>H57*G57</f>
        <v>68.016300000000001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206.11</v>
      </c>
      <c r="H59" s="321">
        <f>ROUND(I59/G59,3)</f>
        <v>0.33</v>
      </c>
      <c r="I59" s="315">
        <f>SUM(I57:I58)</f>
        <v>68.016300000000001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206.11</v>
      </c>
      <c r="F63" s="85" t="s">
        <v>118</v>
      </c>
      <c r="I63" s="327"/>
    </row>
    <row r="64" spans="2:22">
      <c r="B64" s="85" t="s">
        <v>206</v>
      </c>
      <c r="C64" s="310">
        <f>272050.31613629/C63</f>
        <v>1319.927786794867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31"/>
    </row>
    <row r="79" spans="2:30">
      <c r="D7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9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127"/>
      <c r="E25" s="127"/>
      <c r="F25" s="127"/>
      <c r="G25" s="127">
        <f t="shared" si="1"/>
        <v>26.92</v>
      </c>
      <c r="H25" s="288"/>
      <c r="I25" s="288"/>
      <c r="J25" s="127">
        <f t="shared" si="2"/>
        <v>33.78</v>
      </c>
      <c r="K25" s="288"/>
      <c r="L25" s="288"/>
      <c r="M25" s="127"/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/>
      <c r="E26" s="127"/>
      <c r="F26" s="127"/>
      <c r="G26" s="127">
        <f t="shared" si="1"/>
        <v>27.5</v>
      </c>
      <c r="H26" s="288"/>
      <c r="I26" s="288"/>
      <c r="J26" s="127">
        <f t="shared" si="2"/>
        <v>34.51</v>
      </c>
      <c r="K26" s="288"/>
      <c r="L26" s="288"/>
      <c r="M26" s="127"/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89"/>
      <c r="D27" s="127"/>
      <c r="E27" s="127"/>
      <c r="F27" s="127"/>
      <c r="G27" s="127">
        <f t="shared" si="1"/>
        <v>28.09</v>
      </c>
      <c r="H27" s="288"/>
      <c r="I27" s="288"/>
      <c r="J27" s="127">
        <f>ROUND(J26*(1+IRP21_Infl_Rate),2)</f>
        <v>35.25</v>
      </c>
      <c r="K27" s="288"/>
      <c r="L27" s="288"/>
      <c r="M27" s="127"/>
      <c r="N27" s="50"/>
      <c r="O27" s="85"/>
      <c r="P27" s="380"/>
      <c r="Q27" s="380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/>
      <c r="E28" s="127"/>
      <c r="F28" s="127"/>
      <c r="G28" s="127">
        <f t="shared" si="1"/>
        <v>28.7</v>
      </c>
      <c r="H28" s="288"/>
      <c r="I28" s="288"/>
      <c r="J28" s="127">
        <f t="shared" si="2"/>
        <v>36.01</v>
      </c>
      <c r="K28" s="288"/>
      <c r="L28" s="288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/>
      <c r="E29" s="127"/>
      <c r="F29" s="127"/>
      <c r="G29" s="127">
        <f t="shared" si="1"/>
        <v>29.32</v>
      </c>
      <c r="H29" s="288"/>
      <c r="I29" s="288"/>
      <c r="J29" s="127">
        <f t="shared" si="2"/>
        <v>36.79</v>
      </c>
      <c r="K29" s="288"/>
      <c r="L29" s="288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/>
      <c r="E30" s="127"/>
      <c r="F30" s="127"/>
      <c r="G30" s="127">
        <f t="shared" si="1"/>
        <v>29.95</v>
      </c>
      <c r="H30" s="288"/>
      <c r="I30" s="288"/>
      <c r="J30" s="127">
        <f t="shared" si="2"/>
        <v>37.58</v>
      </c>
      <c r="K30" s="288"/>
      <c r="L30" s="288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380">
        <f>$C$64</f>
        <v>1385.7797810443026</v>
      </c>
      <c r="D31" s="286">
        <f>ROUND(C31*$C$70,2)</f>
        <v>103.9</v>
      </c>
      <c r="E31" s="194">
        <f>$C$73</f>
        <v>0</v>
      </c>
      <c r="F31" s="127">
        <v>0</v>
      </c>
      <c r="G31" s="127">
        <f t="shared" si="1"/>
        <v>30.6</v>
      </c>
      <c r="H31" s="288">
        <f t="shared" ref="H31:H36" si="3">ROUND(G31*(8.76*$H$59)+F31,2)</f>
        <v>88.46</v>
      </c>
      <c r="I31" s="288">
        <f t="shared" ref="I31:I36" si="4">ROUND(D31+E31+H31,2)</f>
        <v>192.36</v>
      </c>
      <c r="J31" s="127">
        <f t="shared" si="2"/>
        <v>38.39</v>
      </c>
      <c r="K31" s="288">
        <f t="shared" ref="K31:K36" si="5">ROUND($L$59*J31/1000,2)</f>
        <v>381.44</v>
      </c>
      <c r="L31" s="288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88">
        <f t="shared" si="3"/>
        <v>90.37</v>
      </c>
      <c r="I32" s="288">
        <f t="shared" si="4"/>
        <v>196.51</v>
      </c>
      <c r="J32" s="127">
        <f t="shared" si="2"/>
        <v>39.22</v>
      </c>
      <c r="K32" s="288">
        <f t="shared" si="5"/>
        <v>389.69</v>
      </c>
      <c r="L32" s="288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88">
        <f t="shared" si="3"/>
        <v>92.3</v>
      </c>
      <c r="I33" s="288">
        <f t="shared" si="4"/>
        <v>200.73</v>
      </c>
      <c r="J33" s="127">
        <f t="shared" si="2"/>
        <v>40.07</v>
      </c>
      <c r="K33" s="288">
        <f t="shared" si="5"/>
        <v>398.14</v>
      </c>
      <c r="L33" s="288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88">
        <f t="shared" si="3"/>
        <v>94.3</v>
      </c>
      <c r="I34" s="288">
        <f t="shared" si="4"/>
        <v>205.07</v>
      </c>
      <c r="J34" s="127">
        <f t="shared" si="2"/>
        <v>40.93</v>
      </c>
      <c r="K34" s="288">
        <f t="shared" si="5"/>
        <v>406.68</v>
      </c>
      <c r="L34" s="288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88">
        <f t="shared" si="3"/>
        <v>96.32</v>
      </c>
      <c r="I35" s="288">
        <f t="shared" si="4"/>
        <v>209.48</v>
      </c>
      <c r="J35" s="127">
        <f t="shared" si="2"/>
        <v>41.81</v>
      </c>
      <c r="K35" s="288">
        <f t="shared" si="5"/>
        <v>415.42</v>
      </c>
      <c r="L35" s="288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88">
        <f t="shared" si="3"/>
        <v>98.4</v>
      </c>
      <c r="I36" s="288">
        <f t="shared" si="4"/>
        <v>214</v>
      </c>
      <c r="J36" s="127">
        <f t="shared" si="2"/>
        <v>42.71</v>
      </c>
      <c r="K36" s="288">
        <f t="shared" si="5"/>
        <v>424.37</v>
      </c>
      <c r="L36" s="288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206.10992340000001</v>
      </c>
      <c r="H52" s="41">
        <f>G52/G54</f>
        <v>1</v>
      </c>
      <c r="I52" s="304">
        <f>C64</f>
        <v>1385.7797810443026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206.10992340000001</v>
      </c>
      <c r="H54" s="41">
        <f>H52+H53</f>
        <v>1</v>
      </c>
      <c r="I54" s="304">
        <f>ROUND(((G52*I52)+(G53*I53))/G54,0)</f>
        <v>1386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206.10992340000001</v>
      </c>
      <c r="H57" s="41">
        <f>C71</f>
        <v>0.33</v>
      </c>
      <c r="I57" s="315">
        <f>H57*G57</f>
        <v>68.016274722000006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206.10992340000001</v>
      </c>
      <c r="H59" s="321">
        <f>ROUND(I59/G59,3)</f>
        <v>0.33</v>
      </c>
      <c r="I59" s="315">
        <f>SUM(I57:I58)</f>
        <v>68.016274722000006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206.10992340000001</v>
      </c>
      <c r="F63" s="85" t="s">
        <v>118</v>
      </c>
      <c r="I63" s="327"/>
    </row>
    <row r="64" spans="2:22">
      <c r="B64" s="85" t="s">
        <v>205</v>
      </c>
      <c r="C64" s="310">
        <f>285622.96452031/C63</f>
        <v>1385.7797810443026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/>
      <c r="C73" s="151"/>
      <c r="D73" s="116"/>
      <c r="E73" s="116"/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31"/>
    </row>
    <row r="77" spans="2:30">
      <c r="D77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F27" sqref="F27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customWidth="1"/>
    <col min="9" max="10" width="16.6640625" style="32" customWidth="1"/>
    <col min="11" max="11" width="11.1640625" style="3" customWidth="1"/>
    <col min="12" max="12" width="9.33203125" style="3" customWidth="1"/>
    <col min="13" max="13" width="9.33203125" style="94" customWidth="1"/>
    <col min="14" max="14" width="10.33203125" style="94" customWidth="1"/>
    <col min="15" max="15" width="13.83203125" style="94" customWidth="1"/>
    <col min="16" max="16" width="12.83203125" style="3" customWidth="1"/>
    <col min="17" max="17" width="13.33203125" style="3" customWidth="1"/>
    <col min="18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Kennecott Smelter Non Firm - 31.8 MW and 58.2% CF</v>
      </c>
      <c r="C5" s="1"/>
      <c r="D5" s="1"/>
      <c r="H5" s="96">
        <v>44742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0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5.76</v>
      </c>
      <c r="D20" s="27">
        <f t="shared" si="1"/>
        <v>5.77</v>
      </c>
      <c r="E20" s="27">
        <f t="shared" si="2"/>
        <v>5.57</v>
      </c>
      <c r="F20" s="27">
        <f t="shared" si="3"/>
        <v>5.53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4.83</v>
      </c>
      <c r="D21" s="27">
        <f t="shared" si="1"/>
        <v>4.84</v>
      </c>
      <c r="E21" s="27">
        <f t="shared" si="2"/>
        <v>4.3899999999999997</v>
      </c>
      <c r="F21" s="27">
        <f t="shared" si="3"/>
        <v>4.51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4.42</v>
      </c>
      <c r="D22" s="27">
        <f t="shared" si="1"/>
        <v>4.43</v>
      </c>
      <c r="E22" s="27">
        <f t="shared" si="2"/>
        <v>4.0599999999999996</v>
      </c>
      <c r="F22" s="27">
        <f t="shared" si="3"/>
        <v>4.21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4.22</v>
      </c>
      <c r="D23" s="27">
        <f t="shared" si="1"/>
        <v>4.2300000000000004</v>
      </c>
      <c r="E23" s="27">
        <f t="shared" si="2"/>
        <v>4.04</v>
      </c>
      <c r="F23" s="27">
        <f t="shared" si="3"/>
        <v>4.09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4.03</v>
      </c>
      <c r="D24" s="27">
        <f t="shared" si="1"/>
        <v>4.04</v>
      </c>
      <c r="E24" s="27">
        <f t="shared" si="2"/>
        <v>4.07</v>
      </c>
      <c r="F24" s="27">
        <f t="shared" si="3"/>
        <v>3.89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3.91</v>
      </c>
      <c r="D25" s="27">
        <f t="shared" si="1"/>
        <v>3.92</v>
      </c>
      <c r="E25" s="27">
        <f t="shared" si="2"/>
        <v>4.07</v>
      </c>
      <c r="F25" s="27">
        <f t="shared" si="3"/>
        <v>3.78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3.99</v>
      </c>
      <c r="D26" s="27">
        <f t="shared" si="1"/>
        <v>4</v>
      </c>
      <c r="E26" s="27">
        <f t="shared" si="2"/>
        <v>4.18</v>
      </c>
      <c r="F26" s="27">
        <f t="shared" si="3"/>
        <v>3.86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4.28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4.04</v>
      </c>
      <c r="D28" s="27">
        <f t="shared" si="1"/>
        <v>4.05</v>
      </c>
      <c r="E28" s="27">
        <f t="shared" si="2"/>
        <v>4.26</v>
      </c>
      <c r="F28" s="27">
        <f t="shared" si="3"/>
        <v>3.91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4.2</v>
      </c>
      <c r="D29" s="27">
        <f t="shared" si="1"/>
        <v>4.21</v>
      </c>
      <c r="E29" s="27">
        <f t="shared" si="2"/>
        <v>4.43</v>
      </c>
      <c r="F29" s="27">
        <f t="shared" si="3"/>
        <v>4.0599999999999996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4.3099999999999996</v>
      </c>
      <c r="D30" s="27">
        <f t="shared" si="1"/>
        <v>4.32</v>
      </c>
      <c r="E30" s="27">
        <f t="shared" si="2"/>
        <v>4.55</v>
      </c>
      <c r="F30" s="27">
        <f t="shared" si="3"/>
        <v>4.17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4.49</v>
      </c>
      <c r="D31" s="27">
        <f t="shared" si="1"/>
        <v>4.5</v>
      </c>
      <c r="E31" s="27">
        <f t="shared" si="2"/>
        <v>4.7300000000000004</v>
      </c>
      <c r="F31" s="27">
        <f t="shared" si="3"/>
        <v>4.3499999999999996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4.67</v>
      </c>
      <c r="D32" s="27">
        <f t="shared" si="1"/>
        <v>4.68</v>
      </c>
      <c r="E32" s="27">
        <f t="shared" si="2"/>
        <v>4.93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4.76</v>
      </c>
      <c r="D33" s="27">
        <f t="shared" si="1"/>
        <v>4.7699999999999996</v>
      </c>
      <c r="E33" s="27">
        <f t="shared" si="2"/>
        <v>5.03</v>
      </c>
      <c r="F33" s="27">
        <f t="shared" si="3"/>
        <v>4.62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5.21</v>
      </c>
      <c r="F34" s="27">
        <f t="shared" si="3"/>
        <v>4.78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5.49</v>
      </c>
      <c r="F35" s="27">
        <f t="shared" si="3"/>
        <v>5.04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5.5</v>
      </c>
      <c r="D36" s="27">
        <f t="shared" si="1"/>
        <v>5.51</v>
      </c>
      <c r="E36" s="27">
        <f t="shared" si="2"/>
        <v>5.81</v>
      </c>
      <c r="F36" s="27">
        <f t="shared" si="3"/>
        <v>5.35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5.83</v>
      </c>
      <c r="D37" s="27">
        <f t="shared" si="1"/>
        <v>5.84</v>
      </c>
      <c r="E37" s="27">
        <f t="shared" si="2"/>
        <v>6.16</v>
      </c>
      <c r="F37" s="27">
        <f t="shared" si="3"/>
        <v>5.68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6.16</v>
      </c>
      <c r="D38" s="27">
        <f t="shared" si="1"/>
        <v>6.17</v>
      </c>
      <c r="E38" s="27">
        <f t="shared" si="2"/>
        <v>6.49</v>
      </c>
      <c r="F38" s="27">
        <f t="shared" si="3"/>
        <v>6.01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4.9360557031656258</v>
      </c>
      <c r="J89" s="35">
        <v>4.9461946061363244</v>
      </c>
      <c r="K89" s="35">
        <v>5.0826063154683325</v>
      </c>
      <c r="L89" s="35">
        <v>4.2063247344205799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4.601962497211801</v>
      </c>
      <c r="J90" s="35">
        <v>4.6121014001824996</v>
      </c>
      <c r="K90" s="35">
        <v>4.5178186860576712</v>
      </c>
      <c r="L90" s="35">
        <v>4.5377063764500081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4.3045546767379754</v>
      </c>
      <c r="J91" s="35">
        <v>4.3146935797086741</v>
      </c>
      <c r="K91" s="35">
        <v>4.2345643374647342</v>
      </c>
      <c r="L91" s="35">
        <v>4.2958495245310875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6.2951592933184619</v>
      </c>
      <c r="J92" s="35">
        <v>6.3052981962891597</v>
      </c>
      <c r="K92" s="35">
        <v>6.437747441188141</v>
      </c>
      <c r="L92" s="35">
        <v>6.2005852186423107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7.6662968185911691</v>
      </c>
      <c r="J93" s="35">
        <v>7.6764357215618677</v>
      </c>
      <c r="K93" s="35">
        <v>7.8100543040111301</v>
      </c>
      <c r="L93" s="35">
        <v>7.5985533998374599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6.8761184335394923</v>
      </c>
      <c r="J94" s="35">
        <v>6.88625733651019</v>
      </c>
      <c r="K94" s="35">
        <v>7.2110992536482481</v>
      </c>
      <c r="L94" s="35">
        <v>7.2191873799725643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6.3002287448038121</v>
      </c>
      <c r="J95" s="35">
        <v>6.3103676477745108</v>
      </c>
      <c r="K95" s="35">
        <v>6.0433475100484593</v>
      </c>
      <c r="L95" s="35">
        <v>5.9051588075880757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5.2396994940687414</v>
      </c>
      <c r="J96" s="35">
        <v>5.24983839703944</v>
      </c>
      <c r="K96" s="35">
        <v>4.7886896984710638</v>
      </c>
      <c r="L96" s="35">
        <v>5.0043257251831772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5.1362826837676172</v>
      </c>
      <c r="J97" s="35">
        <v>5.146421586738315</v>
      </c>
      <c r="K97" s="35">
        <v>4.7820617083810149</v>
      </c>
      <c r="L97" s="35">
        <v>4.9320583358426173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5.257442574267464</v>
      </c>
      <c r="J98" s="35">
        <v>5.2675814772381626</v>
      </c>
      <c r="K98" s="35">
        <v>4.8321858834370159</v>
      </c>
      <c r="L98" s="35">
        <v>5.011853578239486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5.7831446932981851</v>
      </c>
      <c r="J99" s="35">
        <v>5.7932835962688838</v>
      </c>
      <c r="K99" s="35">
        <v>5.2260334820691936</v>
      </c>
      <c r="L99" s="35">
        <v>5.3390642577536882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6.7037570830376154</v>
      </c>
      <c r="J100" s="35">
        <v>6.7138959860083141</v>
      </c>
      <c r="K100" s="35">
        <v>5.8258665852187024</v>
      </c>
      <c r="L100" s="35">
        <v>6.1500649603533066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7.1240146111730711</v>
      </c>
      <c r="J101" s="35">
        <v>7.1341535141437697</v>
      </c>
      <c r="K101" s="35">
        <v>5.6208649229803633</v>
      </c>
      <c r="L101" s="35">
        <v>6.3176851550737725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6.882708720470446</v>
      </c>
      <c r="J102" s="35">
        <v>6.8928476234411438</v>
      </c>
      <c r="K102" s="35">
        <v>5.4746866727912185</v>
      </c>
      <c r="L102" s="35">
        <v>6.1089126969788214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4.9791296877217883</v>
      </c>
      <c r="J103" s="35">
        <v>4.989268590692487</v>
      </c>
      <c r="K103" s="35">
        <v>4.7211152682561028</v>
      </c>
      <c r="L103" s="35">
        <v>4.8643076583358429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3.9530727070870935</v>
      </c>
      <c r="J104" s="35">
        <v>3.9632116100577921</v>
      </c>
      <c r="K104" s="35">
        <v>3.7950089966893792</v>
      </c>
      <c r="L104" s="35">
        <v>3.8610957743651508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3.7862877532191019</v>
      </c>
      <c r="J105" s="35">
        <v>3.7964266561898006</v>
      </c>
      <c r="K105" s="35">
        <v>3.6521447415452584</v>
      </c>
      <c r="L105" s="35">
        <v>3.6859477265883771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3.876523989658319</v>
      </c>
      <c r="J106" s="35">
        <v>3.8866628926290181</v>
      </c>
      <c r="K106" s="35">
        <v>3.8482918232726702</v>
      </c>
      <c r="L106" s="35">
        <v>3.8053896617484693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4.2050244459089532</v>
      </c>
      <c r="J107" s="35">
        <v>4.2151633488796518</v>
      </c>
      <c r="K107" s="35">
        <v>3.9961788521569064</v>
      </c>
      <c r="L107" s="35">
        <v>3.9800358526548227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4.2607884122477948</v>
      </c>
      <c r="J108" s="35">
        <v>4.2709273152184934</v>
      </c>
      <c r="K108" s="35">
        <v>3.9755181642980792</v>
      </c>
      <c r="L108" s="35">
        <v>3.9950915587674394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4.1705521758085773</v>
      </c>
      <c r="J109" s="35">
        <v>4.1806910787792759</v>
      </c>
      <c r="K109" s="35">
        <v>3.8960858455626388</v>
      </c>
      <c r="L109" s="35">
        <v>3.9208167419451971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4.0716978718442665</v>
      </c>
      <c r="J110" s="35">
        <v>4.0818367748149642</v>
      </c>
      <c r="K110" s="35">
        <v>4.0097455193724771</v>
      </c>
      <c r="L110" s="35">
        <v>3.9007424671283748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4.9456713079184826</v>
      </c>
      <c r="J111" s="35">
        <v>4.9558102108891813</v>
      </c>
      <c r="K111" s="35">
        <v>4.4807988463192192</v>
      </c>
      <c r="L111" s="35">
        <v>4.4221717554953326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5.748165478049275</v>
      </c>
      <c r="J112" s="35">
        <v>5.7583043810199737</v>
      </c>
      <c r="K112" s="35">
        <v>5.1665369147764819</v>
      </c>
      <c r="L112" s="35">
        <v>5.2191204657231758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5.8653711963905515</v>
      </c>
      <c r="J113" s="35">
        <v>5.8755100993612492</v>
      </c>
      <c r="K113" s="35">
        <v>4.7923143805515602</v>
      </c>
      <c r="L113" s="35">
        <v>5.5789518418147139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5.7285973953158278</v>
      </c>
      <c r="J114" s="35">
        <v>5.7387362982865255</v>
      </c>
      <c r="K114" s="35">
        <v>4.6882342236687471</v>
      </c>
      <c r="L114" s="35">
        <v>5.4213687845026595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4.3795149660346748</v>
      </c>
      <c r="J115" s="35">
        <v>4.3896538690053735</v>
      </c>
      <c r="K115" s="35">
        <v>4.3074872616989337</v>
      </c>
      <c r="L115" s="35">
        <v>4.4367256047375285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4.0838645554091046</v>
      </c>
      <c r="J116" s="35">
        <v>4.0940034583798033</v>
      </c>
      <c r="K116" s="35">
        <v>3.4944710710436833</v>
      </c>
      <c r="L116" s="35">
        <v>3.6252230452674894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3.9840977501774311</v>
      </c>
      <c r="J117" s="35">
        <v>3.9942366531481297</v>
      </c>
      <c r="K117" s="35">
        <v>3.4421720867393839</v>
      </c>
      <c r="L117" s="35">
        <v>3.488216119642678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3.7239334999493057</v>
      </c>
      <c r="J118" s="35">
        <v>3.7340724029200043</v>
      </c>
      <c r="K118" s="35">
        <v>3.654423113138713</v>
      </c>
      <c r="L118" s="35">
        <v>3.6126766235069758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3.8523934005880567</v>
      </c>
      <c r="J119" s="35">
        <v>3.8625323035587553</v>
      </c>
      <c r="K119" s="35">
        <v>3.8013262997439581</v>
      </c>
      <c r="L119" s="35">
        <v>3.7913376693766936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3.9790282986920813</v>
      </c>
      <c r="J120" s="35">
        <v>3.9891672016627804</v>
      </c>
      <c r="K120" s="35">
        <v>3.7558106490474437</v>
      </c>
      <c r="L120" s="35">
        <v>3.8043859480076283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3.7397501885835953</v>
      </c>
      <c r="J121" s="35">
        <v>3.7498890915542944</v>
      </c>
      <c r="K121" s="35">
        <v>3.7132465251879054</v>
      </c>
      <c r="L121" s="35">
        <v>3.7180665662952928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3.9878491442765895</v>
      </c>
      <c r="J122" s="35">
        <v>3.9979880472472882</v>
      </c>
      <c r="K122" s="35">
        <v>3.842181644908405</v>
      </c>
      <c r="L122" s="35">
        <v>3.714051711331928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4.3792107989455538</v>
      </c>
      <c r="J123" s="35">
        <v>4.3893497019162524</v>
      </c>
      <c r="K123" s="35">
        <v>4.3372614359315786</v>
      </c>
      <c r="L123" s="35">
        <v>4.2244401485496335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5.3900594251242016</v>
      </c>
      <c r="J124" s="35">
        <v>5.4001983280948993</v>
      </c>
      <c r="K124" s="35">
        <v>4.9167445382577295</v>
      </c>
      <c r="L124" s="35">
        <v>5.1297899427883165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5.4234164158978002</v>
      </c>
      <c r="J125" s="35">
        <v>5.4335553188684989</v>
      </c>
      <c r="K125" s="35">
        <v>4.5853450337552397</v>
      </c>
      <c r="L125" s="35">
        <v>5.4956436013249013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5.1694368964818</v>
      </c>
      <c r="J126" s="35">
        <v>5.1795757994524987</v>
      </c>
      <c r="K126" s="35">
        <v>4.5120746745566418</v>
      </c>
      <c r="L126" s="35">
        <v>5.3521125363846229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4.2816745523674342</v>
      </c>
      <c r="J127" s="35">
        <v>4.291813455338132</v>
      </c>
      <c r="K127" s="35">
        <v>4.2841857340386023</v>
      </c>
      <c r="L127" s="35">
        <v>4.3534173642477159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3.9707143982561086</v>
      </c>
      <c r="J128" s="35">
        <v>3.9808533012268073</v>
      </c>
      <c r="K128" s="35">
        <v>3.4649558026739307</v>
      </c>
      <c r="L128" s="35">
        <v>3.5268590986650605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3.8638503609449457</v>
      </c>
      <c r="J129" s="35">
        <v>3.8739892639156448</v>
      </c>
      <c r="K129" s="35">
        <v>3.4065466400053666</v>
      </c>
      <c r="L129" s="35">
        <v>3.382826176854361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3.5925333174490524</v>
      </c>
      <c r="J130" s="35">
        <v>3.602672220419751</v>
      </c>
      <c r="K130" s="35">
        <v>3.6049203121536539</v>
      </c>
      <c r="L130" s="35">
        <v>3.4962458295694065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3.707914033255602</v>
      </c>
      <c r="J131" s="35">
        <v>3.7180529362263006</v>
      </c>
      <c r="K131" s="35">
        <v>3.7106056853864016</v>
      </c>
      <c r="L131" s="35">
        <v>3.6618585968081905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3.8742934310047654</v>
      </c>
      <c r="J132" s="35">
        <v>3.8844323339754641</v>
      </c>
      <c r="K132" s="35">
        <v>3.8270097613429006</v>
      </c>
      <c r="L132" s="35">
        <v>3.700802689952825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3.6594500770556624</v>
      </c>
      <c r="J133" s="35">
        <v>3.6695889800263615</v>
      </c>
      <c r="K133" s="35">
        <v>3.8374177770311824</v>
      </c>
      <c r="L133" s="35">
        <v>3.6385724380206765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3.9710185653452297</v>
      </c>
      <c r="J134" s="35">
        <v>3.9811574683159288</v>
      </c>
      <c r="K134" s="35">
        <v>3.9644369933662769</v>
      </c>
      <c r="L134" s="35">
        <v>3.6973900632339656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4.1899174804826114</v>
      </c>
      <c r="J135" s="35">
        <v>4.20005638345331</v>
      </c>
      <c r="K135" s="35">
        <v>4.4498854862898467</v>
      </c>
      <c r="L135" s="35">
        <v>4.036946421760514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4.9334032353239383</v>
      </c>
      <c r="J136" s="35">
        <v>4.943542138294637</v>
      </c>
      <c r="K136" s="35">
        <v>4.8174282492521403</v>
      </c>
      <c r="L136" s="35">
        <v>4.6777172739134798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5.2434508881679003</v>
      </c>
      <c r="J137" s="35">
        <v>5.2535897911385989</v>
      </c>
      <c r="K137" s="35">
        <v>4.9113075151369854</v>
      </c>
      <c r="L137" s="35">
        <v>5.3174844123256051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4.916674045422285</v>
      </c>
      <c r="J138" s="35">
        <v>4.9268129483929837</v>
      </c>
      <c r="K138" s="35">
        <v>4.6543693368023984</v>
      </c>
      <c r="L138" s="35">
        <v>5.1018867007929334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3.7980488806651125</v>
      </c>
      <c r="J139" s="35">
        <v>3.8081877836358111</v>
      </c>
      <c r="K139" s="35">
        <v>3.9954021345682289</v>
      </c>
      <c r="L139" s="35">
        <v>3.8746459098665058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3.8118377887052621</v>
      </c>
      <c r="J140" s="35">
        <v>3.8219766916759612</v>
      </c>
      <c r="K140" s="35">
        <v>3.4283982948334994</v>
      </c>
      <c r="L140" s="35">
        <v>3.3695771554752585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3.7247446121869614</v>
      </c>
      <c r="J141" s="35">
        <v>3.73488351515766</v>
      </c>
      <c r="K141" s="35">
        <v>3.397950965357333</v>
      </c>
      <c r="L141" s="35">
        <v>3.2451166516109606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3.4422747754232992</v>
      </c>
      <c r="J142" s="35">
        <v>3.4524136783939983</v>
      </c>
      <c r="K142" s="35">
        <v>3.5178243798765934</v>
      </c>
      <c r="L142" s="35">
        <v>3.3474954531767538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3.600745828855318</v>
      </c>
      <c r="J143" s="35">
        <v>3.6108847318260167</v>
      </c>
      <c r="K143" s="35">
        <v>3.6897378728372598</v>
      </c>
      <c r="L143" s="35">
        <v>3.5557660544012846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3.7696599523471561</v>
      </c>
      <c r="J144" s="35">
        <v>3.7797988553178552</v>
      </c>
      <c r="K144" s="35">
        <v>3.8982088736383576</v>
      </c>
      <c r="L144" s="35">
        <v>3.5971190605239385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3.5792513545574369</v>
      </c>
      <c r="J145" s="35">
        <v>3.5893902575281356</v>
      </c>
      <c r="K145" s="35">
        <v>3.9615890288744589</v>
      </c>
      <c r="L145" s="35">
        <v>3.5591786811201445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3.9541879864138703</v>
      </c>
      <c r="J146" s="35">
        <v>3.9643268893845689</v>
      </c>
      <c r="K146" s="35">
        <v>4.0866923418241488</v>
      </c>
      <c r="L146" s="35">
        <v>3.6807284151360031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4.0005227729899628</v>
      </c>
      <c r="J147" s="35">
        <v>4.0106616759606615</v>
      </c>
      <c r="K147" s="35">
        <v>4.5625095366481148</v>
      </c>
      <c r="L147" s="35">
        <v>3.8495530663454782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4.4766456564939681</v>
      </c>
      <c r="J148" s="35">
        <v>4.4867845594646667</v>
      </c>
      <c r="K148" s="35">
        <v>4.7181637414191284</v>
      </c>
      <c r="L148" s="35">
        <v>4.225544233664559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5.0634853604380003</v>
      </c>
      <c r="J149" s="35">
        <v>5.073624263408699</v>
      </c>
      <c r="K149" s="35">
        <v>5.2372699965187319</v>
      </c>
      <c r="L149" s="35">
        <v>5.1393252233263071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4.664012583392477</v>
      </c>
      <c r="J150" s="35">
        <v>4.6741514863631748</v>
      </c>
      <c r="K150" s="35">
        <v>4.7966639990481559</v>
      </c>
      <c r="L150" s="35">
        <v>4.8516608652012447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3.3144232089627903</v>
      </c>
      <c r="J151" s="35">
        <v>3.3245621119334889</v>
      </c>
      <c r="K151" s="35">
        <v>3.7066185350978555</v>
      </c>
      <c r="L151" s="35">
        <v>3.3959748268593799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3.6529611791544156</v>
      </c>
      <c r="J152" s="35">
        <v>3.6631000821251147</v>
      </c>
      <c r="K152" s="35">
        <v>3.3918407869930682</v>
      </c>
      <c r="L152" s="35">
        <v>3.2121948409113723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3.5856388634289771</v>
      </c>
      <c r="J153" s="35">
        <v>3.5957777663996757</v>
      </c>
      <c r="K153" s="35">
        <v>3.3893035095367212</v>
      </c>
      <c r="L153" s="35">
        <v>3.1074071263675598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3.2921176224272535</v>
      </c>
      <c r="J154" s="35">
        <v>3.3022565253979521</v>
      </c>
      <c r="K154" s="35">
        <v>3.4307802287721114</v>
      </c>
      <c r="L154" s="35">
        <v>3.1988454481581852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3.4935776244550341</v>
      </c>
      <c r="J155" s="35">
        <v>3.5037165274257331</v>
      </c>
      <c r="K155" s="35">
        <v>3.6688700602881186</v>
      </c>
      <c r="L155" s="35">
        <v>3.4497738833684632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3.7773655186048867</v>
      </c>
      <c r="J156" s="35">
        <v>3.7875044215755858</v>
      </c>
      <c r="K156" s="35">
        <v>3.9293811395306228</v>
      </c>
      <c r="L156" s="35">
        <v>3.6047472849543309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3.5571485460813141</v>
      </c>
      <c r="J157" s="35">
        <v>3.5672874490520132</v>
      </c>
      <c r="K157" s="35">
        <v>3.9518023872571195</v>
      </c>
      <c r="L157" s="35">
        <v>3.537297721569808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3.9652393906519317</v>
      </c>
      <c r="J158" s="35">
        <v>3.9753782936226303</v>
      </c>
      <c r="K158" s="35">
        <v>4.0979288562736862</v>
      </c>
      <c r="L158" s="35">
        <v>3.6916688949111713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4.0241464169116901</v>
      </c>
      <c r="J159" s="35">
        <v>4.0342853198823887</v>
      </c>
      <c r="K159" s="35">
        <v>4.5731764581992893</v>
      </c>
      <c r="L159" s="35">
        <v>3.8729395965070759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4.4944901257223968</v>
      </c>
      <c r="J160" s="35">
        <v>4.5046290286930954</v>
      </c>
      <c r="K160" s="35">
        <v>4.7057362600002843</v>
      </c>
      <c r="L160" s="35">
        <v>4.2431092241292783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4.9449615847105353</v>
      </c>
      <c r="J161" s="35">
        <v>4.955100487681233</v>
      </c>
      <c r="K161" s="35">
        <v>5.1618766092444153</v>
      </c>
      <c r="L161" s="35">
        <v>5.0219910870219806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4.4375094910270709</v>
      </c>
      <c r="J162" s="35">
        <v>4.4476483939977696</v>
      </c>
      <c r="K162" s="35">
        <v>4.5841022856133558</v>
      </c>
      <c r="L162" s="35">
        <v>4.6275315868714246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3.4394358825915035</v>
      </c>
      <c r="J163" s="35">
        <v>3.4495747855622025</v>
      </c>
      <c r="K163" s="35">
        <v>3.8351911866103059</v>
      </c>
      <c r="L163" s="35">
        <v>3.5197327311050888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3.7888224789617766</v>
      </c>
      <c r="J164" s="35">
        <v>3.7989613819324752</v>
      </c>
      <c r="K164" s="35">
        <v>3.5317017341276347</v>
      </c>
      <c r="L164" s="35">
        <v>3.3467928535581648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3.7160251556321606</v>
      </c>
      <c r="J165" s="35">
        <v>3.7261640586028597</v>
      </c>
      <c r="K165" s="35">
        <v>3.5254362122456353</v>
      </c>
      <c r="L165" s="35">
        <v>3.2364847134397272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3.4195636327689343</v>
      </c>
      <c r="J166" s="35">
        <v>3.4297025357396329</v>
      </c>
      <c r="K166" s="35">
        <v>3.5919750190090256</v>
      </c>
      <c r="L166" s="35">
        <v>3.325012265381913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3.6149402930142962</v>
      </c>
      <c r="J167" s="35">
        <v>3.6250791959849948</v>
      </c>
      <c r="K167" s="35">
        <v>3.8250938579574951</v>
      </c>
      <c r="L167" s="35">
        <v>3.5698180467730602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3.9210337736996856</v>
      </c>
      <c r="J168" s="35">
        <v>3.9311726766703847</v>
      </c>
      <c r="K168" s="35">
        <v>4.0930096448787276</v>
      </c>
      <c r="L168" s="35">
        <v>3.7469735220315168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3.7190668265233704</v>
      </c>
      <c r="J169" s="35">
        <v>3.729205729494069</v>
      </c>
      <c r="K169" s="35">
        <v>4.1317937431400349</v>
      </c>
      <c r="L169" s="35">
        <v>3.6975908059821339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4.0872103933894355</v>
      </c>
      <c r="J170" s="35">
        <v>4.0973492963601341</v>
      </c>
      <c r="K170" s="35">
        <v>4.2272264442022358</v>
      </c>
      <c r="L170" s="35">
        <v>3.8124156579343569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4.1575743800060838</v>
      </c>
      <c r="J171" s="35">
        <v>4.1677132829767825</v>
      </c>
      <c r="K171" s="35">
        <v>4.7103447843597728</v>
      </c>
      <c r="L171" s="35">
        <v>4.0049279534276829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4.652555623035588</v>
      </c>
      <c r="J172" s="35">
        <v>4.6626945260062866</v>
      </c>
      <c r="K172" s="35">
        <v>4.9335734193457466</v>
      </c>
      <c r="L172" s="35">
        <v>4.3995881963264072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4.9755810716820443</v>
      </c>
      <c r="J173" s="35">
        <v>4.985719974652743</v>
      </c>
      <c r="K173" s="35">
        <v>5.1941880609334081</v>
      </c>
      <c r="L173" s="35">
        <v>5.0523032419953822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4.8343461533002126</v>
      </c>
      <c r="J174" s="35">
        <v>4.8444850562709112</v>
      </c>
      <c r="K174" s="35">
        <v>4.9926039560852535</v>
      </c>
      <c r="L174" s="35">
        <v>5.0203851450366352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3.529773508060428</v>
      </c>
      <c r="J175" s="35">
        <v>3.5399124110311266</v>
      </c>
      <c r="K175" s="35">
        <v>3.9483330486943595</v>
      </c>
      <c r="L175" s="35">
        <v>3.6090632540399477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3.8518864554395216</v>
      </c>
      <c r="J176" s="35">
        <v>3.8620253584102202</v>
      </c>
      <c r="K176" s="35">
        <v>3.6143962667355218</v>
      </c>
      <c r="L176" s="35">
        <v>3.4092238482384825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3.7478613109601544</v>
      </c>
      <c r="J177" s="35">
        <v>3.758000213930853</v>
      </c>
      <c r="K177" s="35">
        <v>3.5949265458460005</v>
      </c>
      <c r="L177" s="35">
        <v>3.2680013249021376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3.4522109003345838</v>
      </c>
      <c r="J178" s="35">
        <v>3.4623498033052824</v>
      </c>
      <c r="K178" s="35">
        <v>3.661724258472284</v>
      </c>
      <c r="L178" s="35">
        <v>3.3573318478369969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3.6975723522254889</v>
      </c>
      <c r="J179" s="35">
        <v>3.7077112551961879</v>
      </c>
      <c r="K179" s="35">
        <v>3.9068045482863907</v>
      </c>
      <c r="L179" s="35">
        <v>3.6516207166516108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3.9671657822163642</v>
      </c>
      <c r="J180" s="35">
        <v>3.9773046851870633</v>
      </c>
      <c r="K180" s="35">
        <v>4.1995752980453096</v>
      </c>
      <c r="L180" s="35">
        <v>3.7926424972397874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3.7514099269998988</v>
      </c>
      <c r="J181" s="35">
        <v>3.7615488299705975</v>
      </c>
      <c r="K181" s="35">
        <v>4.1960541783099714</v>
      </c>
      <c r="L181" s="35">
        <v>3.7296092743149654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4.1536202078475117</v>
      </c>
      <c r="J182" s="35">
        <v>4.1637591108182095</v>
      </c>
      <c r="K182" s="35">
        <v>4.3126135977842059</v>
      </c>
      <c r="L182" s="35">
        <v>3.8781589079594498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4.2094855632160604</v>
      </c>
      <c r="J183" s="35">
        <v>4.2196244661867581</v>
      </c>
      <c r="K183" s="35">
        <v>4.7892592913694276</v>
      </c>
      <c r="L183" s="35">
        <v>4.056418468332831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4.6423153310351815</v>
      </c>
      <c r="J184" s="35">
        <v>4.6524542340058801</v>
      </c>
      <c r="K184" s="35">
        <v>4.9715808000183763</v>
      </c>
      <c r="L184" s="35">
        <v>4.3894506875439125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4.9443532505322922</v>
      </c>
      <c r="J185" s="35">
        <v>4.9544921535029909</v>
      </c>
      <c r="K185" s="35">
        <v>5.213502438305194</v>
      </c>
      <c r="L185" s="35">
        <v>5.0213888587774766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4.7129834847409509</v>
      </c>
      <c r="J186" s="35">
        <v>4.7231223877116495</v>
      </c>
      <c r="K186" s="35">
        <v>4.8674488619629841</v>
      </c>
      <c r="L186" s="35">
        <v>4.9002406102579545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3.4918540109500156</v>
      </c>
      <c r="J187" s="35">
        <v>3.5019929139207142</v>
      </c>
      <c r="K187" s="35">
        <v>3.9372000965899789</v>
      </c>
      <c r="L187" s="35">
        <v>3.5715243601324898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3.8444850562709116</v>
      </c>
      <c r="J188" s="35">
        <v>3.8546239592416103</v>
      </c>
      <c r="K188" s="35">
        <v>3.6034704393214558</v>
      </c>
      <c r="L188" s="35">
        <v>3.4018967379303424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3.7288001733752409</v>
      </c>
      <c r="J189" s="35">
        <v>3.7389390763459396</v>
      </c>
      <c r="K189" s="35">
        <v>3.5977227291652403</v>
      </c>
      <c r="L189" s="35">
        <v>3.2490311352002408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3.4712720379194972</v>
      </c>
      <c r="J190" s="35">
        <v>3.4814109408901959</v>
      </c>
      <c r="K190" s="35">
        <v>3.647432654840614</v>
      </c>
      <c r="L190" s="35">
        <v>3.3761012947907258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3.6897653969380513</v>
      </c>
      <c r="J191" s="35">
        <v>3.6999042999087504</v>
      </c>
      <c r="K191" s="35">
        <v>3.9166429710763087</v>
      </c>
      <c r="L191" s="35">
        <v>3.6439924922212183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3.9311726766703847</v>
      </c>
      <c r="J192" s="35">
        <v>3.9413115796410834</v>
      </c>
      <c r="K192" s="35">
        <v>4.1837302592362846</v>
      </c>
      <c r="L192" s="35">
        <v>3.7571110308140119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3.7138959860083141</v>
      </c>
      <c r="J193" s="35">
        <v>3.7240348889790127</v>
      </c>
      <c r="K193" s="35">
        <v>4.1736329305834738</v>
      </c>
      <c r="L193" s="35">
        <v>3.6925722372779282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4.1117465385785259</v>
      </c>
      <c r="J194" s="35">
        <v>4.1218854415492245</v>
      </c>
      <c r="K194" s="35">
        <v>4.2750722476647827</v>
      </c>
      <c r="L194" s="35">
        <v>3.8367055304627118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4.1846452509378489</v>
      </c>
      <c r="J195" s="35">
        <v>4.1947841539085475</v>
      </c>
      <c r="K195" s="35">
        <v>4.7795762120972451</v>
      </c>
      <c r="L195" s="35">
        <v>4.0318274816822237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4.6505278424414485</v>
      </c>
      <c r="J196" s="35">
        <v>4.6606667454121471</v>
      </c>
      <c r="K196" s="35">
        <v>4.9256508999412336</v>
      </c>
      <c r="L196" s="35">
        <v>4.3976811402188094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5.1114423714894048</v>
      </c>
      <c r="J197" s="35">
        <v>5.1215812744601026</v>
      </c>
      <c r="K197" s="35">
        <v>5.3940116059138941</v>
      </c>
      <c r="L197" s="35">
        <v>5.1868008832680914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4.978318575484133</v>
      </c>
      <c r="J198" s="35">
        <v>4.9884574784548317</v>
      </c>
      <c r="K198" s="35">
        <v>5.1439603235322489</v>
      </c>
      <c r="L198" s="35">
        <v>5.162912496236074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3.6208208567373008</v>
      </c>
      <c r="J199" s="35">
        <v>3.6309597597079999</v>
      </c>
      <c r="K199" s="35">
        <v>4.0746273286133547</v>
      </c>
      <c r="L199" s="35">
        <v>3.6991967479674797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3.9759866278008724</v>
      </c>
      <c r="J200" s="35">
        <v>3.9861255307715711</v>
      </c>
      <c r="K200" s="35">
        <v>3.7427100123850798</v>
      </c>
      <c r="L200" s="35">
        <v>3.5319780387433504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3.899539299401805</v>
      </c>
      <c r="J201" s="35">
        <v>3.9096782023725036</v>
      </c>
      <c r="K201" s="35">
        <v>3.732768027250005</v>
      </c>
      <c r="L201" s="35">
        <v>3.4180565291578842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3.5994277714691267</v>
      </c>
      <c r="J202" s="35">
        <v>3.6095666744398258</v>
      </c>
      <c r="K202" s="35">
        <v>3.7835653575495276</v>
      </c>
      <c r="L202" s="35">
        <v>3.5029707116330422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3.7990627709621823</v>
      </c>
      <c r="J203" s="35">
        <v>3.8092016739328809</v>
      </c>
      <c r="K203" s="35">
        <v>4.0460441213500156</v>
      </c>
      <c r="L203" s="35">
        <v>3.7521928334838903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4.0807214954881887</v>
      </c>
      <c r="J204" s="35">
        <v>4.0908603984588865</v>
      </c>
      <c r="K204" s="35">
        <v>4.3372096547590004</v>
      </c>
      <c r="L204" s="35">
        <v>3.9050584362139915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3.868919812430295</v>
      </c>
      <c r="J205" s="35">
        <v>3.8790587154009937</v>
      </c>
      <c r="K205" s="35">
        <v>4.3494817926601073</v>
      </c>
      <c r="L205" s="35">
        <v>3.8459396968784501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4.2744759312582374</v>
      </c>
      <c r="J206" s="35">
        <v>4.2846148342289361</v>
      </c>
      <c r="K206" s="35">
        <v>4.4526298884365083</v>
      </c>
      <c r="L206" s="35">
        <v>3.9977012144936266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4.3245621119334894</v>
      </c>
      <c r="J207" s="35">
        <v>4.3347010149041871</v>
      </c>
      <c r="K207" s="35">
        <v>4.9456902137291188</v>
      </c>
      <c r="L207" s="35">
        <v>4.1703399779182977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4.8195433549629936</v>
      </c>
      <c r="J208" s="35">
        <v>4.8296822579336913</v>
      </c>
      <c r="K208" s="35">
        <v>5.0991178280792564</v>
      </c>
      <c r="L208" s="35">
        <v>4.5648998494429387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5.1575743800060838</v>
      </c>
      <c r="J209" s="35">
        <v>5.1677132829767825</v>
      </c>
      <c r="K209" s="35">
        <v>5.4516440509937789</v>
      </c>
      <c r="L209" s="35">
        <v>5.232469858476362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4.713490429889486</v>
      </c>
      <c r="J210" s="35">
        <v>4.7236293328601837</v>
      </c>
      <c r="K210" s="35">
        <v>4.8965498809521097</v>
      </c>
      <c r="L210" s="35">
        <v>4.9007424671283744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3.7326529565041064</v>
      </c>
      <c r="J211" s="35">
        <v>3.7427918594748051</v>
      </c>
      <c r="K211" s="35">
        <v>4.1848694450330122</v>
      </c>
      <c r="L211" s="35">
        <v>3.8099063735822543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4.1221896086383456</v>
      </c>
      <c r="J212" s="35">
        <v>4.1323285116090434</v>
      </c>
      <c r="K212" s="35">
        <v>3.8912184153402585</v>
      </c>
      <c r="L212" s="35">
        <v>3.676813931546723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3.9963658227719763</v>
      </c>
      <c r="J213" s="35">
        <v>4.0065047257426754</v>
      </c>
      <c r="K213" s="35">
        <v>3.8834512394534806</v>
      </c>
      <c r="L213" s="35">
        <v>3.5140115627822945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3.7425890814153906</v>
      </c>
      <c r="J214" s="35">
        <v>3.7527279843860897</v>
      </c>
      <c r="K214" s="35">
        <v>3.9423782138478303</v>
      </c>
      <c r="L214" s="35">
        <v>3.6447954632138915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4.0004213839602558</v>
      </c>
      <c r="J215" s="35">
        <v>4.0105602869309545</v>
      </c>
      <c r="K215" s="35">
        <v>4.2805610519581059</v>
      </c>
      <c r="L215" s="35">
        <v>3.9514300110408511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4.2472022822670592</v>
      </c>
      <c r="J216" s="35">
        <v>4.2573411852377578</v>
      </c>
      <c r="K216" s="35">
        <v>4.5071036819891042</v>
      </c>
      <c r="L216" s="35">
        <v>4.0698682324601023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4.0311422599614719</v>
      </c>
      <c r="J217" s="35">
        <v>4.0412811629321714</v>
      </c>
      <c r="K217" s="35">
        <v>4.5249164053561133</v>
      </c>
      <c r="L217" s="35">
        <v>4.0065338954130283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4.4617414691270403</v>
      </c>
      <c r="J218" s="35">
        <v>4.4718803720977389</v>
      </c>
      <c r="K218" s="35">
        <v>4.6547318050104476</v>
      </c>
      <c r="L218" s="35">
        <v>4.18308714242698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4.5020943029504208</v>
      </c>
      <c r="J219" s="35">
        <v>4.5122332059211185</v>
      </c>
      <c r="K219" s="35">
        <v>5.1290991270022159</v>
      </c>
      <c r="L219" s="35">
        <v>4.3460902539395763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4.9528699290276794</v>
      </c>
      <c r="J220" s="35">
        <v>4.9630088319983781</v>
      </c>
      <c r="K220" s="35">
        <v>5.2476262310344346</v>
      </c>
      <c r="L220" s="35">
        <v>4.6969885777376295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5.3998941610057791</v>
      </c>
      <c r="J221" s="35">
        <v>5.4100330639764778</v>
      </c>
      <c r="K221" s="35">
        <v>5.6912355365145642</v>
      </c>
      <c r="L221" s="35">
        <v>5.4723574425373886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5.180995245868397</v>
      </c>
      <c r="J222" s="35">
        <v>5.1911341488390956</v>
      </c>
      <c r="K222" s="35">
        <v>5.3561077875864216</v>
      </c>
      <c r="L222" s="35">
        <v>5.3635548730302114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3.9147476538578529</v>
      </c>
      <c r="J223" s="35">
        <v>3.9248865568285516</v>
      </c>
      <c r="K223" s="35">
        <v>4.383398460699035</v>
      </c>
      <c r="L223" s="35">
        <v>3.9901733614373178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4.2742731531988243</v>
      </c>
      <c r="J224" s="35">
        <v>4.2844120561695229</v>
      </c>
      <c r="K224" s="35">
        <v>4.0506526457095031</v>
      </c>
      <c r="L224" s="35">
        <v>3.8273709926728894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4.1934660965223571</v>
      </c>
      <c r="J225" s="35">
        <v>4.2036049994930549</v>
      </c>
      <c r="K225" s="35">
        <v>4.0403999735389569</v>
      </c>
      <c r="L225" s="35">
        <v>3.7090331426277223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3.8912253989658319</v>
      </c>
      <c r="J226" s="35">
        <v>3.9013643019365309</v>
      </c>
      <c r="K226" s="35">
        <v>4.09849844917205</v>
      </c>
      <c r="L226" s="35">
        <v>3.7919398976211984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4.1073868103011257</v>
      </c>
      <c r="J227" s="35">
        <v>4.1175257132718244</v>
      </c>
      <c r="K227" s="35">
        <v>4.3723690709398113</v>
      </c>
      <c r="L227" s="35">
        <v>4.0574221820736724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4.3336871246071178</v>
      </c>
      <c r="J228" s="35">
        <v>4.3438260275778164</v>
      </c>
      <c r="K228" s="35">
        <v>4.5982385457272894</v>
      </c>
      <c r="L228" s="35">
        <v>4.1554850145538493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4.1211757183412763</v>
      </c>
      <c r="J229" s="35">
        <v>4.131314621311974</v>
      </c>
      <c r="K229" s="35">
        <v>4.6118569941154384</v>
      </c>
      <c r="L229" s="35">
        <v>4.0956636755997184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4.571951344418534</v>
      </c>
      <c r="J230" s="35">
        <v>4.5820902473892327</v>
      </c>
      <c r="K230" s="35">
        <v>4.780197586168188</v>
      </c>
      <c r="L230" s="35">
        <v>4.2922911974304929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4.6745570424820038</v>
      </c>
      <c r="J231" s="35">
        <v>4.6846959454527024</v>
      </c>
      <c r="K231" s="35">
        <v>5.3086244523319239</v>
      </c>
      <c r="L231" s="35">
        <v>4.5167215898825654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5.181198023927811</v>
      </c>
      <c r="J232" s="35">
        <v>5.1913369268985097</v>
      </c>
      <c r="K232" s="35">
        <v>5.490428149255087</v>
      </c>
      <c r="L232" s="35">
        <v>4.9229245408009632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5.548834645645341</v>
      </c>
      <c r="J233" s="35">
        <v>5.5589735486160397</v>
      </c>
      <c r="K233" s="35">
        <v>5.857712006354487</v>
      </c>
      <c r="L233" s="35">
        <v>5.6198029910669476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5.3439274166075235</v>
      </c>
      <c r="J234" s="35">
        <v>5.3540663195782212</v>
      </c>
      <c r="K234" s="35">
        <v>5.5331476166323608</v>
      </c>
      <c r="L234" s="35">
        <v>5.5248516711833782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4.146624364797729</v>
      </c>
      <c r="J235" s="35">
        <v>4.1567632677684268</v>
      </c>
      <c r="K235" s="35">
        <v>4.6096821848671414</v>
      </c>
      <c r="L235" s="35">
        <v>4.2198230653417648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4.4489664513839609</v>
      </c>
      <c r="J236" s="35">
        <v>4.4591053543546586</v>
      </c>
      <c r="K236" s="35">
        <v>4.265389168392602</v>
      </c>
      <c r="L236" s="35">
        <v>4.0002104988457292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4.3969538791442764</v>
      </c>
      <c r="J237" s="35">
        <v>4.407092782114975</v>
      </c>
      <c r="K237" s="35">
        <v>4.2559649949833114</v>
      </c>
      <c r="L237" s="35">
        <v>3.9104784904145338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4.0914687326371295</v>
      </c>
      <c r="J238" s="35">
        <v>4.1016076356078273</v>
      </c>
      <c r="K238" s="35">
        <v>4.2980113071170649</v>
      </c>
      <c r="L238" s="35">
        <v>3.9901733614373178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4.1851521960863831</v>
      </c>
      <c r="J239" s="35">
        <v>4.1952910990570818</v>
      </c>
      <c r="K239" s="35">
        <v>4.5252788735641625</v>
      </c>
      <c r="L239" s="35">
        <v>4.134407025996186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4.5712416212105849</v>
      </c>
      <c r="J240" s="35">
        <v>4.5813805241812835</v>
      </c>
      <c r="K240" s="35">
        <v>4.8431117108510824</v>
      </c>
      <c r="L240" s="35">
        <v>4.3906551440329222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4.3635968883706786</v>
      </c>
      <c r="J241" s="35">
        <v>4.3737357913413772</v>
      </c>
      <c r="K241" s="35">
        <v>4.8638241798824886</v>
      </c>
      <c r="L241" s="35">
        <v>4.3356516310348292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4.7794946882287332</v>
      </c>
      <c r="J242" s="35">
        <v>4.7896335911994319</v>
      </c>
      <c r="K242" s="35">
        <v>4.9938467042271375</v>
      </c>
      <c r="L242" s="35">
        <v>4.4976510288065841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4.8517850664098141</v>
      </c>
      <c r="J243" s="35">
        <v>4.8619239693805127</v>
      </c>
      <c r="K243" s="35">
        <v>5.484110846200509</v>
      </c>
      <c r="L243" s="35">
        <v>4.6921707517815916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5.3451440849640068</v>
      </c>
      <c r="J244" s="35">
        <v>5.3552829879347055</v>
      </c>
      <c r="K244" s="35">
        <v>5.6586133977901021</v>
      </c>
      <c r="L244" s="35">
        <v>5.0853254240690555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5.725555724424618</v>
      </c>
      <c r="J245" s="35">
        <v>5.7356946273953158</v>
      </c>
      <c r="K245" s="35">
        <v>6.0475935661998994</v>
      </c>
      <c r="L245" s="35">
        <v>5.794750296095553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5.6024694423603369</v>
      </c>
      <c r="J246" s="35">
        <v>5.6126083453310347</v>
      </c>
      <c r="K246" s="35">
        <v>5.7994581872036592</v>
      </c>
      <c r="L246" s="35">
        <v>5.7807986750978619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4.2388883818310861</v>
      </c>
      <c r="J247" s="35">
        <v>4.2490272848017838</v>
      </c>
      <c r="K247" s="35">
        <v>4.7364942765119222</v>
      </c>
      <c r="L247" s="35">
        <v>4.3110606443842219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4.5506596481800674</v>
      </c>
      <c r="J248" s="35">
        <v>4.5607985511507652</v>
      </c>
      <c r="K248" s="35">
        <v>4.3507245408019921</v>
      </c>
      <c r="L248" s="35">
        <v>4.1009833584261761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4.4738067636621714</v>
      </c>
      <c r="J249" s="35">
        <v>4.4839456666328701</v>
      </c>
      <c r="K249" s="35">
        <v>4.3432162707781075</v>
      </c>
      <c r="L249" s="35">
        <v>3.9866603633443742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4.1684230061847307</v>
      </c>
      <c r="J250" s="35">
        <v>4.1785619091554294</v>
      </c>
      <c r="K250" s="35">
        <v>4.3990881559903245</v>
      </c>
      <c r="L250" s="35">
        <v>4.0663552343671583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4.2956662384669979</v>
      </c>
      <c r="J251" s="35">
        <v>4.3058051414376965</v>
      </c>
      <c r="K251" s="35">
        <v>4.5911445250840321</v>
      </c>
      <c r="L251" s="35">
        <v>4.2437114523737831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4.5900999807360847</v>
      </c>
      <c r="J252" s="35">
        <v>4.6002388837067825</v>
      </c>
      <c r="K252" s="35">
        <v>4.8877470816137611</v>
      </c>
      <c r="L252" s="35">
        <v>4.4093242196125662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4.3703899533610473</v>
      </c>
      <c r="J253" s="35">
        <v>4.380528856331745</v>
      </c>
      <c r="K253" s="35">
        <v>4.8894040791362734</v>
      </c>
      <c r="L253" s="35">
        <v>4.342376513098464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4.8199489110818208</v>
      </c>
      <c r="J254" s="35">
        <v>4.8300878140525194</v>
      </c>
      <c r="K254" s="35">
        <v>5.0331486142142294</v>
      </c>
      <c r="L254" s="35">
        <v>4.5377995784402287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4.8904142867281761</v>
      </c>
      <c r="J255" s="35">
        <v>4.9005531896988739</v>
      </c>
      <c r="K255" s="35">
        <v>5.5333029601500963</v>
      </c>
      <c r="L255" s="35">
        <v>4.7305126166817217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5.4119594555409103</v>
      </c>
      <c r="J256" s="35">
        <v>5.4220983585116089</v>
      </c>
      <c r="K256" s="35">
        <v>5.7656968626824687</v>
      </c>
      <c r="L256" s="35">
        <v>5.1514701595904846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5.7344779590388324</v>
      </c>
      <c r="J257" s="35">
        <v>5.744616862009531</v>
      </c>
      <c r="K257" s="35">
        <v>6.0461954745402791</v>
      </c>
      <c r="L257" s="35">
        <v>5.8034826056408706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5.2542995143465481</v>
      </c>
      <c r="J258" s="35">
        <v>5.2644384173172458</v>
      </c>
      <c r="K258" s="35">
        <v>5.45583832597264</v>
      </c>
      <c r="L258" s="35">
        <v>5.4361233764930246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4.4117566774814971</v>
      </c>
      <c r="J259" s="35">
        <v>4.4218955804521958</v>
      </c>
      <c r="K259" s="35">
        <v>4.9200067521301758</v>
      </c>
      <c r="L259" s="35">
        <v>4.482294208571715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4.725555724424618</v>
      </c>
      <c r="J260" s="35">
        <v>4.7356946273953158</v>
      </c>
      <c r="K260" s="35">
        <v>4.5470787472197181</v>
      </c>
      <c r="L260" s="35">
        <v>4.2741239787212688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4.6444445006590289</v>
      </c>
      <c r="J261" s="35">
        <v>4.6545834036297276</v>
      </c>
      <c r="K261" s="35">
        <v>4.5377063549830066</v>
      </c>
      <c r="L261" s="35">
        <v>4.1555853859279335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4.2937398469025654</v>
      </c>
      <c r="J262" s="35">
        <v>4.3038787498732631</v>
      </c>
      <c r="K262" s="35">
        <v>4.5852932525826606</v>
      </c>
      <c r="L262" s="35">
        <v>4.1904142527351196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4.5263262810503901</v>
      </c>
      <c r="J263" s="35">
        <v>4.5364651840210888</v>
      </c>
      <c r="K263" s="35">
        <v>4.8629438999486529</v>
      </c>
      <c r="L263" s="35">
        <v>4.4720563284151353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4.8531031237960054</v>
      </c>
      <c r="J264" s="35">
        <v>4.863242026766704</v>
      </c>
      <c r="K264" s="35">
        <v>5.175753963495457</v>
      </c>
      <c r="L264" s="35">
        <v>4.6697879353608345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4.6456611690155123</v>
      </c>
      <c r="J265" s="35">
        <v>4.6558000719862109</v>
      </c>
      <c r="K265" s="35">
        <v>5.2077029469763998</v>
      </c>
      <c r="L265" s="35">
        <v>4.6148847937368265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5.0789978819831694</v>
      </c>
      <c r="J266" s="35">
        <v>5.089136784953868</v>
      </c>
      <c r="K266" s="35">
        <v>5.3164434093912796</v>
      </c>
      <c r="L266" s="35">
        <v>4.7942484392251332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5.1597035496299304</v>
      </c>
      <c r="J267" s="35">
        <v>5.1698424526006281</v>
      </c>
      <c r="K267" s="35">
        <v>5.8275235827412146</v>
      </c>
      <c r="L267" s="35">
        <v>4.9970989862491217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5.7181543252560081</v>
      </c>
      <c r="J268" s="35">
        <v>5.7282932282267058</v>
      </c>
      <c r="K268" s="35">
        <v>6.0553607420866769</v>
      </c>
      <c r="L268" s="35">
        <v>5.4545917093245002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5.8904142867281761</v>
      </c>
      <c r="J269" s="35">
        <v>5.9005531896988739</v>
      </c>
      <c r="K269" s="35">
        <v>6.2219407742717561</v>
      </c>
      <c r="L269" s="35">
        <v>5.9579541503563185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5.7872002544864642</v>
      </c>
      <c r="J270" s="35">
        <v>5.7973391574571629</v>
      </c>
      <c r="K270" s="35">
        <v>5.9897539964296982</v>
      </c>
      <c r="L270" s="35">
        <v>5.9636753186791127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4.6958487387204704</v>
      </c>
      <c r="J271" s="35">
        <v>4.705987641691169</v>
      </c>
      <c r="K271" s="35">
        <v>5.2456585464764514</v>
      </c>
      <c r="L271" s="35">
        <v>4.763434427381311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5.0174547409510293</v>
      </c>
      <c r="J272" s="35">
        <v>5.0275936439217279</v>
      </c>
      <c r="K272" s="35">
        <v>4.8497397009411323</v>
      </c>
      <c r="L272" s="35">
        <v>4.5630931647094242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4.9324907340565751</v>
      </c>
      <c r="J273" s="35">
        <v>4.9426296370272738</v>
      </c>
      <c r="K273" s="35">
        <v>4.8390209982173804</v>
      </c>
      <c r="L273" s="35">
        <v>4.4407404597008933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4.6401861614113358</v>
      </c>
      <c r="J274" s="35">
        <v>4.6503250643820344</v>
      </c>
      <c r="K274" s="35">
        <v>4.882310058493017</v>
      </c>
      <c r="L274" s="35">
        <v>4.5333832379805283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4.763677999594444</v>
      </c>
      <c r="J275" s="35">
        <v>4.7738169025651418</v>
      </c>
      <c r="K275" s="35">
        <v>5.1254226637491413</v>
      </c>
      <c r="L275" s="35">
        <v>4.7070257151460408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5.0323589283179562</v>
      </c>
      <c r="J276" s="35">
        <v>5.0424978312886548</v>
      </c>
      <c r="K276" s="35">
        <v>5.3658426480311823</v>
      </c>
      <c r="L276" s="35">
        <v>4.8471441533674593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4.7691530071986215</v>
      </c>
      <c r="J277" s="35">
        <v>4.7792919101693201</v>
      </c>
      <c r="K277" s="35">
        <v>5.3750596967501583</v>
      </c>
      <c r="L277" s="35">
        <v>4.7371371273712732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5.2941454030213935</v>
      </c>
      <c r="J278" s="35">
        <v>5.3042843059920912</v>
      </c>
      <c r="K278" s="35">
        <v>5.5469731897108252</v>
      </c>
      <c r="L278" s="35">
        <v>5.0071361236575322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5.3675510605292507</v>
      </c>
      <c r="J279" s="35">
        <v>5.3776899634999493</v>
      </c>
      <c r="K279" s="35">
        <v>6.0600210476187417</v>
      </c>
      <c r="L279" s="35">
        <v>5.2028603031215495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5.9651380016222246</v>
      </c>
      <c r="J280" s="35">
        <v>5.9752769045929233</v>
      </c>
      <c r="K280" s="35">
        <v>6.3272636792964532</v>
      </c>
      <c r="L280" s="35">
        <v>5.6990963765933955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6.20411194464159</v>
      </c>
      <c r="J281" s="35">
        <v>6.2142508476122877</v>
      </c>
      <c r="K281" s="35">
        <v>6.5413788279086091</v>
      </c>
      <c r="L281" s="35">
        <v>6.2685031817725587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6.050406175605799</v>
      </c>
      <c r="J282" s="35">
        <v>6.0605450785764976</v>
      </c>
      <c r="K282" s="35">
        <v>6.2807124051483694</v>
      </c>
      <c r="L282" s="35">
        <v>6.2242394058014652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4.974263014295853</v>
      </c>
      <c r="J283" s="35">
        <v>4.9844019172665517</v>
      </c>
      <c r="K283" s="35">
        <v>5.4855607190327067</v>
      </c>
      <c r="L283" s="35">
        <v>5.0390542206162801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5.2941454030213935</v>
      </c>
      <c r="J284" s="35">
        <v>5.3042843059920912</v>
      </c>
      <c r="K284" s="35">
        <v>5.1331380584633397</v>
      </c>
      <c r="L284" s="35">
        <v>4.8370066445849647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5.2051258349386602</v>
      </c>
      <c r="J285" s="35">
        <v>5.215264737909358</v>
      </c>
      <c r="K285" s="35">
        <v>5.1225746992573233</v>
      </c>
      <c r="L285" s="35">
        <v>4.7106390846130681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4.9107934816992804</v>
      </c>
      <c r="J286" s="35">
        <v>4.9209323846699782</v>
      </c>
      <c r="K286" s="35">
        <v>5.165553072497489</v>
      </c>
      <c r="L286" s="35">
        <v>4.8012744354110204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5.0552728490317351</v>
      </c>
      <c r="J287" s="35">
        <v>5.0654117520024329</v>
      </c>
      <c r="K287" s="35">
        <v>5.4987649180402283</v>
      </c>
      <c r="L287" s="35">
        <v>4.9957941583860288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5.4371039349082428</v>
      </c>
      <c r="J288" s="35">
        <v>5.4472428378789415</v>
      </c>
      <c r="K288" s="35">
        <v>5.7665253614437235</v>
      </c>
      <c r="L288" s="35">
        <v>5.2479270500853152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5.222970304167089</v>
      </c>
      <c r="J289" s="35">
        <v>5.2331092071377876</v>
      </c>
      <c r="K289" s="35">
        <v>5.8118338874499234</v>
      </c>
      <c r="L289" s="35">
        <v>5.1863993977717557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5.6554959048970899</v>
      </c>
      <c r="J290" s="35">
        <v>5.6656348078677885</v>
      </c>
      <c r="K290" s="35">
        <v>5.9122375810796628</v>
      </c>
      <c r="L290" s="35">
        <v>5.3649600722673894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5.744414083950117</v>
      </c>
      <c r="J291" s="35">
        <v>5.7545529869208156</v>
      </c>
      <c r="K291" s="35">
        <v>6.4335704266001414</v>
      </c>
      <c r="L291" s="35">
        <v>5.5759407005921906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6.2495342299503198</v>
      </c>
      <c r="J292" s="35">
        <v>6.2596731329210185</v>
      </c>
      <c r="K292" s="35">
        <v>6.6133546577927431</v>
      </c>
      <c r="L292" s="35">
        <v>5.9806380808993271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6.6319736500050697</v>
      </c>
      <c r="J293" s="35">
        <v>6.6421125529757683</v>
      </c>
      <c r="K293" s="35">
        <v>6.9981405512236812</v>
      </c>
      <c r="L293" s="35">
        <v>6.6919700090334233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6.3448399178748858</v>
      </c>
      <c r="J294" s="35">
        <v>6.3549788208455844</v>
      </c>
      <c r="K294" s="35">
        <v>6.5750365900846424</v>
      </c>
      <c r="L294" s="35">
        <v>6.515717876141724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5.3385537980330531</v>
      </c>
      <c r="J295" s="35">
        <v>5.3486927010037508</v>
      </c>
      <c r="K295" s="35">
        <v>5.8577637875270661</v>
      </c>
      <c r="L295" s="35">
        <v>5.3996885677004922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5.6991945767008012</v>
      </c>
      <c r="J296" s="35">
        <v>5.7093334796714998</v>
      </c>
      <c r="K296" s="35">
        <v>5.5393613573417833</v>
      </c>
      <c r="L296" s="35">
        <v>5.2379902840509889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5.5554249325762948</v>
      </c>
      <c r="J297" s="35">
        <v>5.5655638355469934</v>
      </c>
      <c r="K297" s="35">
        <v>5.4912048668437645</v>
      </c>
      <c r="L297" s="35">
        <v>5.0574221820736724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5.2596731329210185</v>
      </c>
      <c r="J298" s="35">
        <v>5.2698120358917162</v>
      </c>
      <c r="K298" s="35">
        <v>5.5272445629584102</v>
      </c>
      <c r="L298" s="35">
        <v>5.1465519622603635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5.34605658623137</v>
      </c>
      <c r="J299" s="35">
        <v>5.3561954892020687</v>
      </c>
      <c r="K299" s="35">
        <v>5.7186795579811776</v>
      </c>
      <c r="L299" s="35">
        <v>5.2836592592592586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5.6082486170536345</v>
      </c>
      <c r="J300" s="35">
        <v>5.6183875200243332</v>
      </c>
      <c r="K300" s="35">
        <v>5.9970033605906901</v>
      </c>
      <c r="L300" s="35">
        <v>5.4172535581652106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5.5095970911487377</v>
      </c>
      <c r="J301" s="35">
        <v>5.5197359941194364</v>
      </c>
      <c r="K301" s="35">
        <v>6.093730590967354</v>
      </c>
      <c r="L301" s="35">
        <v>5.4702496436816217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5.9681796725134344</v>
      </c>
      <c r="J302" s="35">
        <v>5.978318575484133</v>
      </c>
      <c r="K302" s="35">
        <v>6.2416176198515902</v>
      </c>
      <c r="L302" s="35">
        <v>5.6745053899427882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6.0828506651120344</v>
      </c>
      <c r="J303" s="35">
        <v>6.0929895680827331</v>
      </c>
      <c r="K303" s="35">
        <v>6.7814363439826</v>
      </c>
      <c r="L303" s="35">
        <v>5.910980347284954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6.6542792365406065</v>
      </c>
      <c r="J304" s="35">
        <v>6.6644181395113042</v>
      </c>
      <c r="K304" s="35">
        <v>7.0557729963035678</v>
      </c>
      <c r="L304" s="35">
        <v>6.3812202348690157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6.8647628622123085</v>
      </c>
      <c r="J305" s="35">
        <v>6.8749017651830071</v>
      </c>
      <c r="K305" s="35">
        <v>7.242340561103954</v>
      </c>
      <c r="L305" s="35">
        <v>6.9225230553046275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6.4542386809287242</v>
      </c>
      <c r="J306" s="35">
        <v>6.4643775838994229</v>
      </c>
      <c r="K306" s="35">
        <v>6.6857965182300845</v>
      </c>
      <c r="L306" s="35">
        <v>6.6239182174043965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5.6480945057284799</v>
      </c>
      <c r="J307" s="35">
        <v>5.6582334086991786</v>
      </c>
      <c r="K307" s="35">
        <v>6.1889043861666639</v>
      </c>
      <c r="L307" s="35">
        <v>5.7062227441533677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5.9878491442765895</v>
      </c>
      <c r="J308" s="35">
        <v>5.9979880472472882</v>
      </c>
      <c r="K308" s="35">
        <v>5.8460612425243212</v>
      </c>
      <c r="L308" s="35">
        <v>5.5237475860684535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5.8411392182905812</v>
      </c>
      <c r="J309" s="35">
        <v>5.8512781212612799</v>
      </c>
      <c r="K309" s="35">
        <v>5.8729356710925709</v>
      </c>
      <c r="L309" s="35">
        <v>5.3402687142426979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5.6223416921829061</v>
      </c>
      <c r="J310" s="35">
        <v>5.6324805951536048</v>
      </c>
      <c r="K310" s="35">
        <v>5.9020884712542738</v>
      </c>
      <c r="L310" s="35">
        <v>5.5056807387333135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5.6917931775321913</v>
      </c>
      <c r="J311" s="35">
        <v>5.701932080502889</v>
      </c>
      <c r="K311" s="35">
        <v>6.0204084505961779</v>
      </c>
      <c r="L311" s="35">
        <v>5.6258252735119942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6.0529409013484745</v>
      </c>
      <c r="J312" s="35">
        <v>6.0630798043191723</v>
      </c>
      <c r="K312" s="35">
        <v>6.3996537585612154</v>
      </c>
      <c r="L312" s="35">
        <v>5.8575827762722072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5.8827087204704451</v>
      </c>
      <c r="J313" s="35">
        <v>5.8928476234411429</v>
      </c>
      <c r="K313" s="35">
        <v>6.4661925653246062</v>
      </c>
      <c r="L313" s="35">
        <v>5.8395159289370664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6.3448399178748858</v>
      </c>
      <c r="J314" s="35">
        <v>6.3549788208455844</v>
      </c>
      <c r="K314" s="35">
        <v>6.6296657271549755</v>
      </c>
      <c r="L314" s="35">
        <v>6.0472846732911778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6.4870887265537878</v>
      </c>
      <c r="J315" s="35">
        <v>6.4972276295244855</v>
      </c>
      <c r="K315" s="35">
        <v>7.1963070986816549</v>
      </c>
      <c r="L315" s="35">
        <v>6.3111610157583051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7.039151993308324</v>
      </c>
      <c r="J316" s="35">
        <v>7.0492908962790226</v>
      </c>
      <c r="K316" s="35">
        <v>7.4580609260660431</v>
      </c>
      <c r="L316" s="35">
        <v>6.7623303422663854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7.2821814975159684</v>
      </c>
      <c r="J317" s="35">
        <v>7.2923204004866671</v>
      </c>
      <c r="K317" s="35">
        <v>7.6791665329762981</v>
      </c>
      <c r="L317" s="35">
        <v>7.3357520024089125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7.0733200963195788</v>
      </c>
      <c r="J318" s="35">
        <v>7.0834589992902774</v>
      </c>
      <c r="K318" s="35">
        <v>7.3391195726531961</v>
      </c>
      <c r="L318" s="35">
        <v>7.2368861989360633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6.0425992203183618</v>
      </c>
      <c r="J319" s="35">
        <v>6.0527381232890596</v>
      </c>
      <c r="K319" s="35">
        <v>6.6024288303786758</v>
      </c>
      <c r="L319" s="35">
        <v>6.096767760714644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6.3518357609246685</v>
      </c>
      <c r="J320" s="35">
        <v>6.3619746638953671</v>
      </c>
      <c r="K320" s="35">
        <v>6.209513292852912</v>
      </c>
      <c r="L320" s="35">
        <v>5.8840808190304124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6.22327447125621</v>
      </c>
      <c r="J321" s="35">
        <v>6.2334133742269087</v>
      </c>
      <c r="K321" s="35">
        <v>6.1736289402560018</v>
      </c>
      <c r="L321" s="35">
        <v>5.7185684231657126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5.8612142461725645</v>
      </c>
      <c r="J322" s="35">
        <v>5.8713531491432631</v>
      </c>
      <c r="K322" s="35">
        <v>6.2213711813733914</v>
      </c>
      <c r="L322" s="35">
        <v>5.7421556960754794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6.0341839308526826</v>
      </c>
      <c r="J323" s="35">
        <v>6.0443228338233812</v>
      </c>
      <c r="K323" s="35">
        <v>6.501662668540888</v>
      </c>
      <c r="L323" s="35">
        <v>5.9647794037940383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6.3714038436581166</v>
      </c>
      <c r="J324" s="35">
        <v>6.3815427466288144</v>
      </c>
      <c r="K324" s="35">
        <v>6.7150528807369447</v>
      </c>
      <c r="L324" s="35">
        <v>6.1727488908963162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6.2008674956909662</v>
      </c>
      <c r="J325" s="35">
        <v>6.2110063986616648</v>
      </c>
      <c r="K325" s="35">
        <v>6.7917407973257244</v>
      </c>
      <c r="L325" s="35">
        <v>6.1544813008130079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6.6519472888573459</v>
      </c>
      <c r="J326" s="35">
        <v>6.6620861918280436</v>
      </c>
      <c r="K326" s="35">
        <v>6.9310839327345057</v>
      </c>
      <c r="L326" s="35">
        <v>6.3514099367660348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6.7967308232789216</v>
      </c>
      <c r="J327" s="35">
        <v>6.8068697262496203</v>
      </c>
      <c r="K327" s="35">
        <v>7.5141399359685739</v>
      </c>
      <c r="L327" s="35">
        <v>6.6176951922111815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7.3721135668660649</v>
      </c>
      <c r="J328" s="35">
        <v>7.3822524698367635</v>
      </c>
      <c r="K328" s="35">
        <v>7.7870267154573432</v>
      </c>
      <c r="L328" s="35">
        <v>7.091849563384522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7.8317100385278318</v>
      </c>
      <c r="J329" s="35">
        <v>7.8418489414985304</v>
      </c>
      <c r="K329" s="35">
        <v>8.2558534519832101</v>
      </c>
      <c r="L329" s="35">
        <v>7.8797648499447952</v>
      </c>
      <c r="M329" s="104">
        <f t="shared" ref="M329:M340" si="13">YEAR(H329)</f>
        <v>2042</v>
      </c>
    </row>
    <row r="330" spans="8:15">
      <c r="H330" s="31">
        <v>51898</v>
      </c>
      <c r="I330" s="35">
        <v>7.5311929544763263</v>
      </c>
      <c r="J330" s="35">
        <v>7.5413318574470249</v>
      </c>
      <c r="K330" s="35">
        <v>7.8183543248673448</v>
      </c>
      <c r="L330" s="35">
        <v>7.6901633242999097</v>
      </c>
      <c r="M330" s="104">
        <f t="shared" si="13"/>
        <v>2042</v>
      </c>
    </row>
    <row r="331" spans="8:15">
      <c r="H331" s="31">
        <v>51926</v>
      </c>
      <c r="I331" s="35">
        <v>6.319188493359019</v>
      </c>
      <c r="J331" s="35">
        <v>6.3293273963297167</v>
      </c>
      <c r="K331" s="35">
        <v>6.8873288419056617</v>
      </c>
      <c r="L331" s="35">
        <v>6.3704804978420153</v>
      </c>
      <c r="M331" s="104">
        <f t="shared" si="13"/>
        <v>2042</v>
      </c>
    </row>
    <row r="332" spans="8:15">
      <c r="H332" s="31">
        <v>51957</v>
      </c>
      <c r="I332" s="35">
        <v>6.5280498945554095</v>
      </c>
      <c r="J332" s="35">
        <v>6.5381887975261082</v>
      </c>
      <c r="K332" s="35">
        <v>6.4595127940619781</v>
      </c>
      <c r="L332" s="35">
        <v>6.058526267188598</v>
      </c>
      <c r="M332" s="104">
        <f t="shared" si="13"/>
        <v>2042</v>
      </c>
    </row>
    <row r="333" spans="8:15">
      <c r="H333" s="31">
        <v>51987</v>
      </c>
      <c r="I333" s="35">
        <v>6.4245316952245775</v>
      </c>
      <c r="J333" s="35">
        <v>6.4346705981952752</v>
      </c>
      <c r="K333" s="35">
        <v>6.4515384934848869</v>
      </c>
      <c r="L333" s="35">
        <v>5.9178056007226738</v>
      </c>
      <c r="M333" s="104">
        <f t="shared" si="13"/>
        <v>2042</v>
      </c>
    </row>
    <row r="334" spans="8:15">
      <c r="H334" s="31">
        <v>52018</v>
      </c>
      <c r="I334" s="35">
        <v>6.2091813961269393</v>
      </c>
      <c r="J334" s="35">
        <v>6.2193202990976371</v>
      </c>
      <c r="K334" s="35">
        <v>6.5078764092503105</v>
      </c>
      <c r="L334" s="35">
        <v>6.0866302519321485</v>
      </c>
      <c r="M334" s="104">
        <f t="shared" si="13"/>
        <v>2042</v>
      </c>
    </row>
    <row r="335" spans="8:15">
      <c r="H335" s="31">
        <v>52048</v>
      </c>
      <c r="I335" s="35">
        <v>6.3792107989455538</v>
      </c>
      <c r="J335" s="35">
        <v>6.3893497019162524</v>
      </c>
      <c r="K335" s="35">
        <v>6.8062913068202873</v>
      </c>
      <c r="L335" s="35">
        <v>6.3064435611763523</v>
      </c>
      <c r="M335" s="104">
        <f t="shared" si="13"/>
        <v>2042</v>
      </c>
    </row>
    <row r="336" spans="8:15">
      <c r="H336" s="31">
        <v>52079</v>
      </c>
      <c r="I336" s="35">
        <v>6.7772641295751805</v>
      </c>
      <c r="J336" s="35">
        <v>6.7874030325458792</v>
      </c>
      <c r="K336" s="35">
        <v>7.1600084967041155</v>
      </c>
      <c r="L336" s="35">
        <v>6.5745355013550135</v>
      </c>
      <c r="M336" s="104">
        <f t="shared" si="13"/>
        <v>2042</v>
      </c>
    </row>
    <row r="337" spans="8:13">
      <c r="H337" s="31">
        <v>52110</v>
      </c>
      <c r="I337" s="35">
        <v>6.5456915857244242</v>
      </c>
      <c r="J337" s="35">
        <v>6.5558304886951229</v>
      </c>
      <c r="K337" s="35">
        <v>7.2148965396373415</v>
      </c>
      <c r="L337" s="35">
        <v>6.4958443440730695</v>
      </c>
      <c r="M337" s="104">
        <f t="shared" si="13"/>
        <v>2042</v>
      </c>
    </row>
    <row r="338" spans="8:13">
      <c r="H338" s="31">
        <v>52140</v>
      </c>
      <c r="I338" s="35">
        <v>7.031750594139714</v>
      </c>
      <c r="J338" s="35">
        <v>7.0418894971104127</v>
      </c>
      <c r="K338" s="35">
        <v>7.3407247890031311</v>
      </c>
      <c r="L338" s="35">
        <v>6.7274011040851152</v>
      </c>
      <c r="M338" s="104">
        <f t="shared" si="13"/>
        <v>2042</v>
      </c>
    </row>
    <row r="339" spans="8:13">
      <c r="H339" s="31">
        <v>52171</v>
      </c>
      <c r="I339" s="35">
        <v>7.2246939176721083</v>
      </c>
      <c r="J339" s="35">
        <v>7.234832820642807</v>
      </c>
      <c r="K339" s="35">
        <v>7.9764422447495491</v>
      </c>
      <c r="L339" s="35">
        <v>7.0413627622202144</v>
      </c>
      <c r="M339" s="104">
        <f t="shared" si="13"/>
        <v>2042</v>
      </c>
    </row>
    <row r="340" spans="8:13">
      <c r="H340" s="31">
        <v>52201</v>
      </c>
      <c r="I340" s="35">
        <v>7.7834488603873071</v>
      </c>
      <c r="J340" s="35">
        <v>7.7935877633580048</v>
      </c>
      <c r="K340" s="35">
        <v>8.2222992521523324</v>
      </c>
      <c r="L340" s="35">
        <v>7.4991565994178453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12" t="s">
        <v>130</v>
      </c>
      <c r="C1" s="412"/>
      <c r="D1" s="412"/>
      <c r="E1" s="412"/>
      <c r="F1" s="412"/>
      <c r="G1" s="412"/>
      <c r="H1" s="412"/>
      <c r="I1" s="412"/>
      <c r="J1" s="412"/>
      <c r="K1" s="412"/>
      <c r="M1" s="347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44" t="s">
        <v>98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08" t="s">
        <v>129</v>
      </c>
      <c r="C4" s="208" t="s">
        <v>137</v>
      </c>
      <c r="D4" s="208" t="s">
        <v>136</v>
      </c>
      <c r="E4" s="208" t="s">
        <v>135</v>
      </c>
      <c r="F4" s="208" t="s">
        <v>133</v>
      </c>
      <c r="G4" s="208" t="s">
        <v>134</v>
      </c>
      <c r="H4" s="208" t="s">
        <v>134</v>
      </c>
      <c r="I4" s="208" t="s">
        <v>132</v>
      </c>
      <c r="J4" s="208" t="s">
        <v>132</v>
      </c>
      <c r="K4" s="208" t="s">
        <v>138</v>
      </c>
      <c r="L4" s="208" t="s">
        <v>141</v>
      </c>
      <c r="M4" s="208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77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41">
        <f>B25*(1+$N$14)</f>
        <v>66.455305798913329</v>
      </c>
      <c r="C26" s="341" t="e">
        <f t="shared" ref="C26:C40" si="1">C25*(1+$N$14)</f>
        <v>#REF!</v>
      </c>
      <c r="D26" s="341" t="e">
        <f t="shared" ref="D26:D40" si="2">D25*(1+$N$14)</f>
        <v>#REF!</v>
      </c>
      <c r="E26" s="341" t="e">
        <f t="shared" ref="E26:E40" si="3">E25*(1+$N$14)</f>
        <v>#REF!</v>
      </c>
      <c r="F26" s="341" t="e">
        <f t="shared" ref="F26:F40" si="4">F25*(1+$N$14)</f>
        <v>#REF!</v>
      </c>
      <c r="G26" s="341" t="e">
        <f t="shared" ref="G26:G40" si="5">G25*(1+$N$14)</f>
        <v>#REF!</v>
      </c>
      <c r="H26" s="341" t="e">
        <f t="shared" ref="H26:H40" si="6">H25*(1+$N$14)</f>
        <v>#REF!</v>
      </c>
      <c r="I26" s="341">
        <f t="shared" ref="I26:I40" si="7">I25*(1+$N$14)</f>
        <v>99.260363987496106</v>
      </c>
      <c r="J26" s="341" t="e">
        <f t="shared" ref="J26:J40" si="8">J25*(1+$N$14)</f>
        <v>#REF!</v>
      </c>
      <c r="K26" s="341">
        <f t="shared" ref="K26:K40" si="9">K25*(1+$N$14)</f>
        <v>476.2844475</v>
      </c>
      <c r="L26" s="341" t="e">
        <f t="shared" ref="L26:L40" si="10">L25*(1+$N$14)</f>
        <v>#REF!</v>
      </c>
      <c r="M26" s="341" t="e">
        <f t="shared" ref="M26:M46" si="11">M25*(1+$N$14)</f>
        <v>#REF!</v>
      </c>
    </row>
    <row r="27" spans="1:13">
      <c r="A27" s="134">
        <f t="shared" si="0"/>
        <v>2040</v>
      </c>
      <c r="B27" s="341">
        <f t="shared" ref="B27:B40" si="12">B26*(1+$N$14)</f>
        <v>67.967164005838612</v>
      </c>
      <c r="C27" s="341" t="e">
        <f t="shared" si="1"/>
        <v>#REF!</v>
      </c>
      <c r="D27" s="341" t="e">
        <f t="shared" si="2"/>
        <v>#REF!</v>
      </c>
      <c r="E27" s="341" t="e">
        <f t="shared" si="3"/>
        <v>#REF!</v>
      </c>
      <c r="F27" s="341" t="e">
        <f t="shared" si="4"/>
        <v>#REF!</v>
      </c>
      <c r="G27" s="341" t="e">
        <f t="shared" si="5"/>
        <v>#REF!</v>
      </c>
      <c r="H27" s="341" t="e">
        <f t="shared" si="6"/>
        <v>#REF!</v>
      </c>
      <c r="I27" s="341">
        <f t="shared" si="7"/>
        <v>101.51853726821165</v>
      </c>
      <c r="J27" s="341" t="e">
        <f t="shared" si="8"/>
        <v>#REF!</v>
      </c>
      <c r="K27" s="341">
        <f t="shared" si="9"/>
        <v>487.11991868062501</v>
      </c>
      <c r="L27" s="341" t="e">
        <f t="shared" si="10"/>
        <v>#REF!</v>
      </c>
      <c r="M27" s="341" t="e">
        <f t="shared" si="11"/>
        <v>#REF!</v>
      </c>
    </row>
    <row r="28" spans="1:13">
      <c r="A28" s="134">
        <f t="shared" si="0"/>
        <v>2041</v>
      </c>
      <c r="B28" s="341">
        <f t="shared" si="12"/>
        <v>69.51341698697145</v>
      </c>
      <c r="C28" s="341" t="e">
        <f t="shared" si="1"/>
        <v>#REF!</v>
      </c>
      <c r="D28" s="341" t="e">
        <f t="shared" si="2"/>
        <v>#REF!</v>
      </c>
      <c r="E28" s="341" t="e">
        <f t="shared" si="3"/>
        <v>#REF!</v>
      </c>
      <c r="F28" s="341" t="e">
        <f t="shared" si="4"/>
        <v>#REF!</v>
      </c>
      <c r="G28" s="341" t="e">
        <f t="shared" si="5"/>
        <v>#REF!</v>
      </c>
      <c r="H28" s="341" t="e">
        <f t="shared" si="6"/>
        <v>#REF!</v>
      </c>
      <c r="I28" s="341">
        <f t="shared" si="7"/>
        <v>103.82808399106347</v>
      </c>
      <c r="J28" s="341" t="e">
        <f t="shared" si="8"/>
        <v>#REF!</v>
      </c>
      <c r="K28" s="341">
        <f t="shared" si="9"/>
        <v>498.20189683060926</v>
      </c>
      <c r="L28" s="341" t="e">
        <f t="shared" si="10"/>
        <v>#REF!</v>
      </c>
      <c r="M28" s="341" t="e">
        <f t="shared" si="11"/>
        <v>#REF!</v>
      </c>
    </row>
    <row r="29" spans="1:13">
      <c r="A29" s="134">
        <f t="shared" si="0"/>
        <v>2042</v>
      </c>
      <c r="B29" s="341">
        <f t="shared" si="12"/>
        <v>71.094847223425049</v>
      </c>
      <c r="C29" s="341" t="e">
        <f t="shared" si="1"/>
        <v>#REF!</v>
      </c>
      <c r="D29" s="341" t="e">
        <f t="shared" si="2"/>
        <v>#REF!</v>
      </c>
      <c r="E29" s="341" t="e">
        <f t="shared" si="3"/>
        <v>#REF!</v>
      </c>
      <c r="F29" s="341" t="e">
        <f t="shared" si="4"/>
        <v>#REF!</v>
      </c>
      <c r="G29" s="341" t="e">
        <f t="shared" si="5"/>
        <v>#REF!</v>
      </c>
      <c r="H29" s="341" t="e">
        <f t="shared" si="6"/>
        <v>#REF!</v>
      </c>
      <c r="I29" s="341">
        <f t="shared" si="7"/>
        <v>106.19017290186017</v>
      </c>
      <c r="J29" s="341" t="e">
        <f t="shared" si="8"/>
        <v>#REF!</v>
      </c>
      <c r="K29" s="341">
        <f t="shared" si="9"/>
        <v>509.53598998350566</v>
      </c>
      <c r="L29" s="341" t="e">
        <f t="shared" si="10"/>
        <v>#REF!</v>
      </c>
      <c r="M29" s="341" t="e">
        <f t="shared" si="11"/>
        <v>#REF!</v>
      </c>
    </row>
    <row r="30" spans="1:13">
      <c r="A30" s="134">
        <f t="shared" si="0"/>
        <v>2043</v>
      </c>
      <c r="B30" s="341">
        <f t="shared" si="12"/>
        <v>72.712254997757967</v>
      </c>
      <c r="C30" s="341" t="e">
        <f t="shared" si="1"/>
        <v>#REF!</v>
      </c>
      <c r="D30" s="341" t="e">
        <f t="shared" si="2"/>
        <v>#REF!</v>
      </c>
      <c r="E30" s="341" t="e">
        <f t="shared" si="3"/>
        <v>#REF!</v>
      </c>
      <c r="F30" s="341" t="e">
        <f t="shared" si="4"/>
        <v>#REF!</v>
      </c>
      <c r="G30" s="341" t="e">
        <f t="shared" si="5"/>
        <v>#REF!</v>
      </c>
      <c r="H30" s="341" t="e">
        <f t="shared" si="6"/>
        <v>#REF!</v>
      </c>
      <c r="I30" s="341">
        <f t="shared" si="7"/>
        <v>108.60599933537749</v>
      </c>
      <c r="J30" s="341" t="e">
        <f t="shared" si="8"/>
        <v>#REF!</v>
      </c>
      <c r="K30" s="341">
        <f t="shared" si="9"/>
        <v>521.12793375563047</v>
      </c>
      <c r="L30" s="341" t="e">
        <f t="shared" si="10"/>
        <v>#REF!</v>
      </c>
      <c r="M30" s="341" t="e">
        <f t="shared" si="11"/>
        <v>#REF!</v>
      </c>
    </row>
    <row r="31" spans="1:13">
      <c r="A31" s="134">
        <f t="shared" si="0"/>
        <v>2044</v>
      </c>
      <c r="B31" s="341">
        <f t="shared" si="12"/>
        <v>74.36645879895697</v>
      </c>
      <c r="C31" s="341" t="e">
        <f t="shared" si="1"/>
        <v>#REF!</v>
      </c>
      <c r="D31" s="341" t="e">
        <f t="shared" si="2"/>
        <v>#REF!</v>
      </c>
      <c r="E31" s="341" t="e">
        <f t="shared" si="3"/>
        <v>#REF!</v>
      </c>
      <c r="F31" s="341" t="e">
        <f t="shared" si="4"/>
        <v>#REF!</v>
      </c>
      <c r="G31" s="341" t="e">
        <f t="shared" si="5"/>
        <v>#REF!</v>
      </c>
      <c r="H31" s="341" t="e">
        <f t="shared" si="6"/>
        <v>#REF!</v>
      </c>
      <c r="I31" s="341">
        <f t="shared" si="7"/>
        <v>111.07678582025733</v>
      </c>
      <c r="J31" s="341" t="e">
        <f t="shared" si="8"/>
        <v>#REF!</v>
      </c>
      <c r="K31" s="341">
        <f t="shared" si="9"/>
        <v>532.98359424857108</v>
      </c>
      <c r="L31" s="341" t="e">
        <f t="shared" si="10"/>
        <v>#REF!</v>
      </c>
      <c r="M31" s="341" t="e">
        <f t="shared" si="11"/>
        <v>#REF!</v>
      </c>
    </row>
    <row r="32" spans="1:13">
      <c r="A32" s="134">
        <f t="shared" si="0"/>
        <v>2045</v>
      </c>
      <c r="B32" s="341">
        <f t="shared" si="12"/>
        <v>76.058295736633241</v>
      </c>
      <c r="C32" s="341" t="e">
        <f t="shared" si="1"/>
        <v>#REF!</v>
      </c>
      <c r="D32" s="341" t="e">
        <f t="shared" si="2"/>
        <v>#REF!</v>
      </c>
      <c r="E32" s="341" t="e">
        <f t="shared" si="3"/>
        <v>#REF!</v>
      </c>
      <c r="F32" s="341" t="e">
        <f t="shared" si="4"/>
        <v>#REF!</v>
      </c>
      <c r="G32" s="341" t="e">
        <f t="shared" si="5"/>
        <v>#REF!</v>
      </c>
      <c r="H32" s="341" t="e">
        <f t="shared" si="6"/>
        <v>#REF!</v>
      </c>
      <c r="I32" s="341">
        <f t="shared" si="7"/>
        <v>113.60378269766819</v>
      </c>
      <c r="J32" s="341" t="e">
        <f t="shared" si="8"/>
        <v>#REF!</v>
      </c>
      <c r="K32" s="341">
        <f t="shared" si="9"/>
        <v>545.10897101772605</v>
      </c>
      <c r="L32" s="341" t="e">
        <f t="shared" si="10"/>
        <v>#REF!</v>
      </c>
      <c r="M32" s="341" t="e">
        <f t="shared" si="11"/>
        <v>#REF!</v>
      </c>
    </row>
    <row r="33" spans="1:13">
      <c r="A33" s="134">
        <f t="shared" si="0"/>
        <v>2046</v>
      </c>
      <c r="B33" s="341">
        <f t="shared" si="12"/>
        <v>77.788621964641649</v>
      </c>
      <c r="C33" s="341" t="e">
        <f t="shared" si="1"/>
        <v>#REF!</v>
      </c>
      <c r="D33" s="341" t="e">
        <f t="shared" si="2"/>
        <v>#REF!</v>
      </c>
      <c r="E33" s="341" t="e">
        <f t="shared" si="3"/>
        <v>#REF!</v>
      </c>
      <c r="F33" s="341" t="e">
        <f t="shared" si="4"/>
        <v>#REF!</v>
      </c>
      <c r="G33" s="341" t="e">
        <f t="shared" si="5"/>
        <v>#REF!</v>
      </c>
      <c r="H33" s="341" t="e">
        <f t="shared" si="6"/>
        <v>#REF!</v>
      </c>
      <c r="I33" s="341">
        <f t="shared" si="7"/>
        <v>116.18826875404015</v>
      </c>
      <c r="J33" s="341" t="e">
        <f t="shared" si="8"/>
        <v>#REF!</v>
      </c>
      <c r="K33" s="341">
        <f t="shared" si="9"/>
        <v>557.51020010837931</v>
      </c>
      <c r="L33" s="341" t="e">
        <f t="shared" si="10"/>
        <v>#REF!</v>
      </c>
      <c r="M33" s="341" t="e">
        <f t="shared" si="11"/>
        <v>#REF!</v>
      </c>
    </row>
    <row r="34" spans="1:13">
      <c r="A34" s="134">
        <f t="shared" si="0"/>
        <v>2047</v>
      </c>
      <c r="B34" s="341">
        <f t="shared" si="12"/>
        <v>79.558313114337253</v>
      </c>
      <c r="C34" s="341" t="e">
        <f t="shared" si="1"/>
        <v>#REF!</v>
      </c>
      <c r="D34" s="341" t="e">
        <f t="shared" si="2"/>
        <v>#REF!</v>
      </c>
      <c r="E34" s="341" t="e">
        <f t="shared" si="3"/>
        <v>#REF!</v>
      </c>
      <c r="F34" s="341" t="e">
        <f t="shared" si="4"/>
        <v>#REF!</v>
      </c>
      <c r="G34" s="341" t="e">
        <f t="shared" si="5"/>
        <v>#REF!</v>
      </c>
      <c r="H34" s="341" t="e">
        <f t="shared" si="6"/>
        <v>#REF!</v>
      </c>
      <c r="I34" s="341">
        <f t="shared" si="7"/>
        <v>118.83155186819457</v>
      </c>
      <c r="J34" s="341" t="e">
        <f t="shared" si="8"/>
        <v>#REF!</v>
      </c>
      <c r="K34" s="341">
        <f t="shared" si="9"/>
        <v>570.19355716084499</v>
      </c>
      <c r="L34" s="341" t="e">
        <f t="shared" si="10"/>
        <v>#REF!</v>
      </c>
      <c r="M34" s="341" t="e">
        <f t="shared" si="11"/>
        <v>#REF!</v>
      </c>
    </row>
    <row r="35" spans="1:13">
      <c r="A35" s="134">
        <f t="shared" si="0"/>
        <v>2048</v>
      </c>
      <c r="B35" s="341">
        <f t="shared" si="12"/>
        <v>81.368264737688435</v>
      </c>
      <c r="C35" s="341" t="e">
        <f t="shared" si="1"/>
        <v>#REF!</v>
      </c>
      <c r="D35" s="341" t="e">
        <f t="shared" si="2"/>
        <v>#REF!</v>
      </c>
      <c r="E35" s="341" t="e">
        <f t="shared" si="3"/>
        <v>#REF!</v>
      </c>
      <c r="F35" s="341" t="e">
        <f t="shared" si="4"/>
        <v>#REF!</v>
      </c>
      <c r="G35" s="341" t="e">
        <f t="shared" si="5"/>
        <v>#REF!</v>
      </c>
      <c r="H35" s="341" t="e">
        <f t="shared" si="6"/>
        <v>#REF!</v>
      </c>
      <c r="I35" s="341">
        <f t="shared" si="7"/>
        <v>121.534969673196</v>
      </c>
      <c r="J35" s="341" t="e">
        <f t="shared" si="8"/>
        <v>#REF!</v>
      </c>
      <c r="K35" s="341">
        <f t="shared" si="9"/>
        <v>583.1654605862542</v>
      </c>
      <c r="L35" s="341" t="e">
        <f t="shared" si="10"/>
        <v>#REF!</v>
      </c>
      <c r="M35" s="341" t="e">
        <f t="shared" si="11"/>
        <v>#REF!</v>
      </c>
    </row>
    <row r="36" spans="1:13">
      <c r="A36" s="134">
        <f t="shared" si="0"/>
        <v>2049</v>
      </c>
      <c r="B36" s="341">
        <f t="shared" si="12"/>
        <v>83.219392760470853</v>
      </c>
      <c r="C36" s="341" t="e">
        <f t="shared" si="1"/>
        <v>#REF!</v>
      </c>
      <c r="D36" s="341" t="e">
        <f t="shared" si="2"/>
        <v>#REF!</v>
      </c>
      <c r="E36" s="341" t="e">
        <f t="shared" si="3"/>
        <v>#REF!</v>
      </c>
      <c r="F36" s="341" t="e">
        <f t="shared" si="4"/>
        <v>#REF!</v>
      </c>
      <c r="G36" s="341" t="e">
        <f t="shared" si="5"/>
        <v>#REF!</v>
      </c>
      <c r="H36" s="341" t="e">
        <f t="shared" si="6"/>
        <v>#REF!</v>
      </c>
      <c r="I36" s="341">
        <f t="shared" si="7"/>
        <v>124.29989023326122</v>
      </c>
      <c r="J36" s="341" t="e">
        <f t="shared" si="8"/>
        <v>#REF!</v>
      </c>
      <c r="K36" s="341">
        <f t="shared" si="9"/>
        <v>596.4324748145915</v>
      </c>
      <c r="L36" s="341" t="e">
        <f t="shared" si="10"/>
        <v>#REF!</v>
      </c>
      <c r="M36" s="341" t="e">
        <f t="shared" si="11"/>
        <v>#REF!</v>
      </c>
    </row>
    <row r="37" spans="1:13">
      <c r="A37" s="134">
        <f t="shared" si="0"/>
        <v>2050</v>
      </c>
      <c r="B37" s="341">
        <f t="shared" si="12"/>
        <v>85.112633945771563</v>
      </c>
      <c r="C37" s="341" t="e">
        <f t="shared" si="1"/>
        <v>#REF!</v>
      </c>
      <c r="D37" s="341" t="e">
        <f t="shared" si="2"/>
        <v>#REF!</v>
      </c>
      <c r="E37" s="341" t="e">
        <f t="shared" si="3"/>
        <v>#REF!</v>
      </c>
      <c r="F37" s="341" t="e">
        <f t="shared" si="4"/>
        <v>#REF!</v>
      </c>
      <c r="G37" s="341" t="e">
        <f t="shared" si="5"/>
        <v>#REF!</v>
      </c>
      <c r="H37" s="341" t="e">
        <f t="shared" si="6"/>
        <v>#REF!</v>
      </c>
      <c r="I37" s="341">
        <f t="shared" si="7"/>
        <v>127.12771273606792</v>
      </c>
      <c r="J37" s="341" t="e">
        <f t="shared" si="8"/>
        <v>#REF!</v>
      </c>
      <c r="K37" s="341">
        <f t="shared" si="9"/>
        <v>610.00131361662352</v>
      </c>
      <c r="L37" s="341" t="e">
        <f t="shared" si="10"/>
        <v>#REF!</v>
      </c>
      <c r="M37" s="341" t="e">
        <f t="shared" si="11"/>
        <v>#REF!</v>
      </c>
    </row>
    <row r="38" spans="1:13">
      <c r="A38" s="134">
        <f t="shared" si="0"/>
        <v>2051</v>
      </c>
      <c r="B38" s="341">
        <f t="shared" si="12"/>
        <v>87.048946368037875</v>
      </c>
      <c r="C38" s="341" t="e">
        <f t="shared" si="1"/>
        <v>#REF!</v>
      </c>
      <c r="D38" s="341" t="e">
        <f t="shared" si="2"/>
        <v>#REF!</v>
      </c>
      <c r="E38" s="341" t="e">
        <f t="shared" si="3"/>
        <v>#REF!</v>
      </c>
      <c r="F38" s="341" t="e">
        <f t="shared" si="4"/>
        <v>#REF!</v>
      </c>
      <c r="G38" s="341" t="e">
        <f t="shared" si="5"/>
        <v>#REF!</v>
      </c>
      <c r="H38" s="341" t="e">
        <f t="shared" si="6"/>
        <v>#REF!</v>
      </c>
      <c r="I38" s="341">
        <f t="shared" si="7"/>
        <v>130.01986820081348</v>
      </c>
      <c r="J38" s="341" t="e">
        <f t="shared" si="8"/>
        <v>#REF!</v>
      </c>
      <c r="K38" s="341">
        <f t="shared" si="9"/>
        <v>623.87884350140178</v>
      </c>
      <c r="L38" s="341" t="e">
        <f t="shared" si="10"/>
        <v>#REF!</v>
      </c>
      <c r="M38" s="341" t="e">
        <f t="shared" si="11"/>
        <v>#REF!</v>
      </c>
    </row>
    <row r="39" spans="1:13">
      <c r="A39" s="134">
        <f t="shared" si="0"/>
        <v>2052</v>
      </c>
      <c r="B39" s="341">
        <f t="shared" si="12"/>
        <v>89.029309897910736</v>
      </c>
      <c r="C39" s="341" t="e">
        <f t="shared" si="1"/>
        <v>#REF!</v>
      </c>
      <c r="D39" s="341" t="e">
        <f t="shared" si="2"/>
        <v>#REF!</v>
      </c>
      <c r="E39" s="341" t="e">
        <f t="shared" si="3"/>
        <v>#REF!</v>
      </c>
      <c r="F39" s="341" t="e">
        <f t="shared" si="4"/>
        <v>#REF!</v>
      </c>
      <c r="G39" s="341" t="e">
        <f t="shared" si="5"/>
        <v>#REF!</v>
      </c>
      <c r="H39" s="341" t="e">
        <f t="shared" si="6"/>
        <v>#REF!</v>
      </c>
      <c r="I39" s="341">
        <f t="shared" si="7"/>
        <v>132.97782020238199</v>
      </c>
      <c r="J39" s="341" t="e">
        <f t="shared" si="8"/>
        <v>#REF!</v>
      </c>
      <c r="K39" s="341">
        <f t="shared" si="9"/>
        <v>638.0720871910587</v>
      </c>
      <c r="L39" s="341" t="e">
        <f t="shared" si="10"/>
        <v>#REF!</v>
      </c>
      <c r="M39" s="341" t="e">
        <f t="shared" si="11"/>
        <v>#REF!</v>
      </c>
    </row>
    <row r="40" spans="1:13">
      <c r="A40" s="134">
        <f t="shared" si="0"/>
        <v>2053</v>
      </c>
      <c r="B40" s="341">
        <f t="shared" si="12"/>
        <v>91.054726698088203</v>
      </c>
      <c r="C40" s="341" t="e">
        <f t="shared" si="1"/>
        <v>#REF!</v>
      </c>
      <c r="D40" s="341" t="e">
        <f t="shared" si="2"/>
        <v>#REF!</v>
      </c>
      <c r="E40" s="341" t="e">
        <f t="shared" si="3"/>
        <v>#REF!</v>
      </c>
      <c r="F40" s="341" t="e">
        <f t="shared" si="4"/>
        <v>#REF!</v>
      </c>
      <c r="G40" s="341" t="e">
        <f t="shared" si="5"/>
        <v>#REF!</v>
      </c>
      <c r="H40" s="341" t="e">
        <f t="shared" si="6"/>
        <v>#REF!</v>
      </c>
      <c r="I40" s="341">
        <f t="shared" si="7"/>
        <v>136.00306561198619</v>
      </c>
      <c r="J40" s="341" t="e">
        <f t="shared" si="8"/>
        <v>#REF!</v>
      </c>
      <c r="K40" s="341">
        <f t="shared" si="9"/>
        <v>652.58822717465534</v>
      </c>
      <c r="L40" s="341" t="e">
        <f t="shared" si="10"/>
        <v>#REF!</v>
      </c>
      <c r="M40" s="341" t="e">
        <f t="shared" si="11"/>
        <v>#REF!</v>
      </c>
    </row>
    <row r="41" spans="1:13">
      <c r="A41" s="134">
        <f t="shared" si="0"/>
        <v>2054</v>
      </c>
      <c r="B41" s="341"/>
      <c r="C41" s="341" t="e">
        <f t="shared" ref="C41:C46" si="13">C40*(1+$N$14)</f>
        <v>#REF!</v>
      </c>
      <c r="D41" s="341"/>
      <c r="E41" s="341"/>
      <c r="F41" s="341"/>
      <c r="G41" s="341"/>
      <c r="H41" s="341" t="e">
        <f t="shared" ref="H41:H45" si="14">H40*(1+$N$14)</f>
        <v>#REF!</v>
      </c>
      <c r="I41" s="341"/>
      <c r="J41" s="341" t="e">
        <f t="shared" ref="J41:J46" si="15">J40*(1+$N$14)</f>
        <v>#REF!</v>
      </c>
      <c r="K41" s="341">
        <f>K40*(1+$N$14)</f>
        <v>667.43460934287873</v>
      </c>
      <c r="L41" s="341" t="e">
        <f>L40*(1+$N$14)</f>
        <v>#REF!</v>
      </c>
      <c r="M41" s="341" t="e">
        <f t="shared" si="11"/>
        <v>#REF!</v>
      </c>
    </row>
    <row r="42" spans="1:13">
      <c r="A42" s="134">
        <f t="shared" si="0"/>
        <v>2055</v>
      </c>
      <c r="B42" s="341"/>
      <c r="C42" s="341" t="e">
        <f t="shared" si="13"/>
        <v>#REF!</v>
      </c>
      <c r="D42" s="341"/>
      <c r="E42" s="341"/>
      <c r="F42" s="341"/>
      <c r="G42" s="341"/>
      <c r="H42" s="341" t="e">
        <f t="shared" si="14"/>
        <v>#REF!</v>
      </c>
      <c r="I42" s="341"/>
      <c r="J42" s="341" t="e">
        <f t="shared" si="15"/>
        <v>#REF!</v>
      </c>
      <c r="K42" s="341">
        <f>K41*(1+$N$14)</f>
        <v>682.6187467054292</v>
      </c>
      <c r="L42" s="341" t="e">
        <f>L41*(1+$N$14)</f>
        <v>#REF!</v>
      </c>
      <c r="M42" s="341" t="e">
        <f t="shared" si="11"/>
        <v>#REF!</v>
      </c>
    </row>
    <row r="43" spans="1:13">
      <c r="A43" s="134">
        <f t="shared" si="0"/>
        <v>2056</v>
      </c>
      <c r="B43" s="341"/>
      <c r="C43" s="341" t="e">
        <f t="shared" si="13"/>
        <v>#REF!</v>
      </c>
      <c r="D43" s="341"/>
      <c r="E43" s="341"/>
      <c r="F43" s="341"/>
      <c r="G43" s="341"/>
      <c r="H43" s="341" t="e">
        <f t="shared" si="14"/>
        <v>#REF!</v>
      </c>
      <c r="I43" s="341"/>
      <c r="J43" s="341" t="e">
        <f t="shared" si="15"/>
        <v>#REF!</v>
      </c>
      <c r="K43" s="346"/>
      <c r="L43" s="341" t="e">
        <f>L42*(1+$N$14)</f>
        <v>#REF!</v>
      </c>
      <c r="M43" s="341" t="e">
        <f t="shared" si="11"/>
        <v>#REF!</v>
      </c>
    </row>
    <row r="44" spans="1:13">
      <c r="A44" s="134">
        <f t="shared" si="0"/>
        <v>2057</v>
      </c>
      <c r="B44" s="341"/>
      <c r="C44" s="341" t="e">
        <f t="shared" si="13"/>
        <v>#REF!</v>
      </c>
      <c r="D44" s="341"/>
      <c r="E44" s="341"/>
      <c r="F44" s="341"/>
      <c r="G44" s="341"/>
      <c r="H44" s="341" t="e">
        <f t="shared" si="14"/>
        <v>#REF!</v>
      </c>
      <c r="I44" s="341"/>
      <c r="J44" s="341" t="e">
        <f t="shared" si="15"/>
        <v>#REF!</v>
      </c>
      <c r="K44" s="346"/>
      <c r="L44" s="341" t="e">
        <f>L43*(1+$N$14)</f>
        <v>#REF!</v>
      </c>
      <c r="M44" s="341" t="e">
        <f t="shared" si="11"/>
        <v>#REF!</v>
      </c>
    </row>
    <row r="45" spans="1:13">
      <c r="A45" s="134">
        <f t="shared" si="0"/>
        <v>2058</v>
      </c>
      <c r="B45" s="341"/>
      <c r="C45" s="341" t="e">
        <f t="shared" si="13"/>
        <v>#REF!</v>
      </c>
      <c r="D45" s="341"/>
      <c r="E45" s="341"/>
      <c r="F45" s="341"/>
      <c r="G45" s="341"/>
      <c r="H45" s="341" t="e">
        <f t="shared" si="14"/>
        <v>#REF!</v>
      </c>
      <c r="I45" s="341"/>
      <c r="J45" s="341" t="e">
        <f t="shared" si="15"/>
        <v>#REF!</v>
      </c>
      <c r="K45" s="346"/>
      <c r="L45" s="341" t="e">
        <f>L44*(1+$N$14)</f>
        <v>#REF!</v>
      </c>
      <c r="M45" s="341" t="e">
        <f t="shared" si="11"/>
        <v>#REF!</v>
      </c>
    </row>
    <row r="46" spans="1:13">
      <c r="A46" s="134">
        <f t="shared" si="0"/>
        <v>2059</v>
      </c>
      <c r="B46" s="341"/>
      <c r="C46" s="341" t="e">
        <f t="shared" si="13"/>
        <v>#REF!</v>
      </c>
      <c r="D46" s="341"/>
      <c r="E46" s="341"/>
      <c r="F46" s="341"/>
      <c r="G46" s="341"/>
      <c r="H46" s="341"/>
      <c r="I46" s="341"/>
      <c r="J46" s="341" t="e">
        <f t="shared" si="15"/>
        <v>#REF!</v>
      </c>
      <c r="K46" s="346"/>
      <c r="L46" s="346"/>
      <c r="M46" s="341" t="e">
        <f t="shared" si="11"/>
        <v>#REF!</v>
      </c>
    </row>
    <row r="47" spans="1:13">
      <c r="A47" s="134">
        <f t="shared" ref="A47:A48" si="16">A46+1</f>
        <v>2060</v>
      </c>
      <c r="B47" s="341"/>
      <c r="C47" s="341" t="e">
        <f t="shared" ref="C47:C48" si="17">C46*(1+$N$14)</f>
        <v>#REF!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 t="e">
        <f t="shared" ref="M47:M48" si="18">M46*(1+$N$14)</f>
        <v>#REF!</v>
      </c>
    </row>
    <row r="48" spans="1:13">
      <c r="A48" s="134">
        <f t="shared" si="16"/>
        <v>2061</v>
      </c>
      <c r="B48" s="341"/>
      <c r="C48" s="341" t="e">
        <f t="shared" si="17"/>
        <v>#REF!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 t="e">
        <f t="shared" si="18"/>
        <v>#REF!</v>
      </c>
    </row>
    <row r="49" spans="1:13" ht="12" customHeight="1">
      <c r="A49" s="134"/>
    </row>
    <row r="50" spans="1:13" ht="12" customHeight="1">
      <c r="A50" s="342" t="s">
        <v>131</v>
      </c>
      <c r="B50" s="343">
        <f>PMT(Discount_Rate,30,-NPV(Discount_Rate,Table3ACsummary!B$11:B$40))</f>
        <v>44.043433473808903</v>
      </c>
      <c r="C50" s="343" t="e">
        <f>PMT(Discount_Rate,30,-NPV(Discount_Rate,Table3ACsummary!C$17:C$46))</f>
        <v>#REF!</v>
      </c>
      <c r="D50" s="343" t="e">
        <f>PMT(Discount_Rate,30,-NPV(Discount_Rate,Table3ACsummary!D$11:D$40))</f>
        <v>#REF!</v>
      </c>
      <c r="E50" s="343" t="e">
        <f>PMT(Discount_Rate,30,-NPV(Discount_Rate,Table3ACsummary!E$11:E$40))</f>
        <v>#REF!</v>
      </c>
      <c r="F50" s="343" t="e">
        <f>PMT(Discount_Rate,30,-NPV(Discount_Rate,Table3ACsummary!F$11:F$40))</f>
        <v>#REF!</v>
      </c>
      <c r="G50" s="343" t="e">
        <f>PMT(Discount_Rate,30,-NPV(Discount_Rate,Table3ACsummary!G$11:G$40))</f>
        <v>#REF!</v>
      </c>
      <c r="H50" s="343" t="e">
        <f>PMT(Discount_Rate,30,-NPV(Discount_Rate,Table3ACsummary!H$16:H$45))</f>
        <v>#REF!</v>
      </c>
      <c r="I50" s="343">
        <f>PMT(Discount_Rate,30,-NPV(Discount_Rate,Table3ACsummary!I$11:I$40))</f>
        <v>79.847204615211268</v>
      </c>
      <c r="J50" s="343" t="e">
        <f>PMT(Discount_Rate,30,-NPV(Discount_Rate,Table3ACsummary!J$11:J$40))</f>
        <v>#REF!</v>
      </c>
      <c r="K50" s="343">
        <f>PMT(Discount_Rate,30,-NPV(Discount_Rate,Table3ACsummary!K$13:K$42))</f>
        <v>329.82023917053118</v>
      </c>
      <c r="L50" s="343" t="e">
        <f>PMT(Discount_Rate,30,-NPV(Discount_Rate,Table3ACsummary!L$16:L$45))</f>
        <v>#REF!</v>
      </c>
      <c r="M50" s="343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6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3" sqref="C13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Kennecott Smelter Non Firm - 31.8 MW and 58.2% CF</v>
      </c>
      <c r="C4" s="83"/>
      <c r="D4" s="83"/>
      <c r="E4" s="83"/>
      <c r="F4" s="83"/>
      <c r="G4" s="83"/>
      <c r="K4" s="56">
        <f>MIN(K13:K24)</f>
        <v>44927</v>
      </c>
      <c r="M4" s="373" t="s">
        <v>230</v>
      </c>
      <c r="P4" s="214" t="s">
        <v>201</v>
      </c>
      <c r="Q4" s="214" t="s">
        <v>202</v>
      </c>
      <c r="R4" s="214" t="s">
        <v>154</v>
      </c>
      <c r="S4" s="214" t="s">
        <v>229</v>
      </c>
    </row>
    <row r="5" spans="1:19">
      <c r="B5" s="83" t="str">
        <f>TEXT($K$5,"MMMM YYYY")&amp;"  through  "&amp;TEXT($K$6,"MMMM YYYY")</f>
        <v>January 2023  through  December 2023</v>
      </c>
      <c r="C5" s="83"/>
      <c r="D5" s="83"/>
      <c r="E5" s="83"/>
      <c r="F5" s="83"/>
      <c r="G5" s="83"/>
      <c r="J5" s="56" t="s">
        <v>38</v>
      </c>
      <c r="K5" s="185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5">
        <f>EDATE(K5,1*12-1)</f>
        <v>45261</v>
      </c>
      <c r="M6" s="57">
        <v>31.8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S5+1*12-1</f>
        <v>24</v>
      </c>
    </row>
    <row r="7" spans="1:19">
      <c r="A7" s="107"/>
      <c r="C7" s="58"/>
      <c r="D7" s="58"/>
      <c r="E7" s="58"/>
      <c r="F7" s="362"/>
      <c r="G7" s="91"/>
      <c r="M7" s="363">
        <f ca="1">SUM(OFFSET(F12,MATCH(K5,B13:B24,0),0,12))/(EDATE(K5,12)-K5)/24/Study_MW</f>
        <v>0.58176100628930816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5704813.2104451321</v>
      </c>
      <c r="D9" s="58">
        <f ca="1">NPV($K$9,INDIRECT("d"&amp;$S$5&amp;":d"&amp;$S$6))</f>
        <v>0</v>
      </c>
      <c r="E9" s="58">
        <f ca="1">NPV($K$9,INDIRECT("e"&amp;$S$5&amp;":e"&amp;$S$6))</f>
        <v>5704813.2104451321</v>
      </c>
      <c r="F9" s="362">
        <f ca="1">NPV($K$9,INDIRECT("f"&amp;$S$5&amp;":f"&amp;$S$6))</f>
        <v>156329.263647974</v>
      </c>
      <c r="G9" s="91">
        <f ca="1">($C9+D9)/$F9</f>
        <v>36.492292468615268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62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44927</v>
      </c>
      <c r="C13" s="69">
        <v>307796.14852952957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307796.14852952957</v>
      </c>
      <c r="F13" s="69">
        <v>13764</v>
      </c>
      <c r="G13" s="72">
        <f t="shared" ref="G13:G17" si="1">IF(ISNUMBER($F13),E13/$F13,"")</f>
        <v>22.362405443877474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v>423113.30193844438</v>
      </c>
      <c r="D14" s="71">
        <f>IF(ISNUMBER($F14),VLOOKUP($J14,'Table 1'!$B$13:$C$33,2,FALSE)/12*1000*Study_MW,"")</f>
        <v>0</v>
      </c>
      <c r="E14" s="71">
        <f t="shared" si="0"/>
        <v>423113.30193844438</v>
      </c>
      <c r="F14" s="75">
        <v>12432</v>
      </c>
      <c r="G14" s="76">
        <f t="shared" si="1"/>
        <v>34.034210258883881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v>505</v>
      </c>
      <c r="M14" s="90" t="s">
        <v>244</v>
      </c>
    </row>
    <row r="15" spans="1:19">
      <c r="B15" s="78">
        <f t="shared" si="3"/>
        <v>44986</v>
      </c>
      <c r="C15" s="75">
        <v>404595.31608693302</v>
      </c>
      <c r="D15" s="71">
        <f>IF(ISNUMBER($F15),VLOOKUP($J15,'Table 1'!$B$13:$C$33,2,FALSE)/12*1000*Study_MW,"")</f>
        <v>0</v>
      </c>
      <c r="E15" s="71">
        <f t="shared" si="0"/>
        <v>404595.31608693302</v>
      </c>
      <c r="F15" s="75">
        <v>13764</v>
      </c>
      <c r="G15" s="76">
        <f t="shared" si="1"/>
        <v>29.395184255080864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v>338039.78191190958</v>
      </c>
      <c r="D16" s="71">
        <f>IF(ISNUMBER($F16),VLOOKUP($J16,'Table 1'!$B$13:$C$33,2,FALSE)/12*1000*Study_MW,"")</f>
        <v>0</v>
      </c>
      <c r="E16" s="71">
        <f t="shared" si="0"/>
        <v>338039.78191190958</v>
      </c>
      <c r="F16" s="75">
        <v>13320</v>
      </c>
      <c r="G16" s="76">
        <f t="shared" si="1"/>
        <v>25.378362005398618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>SUMIF($J$13:$J$264,L16,$C$13:$C$264)</f>
        <v>5931601.4426346421</v>
      </c>
      <c r="N16" s="56">
        <f>SUMIF($J$13:$J$264,L16,$D$13:$D$264)</f>
        <v>0</v>
      </c>
      <c r="O16" s="56">
        <f t="shared" ref="O16:O25" si="6">SUMIF($J$13:$J$264,L16,$F$13:$F$264)</f>
        <v>162060</v>
      </c>
      <c r="P16" s="112">
        <f t="shared" ref="P16:P25" si="7">(M16+N16)/O16</f>
        <v>36.601267694894744</v>
      </c>
      <c r="Q16" s="163">
        <f>M16/O16</f>
        <v>36.601267694894744</v>
      </c>
      <c r="R16" s="163">
        <f>IFERROR(N16/O16,0)</f>
        <v>0</v>
      </c>
    </row>
    <row r="17" spans="2:20">
      <c r="B17" s="78">
        <f t="shared" si="3"/>
        <v>45047</v>
      </c>
      <c r="C17" s="75">
        <v>305150.84517683089</v>
      </c>
      <c r="D17" s="71">
        <f>IF(ISNUMBER($F17),VLOOKUP($J17,'Table 1'!$B$13:$C$33,2,FALSE)/12*1000*Study_MW,"")</f>
        <v>0</v>
      </c>
      <c r="E17" s="71">
        <f t="shared" si="0"/>
        <v>305150.84517683089</v>
      </c>
      <c r="F17" s="75">
        <v>13764</v>
      </c>
      <c r="G17" s="76">
        <f t="shared" si="1"/>
        <v>22.170215429877281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2" t="e">
        <f t="shared" si="7"/>
        <v>#DIV/0!</v>
      </c>
      <c r="Q17" s="163" t="e">
        <f t="shared" ref="Q17:Q33" si="9">M17/O17</f>
        <v>#DIV/0!</v>
      </c>
      <c r="R17" s="163">
        <f t="shared" ref="R17:R33" si="10">IFERROR(N17/O17,0)</f>
        <v>0</v>
      </c>
    </row>
    <row r="18" spans="2:20">
      <c r="B18" s="78">
        <f t="shared" si="3"/>
        <v>45078</v>
      </c>
      <c r="C18" s="75">
        <v>389274.37761604786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389274.37761604786</v>
      </c>
      <c r="F18" s="75">
        <v>13320</v>
      </c>
      <c r="G18" s="76">
        <f t="shared" ref="G18:G19" si="12">IF(ISNUMBER($F18),E18/$F18,"")</f>
        <v>29.224803124327916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3">L17+1</f>
        <v>2025</v>
      </c>
      <c r="M18" s="56">
        <f t="shared" ref="M18:M36" si="14">SUMIF($J$13:$J$264,L18,$C$13:$C$264)</f>
        <v>0</v>
      </c>
      <c r="N18" s="56">
        <f t="shared" si="8"/>
        <v>0</v>
      </c>
      <c r="O18" s="56">
        <f t="shared" si="6"/>
        <v>0</v>
      </c>
      <c r="P18" s="112" t="e">
        <f t="shared" si="7"/>
        <v>#DIV/0!</v>
      </c>
      <c r="Q18" s="163" t="e">
        <f t="shared" si="9"/>
        <v>#DIV/0!</v>
      </c>
      <c r="R18" s="163">
        <f t="shared" si="10"/>
        <v>0</v>
      </c>
    </row>
    <row r="19" spans="2:20">
      <c r="B19" s="78">
        <f t="shared" si="3"/>
        <v>45108</v>
      </c>
      <c r="C19" s="75">
        <v>826748.18529188633</v>
      </c>
      <c r="D19" s="71">
        <f>IF(ISNUMBER($F19),VLOOKUP($J19,'Table 1'!$B$13:$C$33,2,FALSE)/12*1000*Study_MW,"")</f>
        <v>0</v>
      </c>
      <c r="E19" s="71">
        <f t="shared" si="11"/>
        <v>826748.18529188633</v>
      </c>
      <c r="F19" s="75">
        <v>13764</v>
      </c>
      <c r="G19" s="76">
        <f t="shared" si="12"/>
        <v>60.065982657068176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3"/>
        <v>2026</v>
      </c>
      <c r="M19" s="56">
        <f t="shared" si="14"/>
        <v>0</v>
      </c>
      <c r="N19" s="56">
        <f t="shared" si="8"/>
        <v>0</v>
      </c>
      <c r="O19" s="56">
        <f t="shared" si="6"/>
        <v>0</v>
      </c>
      <c r="P19" s="112" t="e">
        <f t="shared" si="7"/>
        <v>#DIV/0!</v>
      </c>
      <c r="Q19" s="163" t="e">
        <f t="shared" si="9"/>
        <v>#DIV/0!</v>
      </c>
      <c r="R19" s="163">
        <f t="shared" si="10"/>
        <v>0</v>
      </c>
    </row>
    <row r="20" spans="2:20">
      <c r="B20" s="78">
        <f t="shared" si="3"/>
        <v>45139</v>
      </c>
      <c r="C20" s="75">
        <v>882673.9773786366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882673.9773786366</v>
      </c>
      <c r="F20" s="75">
        <v>13764</v>
      </c>
      <c r="G20" s="76">
        <f t="shared" ref="G20:G77" si="16">IF(ISNUMBER($F20),E20/$F20,"")</f>
        <v>64.129175921144764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3"/>
        <v>2027</v>
      </c>
      <c r="M20" s="56">
        <f t="shared" si="14"/>
        <v>0</v>
      </c>
      <c r="N20" s="56">
        <f t="shared" si="8"/>
        <v>0</v>
      </c>
      <c r="O20" s="56">
        <f t="shared" si="6"/>
        <v>0</v>
      </c>
      <c r="P20" s="112" t="e">
        <f t="shared" si="7"/>
        <v>#DIV/0!</v>
      </c>
      <c r="Q20" s="163" t="e">
        <f t="shared" si="9"/>
        <v>#DIV/0!</v>
      </c>
      <c r="R20" s="163">
        <f t="shared" si="10"/>
        <v>0</v>
      </c>
    </row>
    <row r="21" spans="2:20">
      <c r="B21" s="78">
        <f t="shared" si="3"/>
        <v>45170</v>
      </c>
      <c r="C21" s="75">
        <v>662183.87529996037</v>
      </c>
      <c r="D21" s="71">
        <f>IF(ISNUMBER($F21),VLOOKUP($J21,'Table 1'!$B$13:$C$33,2,FALSE)/12*1000*Study_MW,"")</f>
        <v>0</v>
      </c>
      <c r="E21" s="71">
        <f t="shared" si="15"/>
        <v>662183.87529996037</v>
      </c>
      <c r="F21" s="75">
        <v>13320</v>
      </c>
      <c r="G21" s="76">
        <f t="shared" si="16"/>
        <v>49.713504151648678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3"/>
        <v>2028</v>
      </c>
      <c r="M21" s="56">
        <f t="shared" si="14"/>
        <v>0</v>
      </c>
      <c r="N21" s="56">
        <f t="shared" si="8"/>
        <v>0</v>
      </c>
      <c r="O21" s="56">
        <f t="shared" si="6"/>
        <v>0</v>
      </c>
      <c r="P21" s="112" t="e">
        <f t="shared" si="7"/>
        <v>#DIV/0!</v>
      </c>
      <c r="Q21" s="163" t="e">
        <f t="shared" si="9"/>
        <v>#DIV/0!</v>
      </c>
      <c r="R21" s="163">
        <f t="shared" si="10"/>
        <v>0</v>
      </c>
    </row>
    <row r="22" spans="2:20">
      <c r="B22" s="78">
        <f t="shared" si="3"/>
        <v>45200</v>
      </c>
      <c r="C22" s="75">
        <v>406063.77819514275</v>
      </c>
      <c r="D22" s="71">
        <f>IF(ISNUMBER($F22),VLOOKUP($J22,'Table 1'!$B$13:$C$33,2,FALSE)/12*1000*Study_MW,"")</f>
        <v>0</v>
      </c>
      <c r="E22" s="71">
        <f t="shared" si="15"/>
        <v>406063.77819514275</v>
      </c>
      <c r="F22" s="75">
        <v>13764</v>
      </c>
      <c r="G22" s="76">
        <f t="shared" si="16"/>
        <v>29.501872870905459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3"/>
        <v>2029</v>
      </c>
      <c r="M22" s="56">
        <f t="shared" si="14"/>
        <v>0</v>
      </c>
      <c r="N22" s="56">
        <f t="shared" si="8"/>
        <v>0</v>
      </c>
      <c r="O22" s="56">
        <f t="shared" si="6"/>
        <v>0</v>
      </c>
      <c r="P22" s="112" t="e">
        <f t="shared" si="7"/>
        <v>#DIV/0!</v>
      </c>
      <c r="Q22" s="163" t="e">
        <f t="shared" si="9"/>
        <v>#DIV/0!</v>
      </c>
      <c r="R22" s="163">
        <f t="shared" si="10"/>
        <v>0</v>
      </c>
    </row>
    <row r="23" spans="2:20">
      <c r="B23" s="78">
        <f t="shared" si="3"/>
        <v>45231</v>
      </c>
      <c r="C23" s="75">
        <v>408505.780480057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408505.780480057</v>
      </c>
      <c r="F23" s="75">
        <v>13320</v>
      </c>
      <c r="G23" s="76">
        <f t="shared" ref="G23" si="18">IF(ISNUMBER($F23),E23/$F23,"")</f>
        <v>30.668602138142418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3"/>
        <v>2030</v>
      </c>
      <c r="M23" s="56">
        <f t="shared" si="14"/>
        <v>0</v>
      </c>
      <c r="N23" s="56">
        <f t="shared" si="8"/>
        <v>0</v>
      </c>
      <c r="O23" s="56">
        <f t="shared" si="6"/>
        <v>0</v>
      </c>
      <c r="P23" s="112" t="e">
        <f t="shared" si="7"/>
        <v>#DIV/0!</v>
      </c>
      <c r="Q23" s="163" t="e">
        <f t="shared" si="9"/>
        <v>#DIV/0!</v>
      </c>
      <c r="R23" s="163">
        <f t="shared" si="10"/>
        <v>0</v>
      </c>
      <c r="T23" s="41"/>
    </row>
    <row r="24" spans="2:20">
      <c r="B24" s="82">
        <f t="shared" si="3"/>
        <v>45261</v>
      </c>
      <c r="C24" s="79">
        <v>577456.07472926378</v>
      </c>
      <c r="D24" s="80">
        <f>IF(F24&lt;&gt;0,VLOOKUP($J24,'Table 1'!$B$13:$C$33,2,FALSE)/12*1000*Study_MW,0)</f>
        <v>0</v>
      </c>
      <c r="E24" s="80">
        <f t="shared" ref="E24" si="19">IF(ISNUMBER(C24+D24),C24+D24,"")</f>
        <v>577456.07472926378</v>
      </c>
      <c r="F24" s="79">
        <v>13764</v>
      </c>
      <c r="G24" s="81">
        <f t="shared" ref="G24" si="20">IF(ISNUMBER($F24),E24/$F24,"")</f>
        <v>41.954088544700944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3"/>
        <v>2031</v>
      </c>
      <c r="M24" s="56">
        <f t="shared" si="14"/>
        <v>0</v>
      </c>
      <c r="N24" s="56">
        <f t="shared" si="8"/>
        <v>0</v>
      </c>
      <c r="O24" s="56">
        <f t="shared" si="6"/>
        <v>0</v>
      </c>
      <c r="P24" s="112" t="e">
        <f t="shared" si="7"/>
        <v>#DIV/0!</v>
      </c>
      <c r="Q24" s="163" t="e">
        <f t="shared" si="9"/>
        <v>#DIV/0!</v>
      </c>
      <c r="R24" s="163">
        <f t="shared" si="10"/>
        <v>0</v>
      </c>
    </row>
    <row r="25" spans="2:20" outlineLevel="1">
      <c r="B25" s="74">
        <f t="shared" si="3"/>
        <v>45292</v>
      </c>
      <c r="C25" s="69"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v>0</v>
      </c>
      <c r="G25" s="72" t="e">
        <f t="shared" si="16"/>
        <v>#DIV/0!</v>
      </c>
      <c r="I25" s="60">
        <f>I13+13</f>
        <v>14</v>
      </c>
      <c r="J25" s="73">
        <f t="shared" si="4"/>
        <v>2024</v>
      </c>
      <c r="K25" s="74" t="str">
        <f>IF(ISNUMBER(F25),IF(F25&lt;&gt;0,B25,""),"")</f>
        <v/>
      </c>
      <c r="L25" s="73">
        <f t="shared" si="13"/>
        <v>2032</v>
      </c>
      <c r="M25" s="56">
        <f t="shared" si="14"/>
        <v>0</v>
      </c>
      <c r="N25" s="56">
        <f t="shared" si="8"/>
        <v>0</v>
      </c>
      <c r="O25" s="56">
        <f t="shared" si="6"/>
        <v>0</v>
      </c>
      <c r="P25" s="112" t="e">
        <f t="shared" si="7"/>
        <v>#DIV/0!</v>
      </c>
      <c r="Q25" s="163" t="e">
        <f t="shared" si="9"/>
        <v>#DIV/0!</v>
      </c>
      <c r="R25" s="163">
        <f t="shared" si="10"/>
        <v>0</v>
      </c>
    </row>
    <row r="26" spans="2:20" outlineLevel="1">
      <c r="B26" s="78">
        <f t="shared" si="3"/>
        <v>45323</v>
      </c>
      <c r="C26" s="75"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2024</v>
      </c>
      <c r="K26" s="78" t="str">
        <f t="shared" ref="K26:K89" si="23">IF(ISNUMBER(F26),IF(F26&lt;&gt;0,B26,""),"")</f>
        <v/>
      </c>
      <c r="L26" s="73">
        <f t="shared" si="13"/>
        <v>2033</v>
      </c>
      <c r="M26" s="56">
        <f t="shared" si="14"/>
        <v>0</v>
      </c>
      <c r="N26" s="56">
        <f t="shared" si="8"/>
        <v>0</v>
      </c>
      <c r="O26" s="56">
        <f>SUMIF($J$13:$J$264,L26,$F$13:$F$264)</f>
        <v>0</v>
      </c>
      <c r="P26" s="112" t="e">
        <f>(M26+N26)/O26</f>
        <v>#DIV/0!</v>
      </c>
      <c r="Q26" s="163" t="e">
        <f t="shared" si="9"/>
        <v>#DIV/0!</v>
      </c>
      <c r="R26" s="163">
        <f t="shared" si="10"/>
        <v>0</v>
      </c>
    </row>
    <row r="27" spans="2:20" outlineLevel="1">
      <c r="B27" s="78">
        <f t="shared" si="3"/>
        <v>45352</v>
      </c>
      <c r="C27" s="75"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2024</v>
      </c>
      <c r="K27" s="78" t="str">
        <f t="shared" si="23"/>
        <v/>
      </c>
      <c r="L27" s="73">
        <f t="shared" si="13"/>
        <v>2034</v>
      </c>
      <c r="M27" s="56">
        <f t="shared" si="14"/>
        <v>0</v>
      </c>
      <c r="N27" s="56">
        <f t="shared" si="8"/>
        <v>0</v>
      </c>
      <c r="O27" s="56">
        <f t="shared" ref="O27:O31" si="24">SUMIF($J$13:$J$264,L27,$F$13:$F$264)</f>
        <v>0</v>
      </c>
      <c r="P27" s="112" t="e">
        <f t="shared" ref="P27:P31" si="25">(M27+N27)/O27</f>
        <v>#DIV/0!</v>
      </c>
      <c r="Q27" s="163" t="e">
        <f t="shared" si="9"/>
        <v>#DIV/0!</v>
      </c>
      <c r="R27" s="163">
        <f t="shared" si="10"/>
        <v>0</v>
      </c>
    </row>
    <row r="28" spans="2:20" outlineLevel="1">
      <c r="B28" s="78">
        <f t="shared" si="3"/>
        <v>45383</v>
      </c>
      <c r="C28" s="75"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2024</v>
      </c>
      <c r="K28" s="78" t="str">
        <f t="shared" si="23"/>
        <v/>
      </c>
      <c r="L28" s="73">
        <f t="shared" si="13"/>
        <v>2035</v>
      </c>
      <c r="M28" s="56">
        <f t="shared" si="14"/>
        <v>0</v>
      </c>
      <c r="N28" s="56">
        <f t="shared" si="8"/>
        <v>0</v>
      </c>
      <c r="O28" s="56">
        <f t="shared" si="24"/>
        <v>0</v>
      </c>
      <c r="P28" s="112" t="e">
        <f t="shared" si="25"/>
        <v>#DIV/0!</v>
      </c>
      <c r="Q28" s="163" t="e">
        <f t="shared" si="9"/>
        <v>#DIV/0!</v>
      </c>
      <c r="R28" s="163">
        <f t="shared" si="10"/>
        <v>0</v>
      </c>
    </row>
    <row r="29" spans="2:20" outlineLevel="1">
      <c r="B29" s="78">
        <f t="shared" si="3"/>
        <v>45413</v>
      </c>
      <c r="C29" s="75"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2024</v>
      </c>
      <c r="K29" s="78" t="str">
        <f t="shared" si="23"/>
        <v/>
      </c>
      <c r="L29" s="73">
        <f t="shared" si="13"/>
        <v>2036</v>
      </c>
      <c r="M29" s="56">
        <f t="shared" si="14"/>
        <v>0</v>
      </c>
      <c r="N29" s="56">
        <f t="shared" si="8"/>
        <v>0</v>
      </c>
      <c r="O29" s="56">
        <f t="shared" si="24"/>
        <v>0</v>
      </c>
      <c r="P29" s="112" t="e">
        <f t="shared" si="25"/>
        <v>#DIV/0!</v>
      </c>
      <c r="Q29" s="163" t="e">
        <f t="shared" si="9"/>
        <v>#DIV/0!</v>
      </c>
      <c r="R29" s="163">
        <f t="shared" si="10"/>
        <v>0</v>
      </c>
    </row>
    <row r="30" spans="2:20" outlineLevel="1">
      <c r="B30" s="78">
        <f t="shared" si="3"/>
        <v>45444</v>
      </c>
      <c r="C30" s="75"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2024</v>
      </c>
      <c r="K30" s="78" t="str">
        <f t="shared" si="23"/>
        <v/>
      </c>
      <c r="L30" s="73">
        <f t="shared" si="13"/>
        <v>2037</v>
      </c>
      <c r="M30" s="56">
        <f t="shared" si="14"/>
        <v>0</v>
      </c>
      <c r="N30" s="56">
        <f t="shared" si="8"/>
        <v>0</v>
      </c>
      <c r="O30" s="56">
        <f t="shared" si="24"/>
        <v>0</v>
      </c>
      <c r="P30" s="112" t="e">
        <f t="shared" si="25"/>
        <v>#DIV/0!</v>
      </c>
      <c r="Q30" s="163" t="e">
        <f t="shared" si="9"/>
        <v>#DIV/0!</v>
      </c>
      <c r="R30" s="163">
        <f t="shared" si="10"/>
        <v>0</v>
      </c>
    </row>
    <row r="31" spans="2:20" outlineLevel="1">
      <c r="B31" s="78">
        <f t="shared" si="3"/>
        <v>45474</v>
      </c>
      <c r="C31" s="75"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2024</v>
      </c>
      <c r="K31" s="78" t="str">
        <f t="shared" si="23"/>
        <v/>
      </c>
      <c r="L31" s="73">
        <f t="shared" si="13"/>
        <v>2038</v>
      </c>
      <c r="M31" s="56">
        <f t="shared" si="14"/>
        <v>0</v>
      </c>
      <c r="N31" s="56">
        <f t="shared" si="8"/>
        <v>0</v>
      </c>
      <c r="O31" s="56">
        <f t="shared" si="24"/>
        <v>0</v>
      </c>
      <c r="P31" s="112" t="e">
        <f t="shared" si="25"/>
        <v>#DIV/0!</v>
      </c>
      <c r="Q31" s="163" t="e">
        <f t="shared" si="9"/>
        <v>#DIV/0!</v>
      </c>
      <c r="R31" s="163">
        <f t="shared" si="10"/>
        <v>0</v>
      </c>
    </row>
    <row r="32" spans="2:20" outlineLevel="1">
      <c r="B32" s="78">
        <f t="shared" si="3"/>
        <v>45505</v>
      </c>
      <c r="C32" s="75"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2024</v>
      </c>
      <c r="K32" s="78" t="str">
        <f t="shared" si="23"/>
        <v/>
      </c>
      <c r="L32" s="73">
        <f t="shared" si="13"/>
        <v>2039</v>
      </c>
      <c r="M32" s="56">
        <f t="shared" si="14"/>
        <v>0</v>
      </c>
      <c r="N32" s="56">
        <f t="shared" si="8"/>
        <v>0</v>
      </c>
      <c r="O32" s="56">
        <f t="shared" ref="O32:O35" si="26">SUMIF($J$13:$J$264,L32,$F$13:$F$264)</f>
        <v>0</v>
      </c>
      <c r="P32" s="112" t="e">
        <f t="shared" ref="P32:P34" si="27">(M32+N32)/O32</f>
        <v>#DIV/0!</v>
      </c>
      <c r="Q32" s="163" t="e">
        <f t="shared" si="9"/>
        <v>#DIV/0!</v>
      </c>
      <c r="R32" s="163">
        <f t="shared" si="10"/>
        <v>0</v>
      </c>
    </row>
    <row r="33" spans="2:20" outlineLevel="1">
      <c r="B33" s="78">
        <f t="shared" si="3"/>
        <v>45536</v>
      </c>
      <c r="C33" s="75"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2024</v>
      </c>
      <c r="K33" s="78" t="str">
        <f t="shared" si="23"/>
        <v/>
      </c>
      <c r="L33" s="73">
        <f t="shared" si="13"/>
        <v>2040</v>
      </c>
      <c r="M33" s="56">
        <f t="shared" si="14"/>
        <v>0</v>
      </c>
      <c r="N33" s="56">
        <f t="shared" si="8"/>
        <v>0</v>
      </c>
      <c r="O33" s="56">
        <f t="shared" si="26"/>
        <v>0</v>
      </c>
      <c r="P33" s="112" t="e">
        <f t="shared" si="27"/>
        <v>#DIV/0!</v>
      </c>
      <c r="Q33" s="163" t="e">
        <f t="shared" si="9"/>
        <v>#DIV/0!</v>
      </c>
      <c r="R33" s="163">
        <f t="shared" si="10"/>
        <v>0</v>
      </c>
    </row>
    <row r="34" spans="2:20" outlineLevel="1">
      <c r="B34" s="78">
        <f t="shared" si="3"/>
        <v>45566</v>
      </c>
      <c r="C34" s="75"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2024</v>
      </c>
      <c r="K34" s="78" t="str">
        <f t="shared" si="23"/>
        <v/>
      </c>
      <c r="L34" s="73">
        <f t="shared" si="13"/>
        <v>2041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2" t="e">
        <f t="shared" si="27"/>
        <v>#DIV/0!</v>
      </c>
      <c r="Q34" s="163" t="e">
        <f t="shared" ref="Q34" si="28">M34/O34</f>
        <v>#DIV/0!</v>
      </c>
      <c r="R34" s="163">
        <f t="shared" ref="R34" si="29">IFERROR(N34/O34,0)</f>
        <v>0</v>
      </c>
    </row>
    <row r="35" spans="2:20" outlineLevel="1">
      <c r="B35" s="78">
        <f t="shared" si="3"/>
        <v>45597</v>
      </c>
      <c r="C35" s="75"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2024</v>
      </c>
      <c r="K35" s="78" t="str">
        <f t="shared" si="23"/>
        <v/>
      </c>
      <c r="L35" s="73">
        <f t="shared" si="13"/>
        <v>2042</v>
      </c>
      <c r="M35" s="56" t="e">
        <f t="shared" si="14"/>
        <v>#VALUE!</v>
      </c>
      <c r="N35" s="56">
        <f t="shared" si="8"/>
        <v>0</v>
      </c>
      <c r="O35" s="56">
        <f t="shared" si="26"/>
        <v>0</v>
      </c>
      <c r="P35" s="112" t="e">
        <f t="shared" ref="P35" si="30">(M35+N35)/O35</f>
        <v>#VALUE!</v>
      </c>
      <c r="Q35" s="163" t="e">
        <f t="shared" ref="Q35" si="31">M35/O35</f>
        <v>#VALUE!</v>
      </c>
      <c r="R35" s="163">
        <f t="shared" ref="R35" si="32">IFERROR(N35/O35,0)</f>
        <v>0</v>
      </c>
    </row>
    <row r="36" spans="2:20" outlineLevel="1">
      <c r="B36" s="82">
        <f t="shared" si="3"/>
        <v>45627</v>
      </c>
      <c r="C36" s="79"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2024</v>
      </c>
      <c r="K36" s="82" t="str">
        <f t="shared" si="23"/>
        <v/>
      </c>
      <c r="L36" s="73">
        <f t="shared" si="13"/>
        <v>2043</v>
      </c>
      <c r="M36" s="56" t="e">
        <f t="shared" si="14"/>
        <v>#VALUE!</v>
      </c>
      <c r="N36" s="56">
        <f t="shared" si="8"/>
        <v>0</v>
      </c>
      <c r="O36" s="56">
        <f t="shared" ref="O36" si="33">SUMIF($J$13:$J$264,L36,$F$13:$F$264)</f>
        <v>0</v>
      </c>
      <c r="P36" s="112" t="e">
        <f t="shared" ref="P36" si="34">(M36+N36)/O36</f>
        <v>#VALUE!</v>
      </c>
      <c r="Q36" s="163" t="e">
        <f t="shared" ref="Q36" si="35">M36/O36</f>
        <v>#VALUE!</v>
      </c>
      <c r="R36" s="163">
        <f t="shared" ref="R36" si="36">IFERROR(N36/O36,0)</f>
        <v>0</v>
      </c>
    </row>
    <row r="37" spans="2:20" outlineLevel="1">
      <c r="B37" s="74">
        <f t="shared" si="3"/>
        <v>45658</v>
      </c>
      <c r="C37" s="69"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v>0</v>
      </c>
      <c r="G37" s="72" t="e">
        <f t="shared" si="16"/>
        <v>#DIV/0!</v>
      </c>
      <c r="I37" s="60">
        <f>I25+13</f>
        <v>27</v>
      </c>
      <c r="J37" s="73">
        <f t="shared" si="4"/>
        <v>2025</v>
      </c>
      <c r="K37" s="74" t="str">
        <f t="shared" si="23"/>
        <v/>
      </c>
      <c r="L37" s="73">
        <f t="shared" si="13"/>
        <v>2044</v>
      </c>
      <c r="M37" s="56" t="e">
        <f>SUMIF($J$13:$J$276,L37,$C$13:$C$276)</f>
        <v>#VALUE!</v>
      </c>
      <c r="N37" s="56">
        <f>SUMIF($J$13:$J$276,L37,$D$13:$D$276)</f>
        <v>0</v>
      </c>
      <c r="O37" s="56">
        <f>SUMIF($J$13:$J$276,L37,$F$13:$F$276)</f>
        <v>0</v>
      </c>
      <c r="P37" s="112" t="e">
        <f t="shared" ref="P37" si="37">(M37+N37)/O37</f>
        <v>#VALUE!</v>
      </c>
      <c r="Q37" s="163" t="e">
        <f t="shared" ref="Q37" si="38">M37/O37</f>
        <v>#VALUE!</v>
      </c>
      <c r="R37" s="163">
        <f t="shared" ref="R37" si="39">IFERROR(N37/O37,0)</f>
        <v>0</v>
      </c>
    </row>
    <row r="38" spans="2:20" outlineLevel="1">
      <c r="B38" s="78">
        <f t="shared" si="3"/>
        <v>45689</v>
      </c>
      <c r="C38" s="75"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2025</v>
      </c>
      <c r="K38" s="78" t="str">
        <f t="shared" si="23"/>
        <v/>
      </c>
      <c r="L38" s="73">
        <f t="shared" si="13"/>
        <v>2045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63" t="e">
        <f t="shared" ref="Q38:Q41" si="41">M38/O38</f>
        <v>#DIV/0!</v>
      </c>
      <c r="R38" s="163">
        <f t="shared" ref="R38:R41" si="42">IFERROR(N38/O38,0)</f>
        <v>0</v>
      </c>
    </row>
    <row r="39" spans="2:20" outlineLevel="1">
      <c r="B39" s="78">
        <f t="shared" si="3"/>
        <v>45717</v>
      </c>
      <c r="C39" s="75"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2025</v>
      </c>
      <c r="K39" s="78" t="str">
        <f t="shared" si="23"/>
        <v/>
      </c>
      <c r="L39" s="73">
        <f t="shared" si="13"/>
        <v>2046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63" t="e">
        <f t="shared" si="41"/>
        <v>#DIV/0!</v>
      </c>
      <c r="R39" s="163">
        <f t="shared" si="42"/>
        <v>0</v>
      </c>
    </row>
    <row r="40" spans="2:20" outlineLevel="1">
      <c r="B40" s="78">
        <f t="shared" si="3"/>
        <v>45748</v>
      </c>
      <c r="C40" s="75"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2025</v>
      </c>
      <c r="K40" s="78" t="str">
        <f t="shared" si="23"/>
        <v/>
      </c>
      <c r="L40" s="73">
        <f t="shared" si="13"/>
        <v>2047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63" t="e">
        <f t="shared" si="41"/>
        <v>#DIV/0!</v>
      </c>
      <c r="R40" s="163">
        <f t="shared" si="42"/>
        <v>0</v>
      </c>
      <c r="S40" s="58"/>
      <c r="T40" s="91"/>
    </row>
    <row r="41" spans="2:20" outlineLevel="1">
      <c r="B41" s="78">
        <f t="shared" si="3"/>
        <v>45778</v>
      </c>
      <c r="C41" s="75"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2025</v>
      </c>
      <c r="K41" s="78" t="str">
        <f t="shared" si="23"/>
        <v/>
      </c>
      <c r="L41" s="73">
        <f t="shared" si="13"/>
        <v>2048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63" t="e">
        <f t="shared" si="41"/>
        <v>#DIV/0!</v>
      </c>
      <c r="R41" s="163">
        <f t="shared" si="42"/>
        <v>0</v>
      </c>
      <c r="S41" s="58"/>
      <c r="T41" s="91"/>
    </row>
    <row r="42" spans="2:20" outlineLevel="1">
      <c r="B42" s="78">
        <f t="shared" si="3"/>
        <v>45809</v>
      </c>
      <c r="C42" s="75"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2025</v>
      </c>
      <c r="K42" s="78" t="str">
        <f t="shared" si="23"/>
        <v/>
      </c>
      <c r="L42" s="73">
        <f t="shared" si="13"/>
        <v>2049</v>
      </c>
      <c r="P42" s="112"/>
      <c r="Q42" s="163"/>
      <c r="R42" s="163"/>
    </row>
    <row r="43" spans="2:20" outlineLevel="1">
      <c r="B43" s="78">
        <f t="shared" si="3"/>
        <v>45839</v>
      </c>
      <c r="C43" s="75"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2025</v>
      </c>
      <c r="K43" s="78" t="str">
        <f t="shared" si="23"/>
        <v/>
      </c>
    </row>
    <row r="44" spans="2:20" outlineLevel="1">
      <c r="B44" s="78">
        <f t="shared" si="3"/>
        <v>45870</v>
      </c>
      <c r="C44" s="75"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2025</v>
      </c>
      <c r="K44" s="78" t="str">
        <f t="shared" si="23"/>
        <v/>
      </c>
    </row>
    <row r="45" spans="2:20" outlineLevel="1">
      <c r="B45" s="78">
        <f t="shared" si="3"/>
        <v>45901</v>
      </c>
      <c r="C45" s="75"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2025</v>
      </c>
      <c r="K45" s="78" t="str">
        <f t="shared" si="23"/>
        <v/>
      </c>
    </row>
    <row r="46" spans="2:20" outlineLevel="1">
      <c r="B46" s="78">
        <f t="shared" si="3"/>
        <v>45931</v>
      </c>
      <c r="C46" s="75"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2025</v>
      </c>
      <c r="K46" s="78" t="str">
        <f t="shared" si="23"/>
        <v/>
      </c>
    </row>
    <row r="47" spans="2:20" outlineLevel="1">
      <c r="B47" s="78">
        <f t="shared" si="3"/>
        <v>45962</v>
      </c>
      <c r="C47" s="75"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2025</v>
      </c>
      <c r="K47" s="78" t="str">
        <f t="shared" si="23"/>
        <v/>
      </c>
    </row>
    <row r="48" spans="2:20" outlineLevel="1">
      <c r="B48" s="82">
        <f t="shared" si="3"/>
        <v>45992</v>
      </c>
      <c r="C48" s="79"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2025</v>
      </c>
      <c r="K48" s="82" t="str">
        <f t="shared" si="23"/>
        <v/>
      </c>
    </row>
    <row r="49" spans="2:11" outlineLevel="1">
      <c r="B49" s="74">
        <f t="shared" si="3"/>
        <v>46023</v>
      </c>
      <c r="C49" s="69"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v>0</v>
      </c>
      <c r="G49" s="72" t="e">
        <f t="shared" si="16"/>
        <v>#DIV/0!</v>
      </c>
      <c r="I49" s="60">
        <f>I37+13</f>
        <v>40</v>
      </c>
      <c r="J49" s="73">
        <f t="shared" si="4"/>
        <v>2026</v>
      </c>
      <c r="K49" s="74" t="str">
        <f t="shared" si="23"/>
        <v/>
      </c>
    </row>
    <row r="50" spans="2:11" outlineLevel="1">
      <c r="B50" s="78">
        <f t="shared" si="3"/>
        <v>46054</v>
      </c>
      <c r="C50" s="75"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2026</v>
      </c>
      <c r="K50" s="78" t="str">
        <f t="shared" si="23"/>
        <v/>
      </c>
    </row>
    <row r="51" spans="2:11" outlineLevel="1">
      <c r="B51" s="78">
        <f t="shared" si="3"/>
        <v>46082</v>
      </c>
      <c r="C51" s="75"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2026</v>
      </c>
      <c r="K51" s="78" t="str">
        <f t="shared" si="23"/>
        <v/>
      </c>
    </row>
    <row r="52" spans="2:11" outlineLevel="1">
      <c r="B52" s="78">
        <f t="shared" si="3"/>
        <v>46113</v>
      </c>
      <c r="C52" s="75"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2026</v>
      </c>
      <c r="K52" s="78" t="str">
        <f t="shared" si="23"/>
        <v/>
      </c>
    </row>
    <row r="53" spans="2:11" outlineLevel="1">
      <c r="B53" s="78">
        <f t="shared" si="3"/>
        <v>46143</v>
      </c>
      <c r="C53" s="75"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2026</v>
      </c>
      <c r="K53" s="78" t="str">
        <f t="shared" si="23"/>
        <v/>
      </c>
    </row>
    <row r="54" spans="2:11" outlineLevel="1">
      <c r="B54" s="78">
        <f t="shared" si="3"/>
        <v>46174</v>
      </c>
      <c r="C54" s="75"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2026</v>
      </c>
      <c r="K54" s="78" t="str">
        <f t="shared" si="23"/>
        <v/>
      </c>
    </row>
    <row r="55" spans="2:11" outlineLevel="1">
      <c r="B55" s="78">
        <f t="shared" si="3"/>
        <v>46204</v>
      </c>
      <c r="C55" s="75"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2026</v>
      </c>
      <c r="K55" s="78" t="str">
        <f t="shared" si="23"/>
        <v/>
      </c>
    </row>
    <row r="56" spans="2:11" outlineLevel="1">
      <c r="B56" s="78">
        <f t="shared" si="3"/>
        <v>46235</v>
      </c>
      <c r="C56" s="75"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2026</v>
      </c>
      <c r="K56" s="78" t="str">
        <f t="shared" si="23"/>
        <v/>
      </c>
    </row>
    <row r="57" spans="2:11" outlineLevel="1">
      <c r="B57" s="78">
        <f t="shared" si="3"/>
        <v>46266</v>
      </c>
      <c r="C57" s="75"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2026</v>
      </c>
      <c r="K57" s="78" t="str">
        <f t="shared" si="23"/>
        <v/>
      </c>
    </row>
    <row r="58" spans="2:11" outlineLevel="1">
      <c r="B58" s="78">
        <f t="shared" si="3"/>
        <v>46296</v>
      </c>
      <c r="C58" s="75"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2026</v>
      </c>
      <c r="K58" s="78" t="str">
        <f t="shared" si="23"/>
        <v/>
      </c>
    </row>
    <row r="59" spans="2:11" outlineLevel="1">
      <c r="B59" s="78">
        <f t="shared" si="3"/>
        <v>46327</v>
      </c>
      <c r="C59" s="75"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2026</v>
      </c>
      <c r="K59" s="78" t="str">
        <f t="shared" si="23"/>
        <v/>
      </c>
    </row>
    <row r="60" spans="2:11" outlineLevel="1">
      <c r="B60" s="82">
        <f t="shared" si="3"/>
        <v>46357</v>
      </c>
      <c r="C60" s="79"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2026</v>
      </c>
      <c r="K60" s="82" t="str">
        <f t="shared" si="23"/>
        <v/>
      </c>
    </row>
    <row r="61" spans="2:11" outlineLevel="1">
      <c r="B61" s="74">
        <f t="shared" si="3"/>
        <v>46388</v>
      </c>
      <c r="C61" s="69"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v>0</v>
      </c>
      <c r="G61" s="72" t="e">
        <f t="shared" si="16"/>
        <v>#DIV/0!</v>
      </c>
      <c r="I61" s="60">
        <f>I49+13</f>
        <v>53</v>
      </c>
      <c r="J61" s="73">
        <f t="shared" si="4"/>
        <v>2027</v>
      </c>
      <c r="K61" s="74" t="str">
        <f t="shared" si="23"/>
        <v/>
      </c>
    </row>
    <row r="62" spans="2:11" outlineLevel="1">
      <c r="B62" s="78">
        <f t="shared" si="3"/>
        <v>46419</v>
      </c>
      <c r="C62" s="75"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2027</v>
      </c>
      <c r="K62" s="78" t="str">
        <f t="shared" si="23"/>
        <v/>
      </c>
    </row>
    <row r="63" spans="2:11" outlineLevel="1">
      <c r="B63" s="78">
        <f t="shared" si="3"/>
        <v>46447</v>
      </c>
      <c r="C63" s="75"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2027</v>
      </c>
      <c r="K63" s="78" t="str">
        <f t="shared" si="23"/>
        <v/>
      </c>
    </row>
    <row r="64" spans="2:11" outlineLevel="1">
      <c r="B64" s="78">
        <f t="shared" si="3"/>
        <v>46478</v>
      </c>
      <c r="C64" s="75"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2027</v>
      </c>
      <c r="K64" s="78" t="str">
        <f t="shared" si="23"/>
        <v/>
      </c>
    </row>
    <row r="65" spans="2:11" outlineLevel="1">
      <c r="B65" s="78">
        <f t="shared" si="3"/>
        <v>46508</v>
      </c>
      <c r="C65" s="75"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2027</v>
      </c>
      <c r="K65" s="78" t="str">
        <f t="shared" si="23"/>
        <v/>
      </c>
    </row>
    <row r="66" spans="2:11" outlineLevel="1">
      <c r="B66" s="78">
        <f t="shared" si="3"/>
        <v>46539</v>
      </c>
      <c r="C66" s="75"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2027</v>
      </c>
      <c r="K66" s="78" t="str">
        <f t="shared" si="23"/>
        <v/>
      </c>
    </row>
    <row r="67" spans="2:11" outlineLevel="1">
      <c r="B67" s="78">
        <f t="shared" si="3"/>
        <v>46569</v>
      </c>
      <c r="C67" s="75"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2027</v>
      </c>
      <c r="K67" s="78" t="str">
        <f t="shared" si="23"/>
        <v/>
      </c>
    </row>
    <row r="68" spans="2:11" outlineLevel="1">
      <c r="B68" s="78">
        <f t="shared" si="3"/>
        <v>46600</v>
      </c>
      <c r="C68" s="75"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2027</v>
      </c>
      <c r="K68" s="78" t="str">
        <f t="shared" si="23"/>
        <v/>
      </c>
    </row>
    <row r="69" spans="2:11" outlineLevel="1">
      <c r="B69" s="78">
        <f t="shared" si="3"/>
        <v>46631</v>
      </c>
      <c r="C69" s="75"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2027</v>
      </c>
      <c r="K69" s="78" t="str">
        <f t="shared" si="23"/>
        <v/>
      </c>
    </row>
    <row r="70" spans="2:11" outlineLevel="1">
      <c r="B70" s="78">
        <f t="shared" si="3"/>
        <v>46661</v>
      </c>
      <c r="C70" s="75"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2027</v>
      </c>
      <c r="K70" s="78" t="str">
        <f t="shared" si="23"/>
        <v/>
      </c>
    </row>
    <row r="71" spans="2:11" outlineLevel="1">
      <c r="B71" s="78">
        <f t="shared" si="3"/>
        <v>46692</v>
      </c>
      <c r="C71" s="75"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2027</v>
      </c>
      <c r="K71" s="78" t="str">
        <f t="shared" si="23"/>
        <v/>
      </c>
    </row>
    <row r="72" spans="2:11" outlineLevel="1">
      <c r="B72" s="82">
        <f t="shared" si="3"/>
        <v>46722</v>
      </c>
      <c r="C72" s="79"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2027</v>
      </c>
      <c r="K72" s="82" t="str">
        <f t="shared" si="23"/>
        <v/>
      </c>
    </row>
    <row r="73" spans="2:11" outlineLevel="1">
      <c r="B73" s="74">
        <f t="shared" si="3"/>
        <v>46753</v>
      </c>
      <c r="C73" s="69"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v>0</v>
      </c>
      <c r="G73" s="72" t="e">
        <f t="shared" si="16"/>
        <v>#DIV/0!</v>
      </c>
      <c r="I73" s="60">
        <f>I61+13</f>
        <v>66</v>
      </c>
      <c r="J73" s="73">
        <f t="shared" si="4"/>
        <v>2028</v>
      </c>
      <c r="K73" s="74" t="str">
        <f t="shared" si="23"/>
        <v/>
      </c>
    </row>
    <row r="74" spans="2:11" outlineLevel="1">
      <c r="B74" s="78">
        <f t="shared" si="3"/>
        <v>46784</v>
      </c>
      <c r="C74" s="75"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2028</v>
      </c>
      <c r="K74" s="78" t="str">
        <f t="shared" si="23"/>
        <v/>
      </c>
    </row>
    <row r="75" spans="2:11" outlineLevel="1">
      <c r="B75" s="78">
        <f t="shared" si="3"/>
        <v>46813</v>
      </c>
      <c r="C75" s="75"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2028</v>
      </c>
      <c r="K75" s="78" t="str">
        <f t="shared" si="23"/>
        <v/>
      </c>
    </row>
    <row r="76" spans="2:11" outlineLevel="1">
      <c r="B76" s="78">
        <f t="shared" si="3"/>
        <v>46844</v>
      </c>
      <c r="C76" s="75"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2028</v>
      </c>
      <c r="K76" s="78" t="str">
        <f t="shared" si="23"/>
        <v/>
      </c>
    </row>
    <row r="77" spans="2:11" outlineLevel="1">
      <c r="B77" s="78">
        <f t="shared" si="3"/>
        <v>46874</v>
      </c>
      <c r="C77" s="75"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2028</v>
      </c>
      <c r="K77" s="78" t="str">
        <f t="shared" si="23"/>
        <v/>
      </c>
    </row>
    <row r="78" spans="2:11" outlineLevel="1">
      <c r="B78" s="78">
        <f t="shared" ref="B78:B141" si="43">EDATE(B77,1)</f>
        <v>46905</v>
      </c>
      <c r="C78" s="75">
        <v>0</v>
      </c>
      <c r="D78" s="71">
        <f>IF(F78&lt;&gt;0,VLOOKUP($J78,'Table 1'!$B$13:$C$33,2,FALSE)/12*1000*Study_MW,0)</f>
        <v>0</v>
      </c>
      <c r="E78" s="71">
        <f t="shared" ref="E78:E141" si="44">C78+D78</f>
        <v>0</v>
      </c>
      <c r="F78" s="75">
        <v>0</v>
      </c>
      <c r="G78" s="76" t="e">
        <f t="shared" ref="G78:G141" si="45">IF(ISNUMBER($F78),E78/$F78,"")</f>
        <v>#DIV/0!</v>
      </c>
      <c r="I78" s="77">
        <f t="shared" si="22"/>
        <v>71</v>
      </c>
      <c r="J78" s="73">
        <f t="shared" ref="J78:J141" si="46">YEAR(B78)</f>
        <v>2028</v>
      </c>
      <c r="K78" s="78" t="str">
        <f t="shared" si="23"/>
        <v/>
      </c>
    </row>
    <row r="79" spans="2:11" outlineLevel="1">
      <c r="B79" s="78">
        <f t="shared" si="43"/>
        <v>46935</v>
      </c>
      <c r="C79" s="75">
        <v>0</v>
      </c>
      <c r="D79" s="71">
        <f>IF(F79&lt;&gt;0,VLOOKUP($J79,'Table 1'!$B$13:$C$33,2,FALSE)/12*1000*Study_MW,0)</f>
        <v>0</v>
      </c>
      <c r="E79" s="71">
        <f t="shared" si="44"/>
        <v>0</v>
      </c>
      <c r="F79" s="75">
        <v>0</v>
      </c>
      <c r="G79" s="76" t="e">
        <f t="shared" si="45"/>
        <v>#DIV/0!</v>
      </c>
      <c r="I79" s="77">
        <f t="shared" si="22"/>
        <v>72</v>
      </c>
      <c r="J79" s="73">
        <f t="shared" si="46"/>
        <v>2028</v>
      </c>
      <c r="K79" s="78" t="str">
        <f t="shared" si="23"/>
        <v/>
      </c>
    </row>
    <row r="80" spans="2:11" outlineLevel="1">
      <c r="B80" s="78">
        <f t="shared" si="43"/>
        <v>46966</v>
      </c>
      <c r="C80" s="75">
        <v>0</v>
      </c>
      <c r="D80" s="71">
        <f>IF(F80&lt;&gt;0,VLOOKUP($J80,'Table 1'!$B$13:$C$33,2,FALSE)/12*1000*Study_MW,0)</f>
        <v>0</v>
      </c>
      <c r="E80" s="71">
        <f t="shared" si="44"/>
        <v>0</v>
      </c>
      <c r="F80" s="75">
        <v>0</v>
      </c>
      <c r="G80" s="76" t="e">
        <f t="shared" si="45"/>
        <v>#DIV/0!</v>
      </c>
      <c r="I80" s="77">
        <f t="shared" si="22"/>
        <v>73</v>
      </c>
      <c r="J80" s="73">
        <f t="shared" si="46"/>
        <v>2028</v>
      </c>
      <c r="K80" s="78" t="str">
        <f t="shared" si="23"/>
        <v/>
      </c>
    </row>
    <row r="81" spans="2:11" outlineLevel="1">
      <c r="B81" s="78">
        <f t="shared" si="43"/>
        <v>46997</v>
      </c>
      <c r="C81" s="75">
        <v>0</v>
      </c>
      <c r="D81" s="71">
        <f>IF(F81&lt;&gt;0,VLOOKUP($J81,'Table 1'!$B$13:$C$33,2,FALSE)/12*1000*Study_MW,0)</f>
        <v>0</v>
      </c>
      <c r="E81" s="71">
        <f t="shared" si="44"/>
        <v>0</v>
      </c>
      <c r="F81" s="75">
        <v>0</v>
      </c>
      <c r="G81" s="76" t="e">
        <f t="shared" si="45"/>
        <v>#DIV/0!</v>
      </c>
      <c r="I81" s="77">
        <f t="shared" si="22"/>
        <v>74</v>
      </c>
      <c r="J81" s="73">
        <f t="shared" si="46"/>
        <v>2028</v>
      </c>
      <c r="K81" s="78" t="str">
        <f t="shared" si="23"/>
        <v/>
      </c>
    </row>
    <row r="82" spans="2:11" outlineLevel="1">
      <c r="B82" s="78">
        <f t="shared" si="43"/>
        <v>47027</v>
      </c>
      <c r="C82" s="75">
        <v>0</v>
      </c>
      <c r="D82" s="71">
        <f>IF(F82&lt;&gt;0,VLOOKUP($J82,'Table 1'!$B$13:$C$33,2,FALSE)/12*1000*Study_MW,0)</f>
        <v>0</v>
      </c>
      <c r="E82" s="71">
        <f t="shared" si="44"/>
        <v>0</v>
      </c>
      <c r="F82" s="75">
        <v>0</v>
      </c>
      <c r="G82" s="76" t="e">
        <f t="shared" si="45"/>
        <v>#DIV/0!</v>
      </c>
      <c r="I82" s="77">
        <f t="shared" si="22"/>
        <v>75</v>
      </c>
      <c r="J82" s="73">
        <f t="shared" si="46"/>
        <v>2028</v>
      </c>
      <c r="K82" s="78" t="str">
        <f t="shared" si="23"/>
        <v/>
      </c>
    </row>
    <row r="83" spans="2:11" outlineLevel="1">
      <c r="B83" s="78">
        <f t="shared" si="43"/>
        <v>47058</v>
      </c>
      <c r="C83" s="75">
        <v>0</v>
      </c>
      <c r="D83" s="71">
        <f>IF(F83&lt;&gt;0,VLOOKUP($J83,'Table 1'!$B$13:$C$33,2,FALSE)/12*1000*Study_MW,0)</f>
        <v>0</v>
      </c>
      <c r="E83" s="71">
        <f t="shared" si="44"/>
        <v>0</v>
      </c>
      <c r="F83" s="75">
        <v>0</v>
      </c>
      <c r="G83" s="76" t="e">
        <f t="shared" si="45"/>
        <v>#DIV/0!</v>
      </c>
      <c r="I83" s="77">
        <f t="shared" si="22"/>
        <v>76</v>
      </c>
      <c r="J83" s="73">
        <f t="shared" si="46"/>
        <v>2028</v>
      </c>
      <c r="K83" s="78" t="str">
        <f t="shared" si="23"/>
        <v/>
      </c>
    </row>
    <row r="84" spans="2:11" outlineLevel="1">
      <c r="B84" s="82">
        <f t="shared" si="43"/>
        <v>47088</v>
      </c>
      <c r="C84" s="79">
        <v>0</v>
      </c>
      <c r="D84" s="80">
        <f>IF(F84&lt;&gt;0,VLOOKUP($J84,'Table 1'!$B$13:$C$33,2,FALSE)/12*1000*Study_MW,0)</f>
        <v>0</v>
      </c>
      <c r="E84" s="80">
        <f t="shared" si="44"/>
        <v>0</v>
      </c>
      <c r="F84" s="79">
        <v>0</v>
      </c>
      <c r="G84" s="81" t="e">
        <f t="shared" si="45"/>
        <v>#DIV/0!</v>
      </c>
      <c r="I84" s="64">
        <f t="shared" si="22"/>
        <v>77</v>
      </c>
      <c r="J84" s="73">
        <f t="shared" si="46"/>
        <v>2028</v>
      </c>
      <c r="K84" s="82" t="str">
        <f t="shared" si="23"/>
        <v/>
      </c>
    </row>
    <row r="85" spans="2:11" outlineLevel="1">
      <c r="B85" s="74">
        <f t="shared" si="43"/>
        <v>47119</v>
      </c>
      <c r="C85" s="69">
        <v>0</v>
      </c>
      <c r="D85" s="70">
        <f>IF(F85&lt;&gt;0,VLOOKUP($J85,'Table 1'!$B$13:$C$33,2,FALSE)/12*1000*Study_MW,0)</f>
        <v>0</v>
      </c>
      <c r="E85" s="70">
        <f t="shared" si="44"/>
        <v>0</v>
      </c>
      <c r="F85" s="69">
        <v>0</v>
      </c>
      <c r="G85" s="72" t="e">
        <f t="shared" si="45"/>
        <v>#DIV/0!</v>
      </c>
      <c r="I85" s="60">
        <f>I73+13</f>
        <v>79</v>
      </c>
      <c r="J85" s="73">
        <f t="shared" si="46"/>
        <v>2029</v>
      </c>
      <c r="K85" s="74" t="str">
        <f t="shared" si="23"/>
        <v/>
      </c>
    </row>
    <row r="86" spans="2:11" outlineLevel="1">
      <c r="B86" s="78">
        <f t="shared" si="43"/>
        <v>47150</v>
      </c>
      <c r="C86" s="75">
        <v>0</v>
      </c>
      <c r="D86" s="71">
        <f>IF(F86&lt;&gt;0,VLOOKUP($J86,'Table 1'!$B$13:$C$33,2,FALSE)/12*1000*Study_MW,0)</f>
        <v>0</v>
      </c>
      <c r="E86" s="71">
        <f t="shared" si="44"/>
        <v>0</v>
      </c>
      <c r="F86" s="75">
        <v>0</v>
      </c>
      <c r="G86" s="76" t="e">
        <f t="shared" si="45"/>
        <v>#DIV/0!</v>
      </c>
      <c r="I86" s="77">
        <f t="shared" si="22"/>
        <v>80</v>
      </c>
      <c r="J86" s="73">
        <f t="shared" si="46"/>
        <v>2029</v>
      </c>
      <c r="K86" s="78" t="str">
        <f t="shared" si="23"/>
        <v/>
      </c>
    </row>
    <row r="87" spans="2:11" outlineLevel="1">
      <c r="B87" s="78">
        <f t="shared" si="43"/>
        <v>47178</v>
      </c>
      <c r="C87" s="75">
        <v>0</v>
      </c>
      <c r="D87" s="71">
        <f>IF(F87&lt;&gt;0,VLOOKUP($J87,'Table 1'!$B$13:$C$33,2,FALSE)/12*1000*Study_MW,0)</f>
        <v>0</v>
      </c>
      <c r="E87" s="71">
        <f t="shared" si="44"/>
        <v>0</v>
      </c>
      <c r="F87" s="75">
        <v>0</v>
      </c>
      <c r="G87" s="76" t="e">
        <f t="shared" si="45"/>
        <v>#DIV/0!</v>
      </c>
      <c r="I87" s="77">
        <f t="shared" si="22"/>
        <v>81</v>
      </c>
      <c r="J87" s="73">
        <f t="shared" si="46"/>
        <v>2029</v>
      </c>
      <c r="K87" s="78" t="str">
        <f t="shared" si="23"/>
        <v/>
      </c>
    </row>
    <row r="88" spans="2:11" outlineLevel="1">
      <c r="B88" s="78">
        <f t="shared" si="43"/>
        <v>47209</v>
      </c>
      <c r="C88" s="75">
        <v>0</v>
      </c>
      <c r="D88" s="71">
        <f>IF(F88&lt;&gt;0,VLOOKUP($J88,'Table 1'!$B$13:$C$33,2,FALSE)/12*1000*Study_MW,0)</f>
        <v>0</v>
      </c>
      <c r="E88" s="71">
        <f t="shared" si="44"/>
        <v>0</v>
      </c>
      <c r="F88" s="75">
        <v>0</v>
      </c>
      <c r="G88" s="76" t="e">
        <f t="shared" si="45"/>
        <v>#DIV/0!</v>
      </c>
      <c r="I88" s="77">
        <f t="shared" si="22"/>
        <v>82</v>
      </c>
      <c r="J88" s="73">
        <f t="shared" si="46"/>
        <v>2029</v>
      </c>
      <c r="K88" s="78" t="str">
        <f t="shared" si="23"/>
        <v/>
      </c>
    </row>
    <row r="89" spans="2:11" outlineLevel="1">
      <c r="B89" s="78">
        <f t="shared" si="43"/>
        <v>47239</v>
      </c>
      <c r="C89" s="75">
        <v>0</v>
      </c>
      <c r="D89" s="71">
        <f>IF(F89&lt;&gt;0,VLOOKUP($J89,'Table 1'!$B$13:$C$33,2,FALSE)/12*1000*Study_MW,0)</f>
        <v>0</v>
      </c>
      <c r="E89" s="71">
        <f t="shared" si="44"/>
        <v>0</v>
      </c>
      <c r="F89" s="75">
        <v>0</v>
      </c>
      <c r="G89" s="76" t="e">
        <f t="shared" si="45"/>
        <v>#DIV/0!</v>
      </c>
      <c r="I89" s="77">
        <f t="shared" si="22"/>
        <v>83</v>
      </c>
      <c r="J89" s="73">
        <f t="shared" si="46"/>
        <v>2029</v>
      </c>
      <c r="K89" s="78" t="str">
        <f t="shared" si="23"/>
        <v/>
      </c>
    </row>
    <row r="90" spans="2:11" outlineLevel="1">
      <c r="B90" s="78">
        <f t="shared" si="43"/>
        <v>47270</v>
      </c>
      <c r="C90" s="75">
        <v>0</v>
      </c>
      <c r="D90" s="71">
        <f>IF(F90&lt;&gt;0,VLOOKUP($J90,'Table 1'!$B$13:$C$33,2,FALSE)/12*1000*Study_MW,0)</f>
        <v>0</v>
      </c>
      <c r="E90" s="71">
        <f t="shared" si="44"/>
        <v>0</v>
      </c>
      <c r="F90" s="75">
        <v>0</v>
      </c>
      <c r="G90" s="76" t="e">
        <f t="shared" si="45"/>
        <v>#DIV/0!</v>
      </c>
      <c r="I90" s="77">
        <f t="shared" ref="I90:I96" si="47">I78+13</f>
        <v>84</v>
      </c>
      <c r="J90" s="73">
        <f t="shared" si="46"/>
        <v>2029</v>
      </c>
      <c r="K90" s="78" t="str">
        <f t="shared" ref="K90:K153" si="48">IF(ISNUMBER(F90),IF(F90&lt;&gt;0,B90,""),"")</f>
        <v/>
      </c>
    </row>
    <row r="91" spans="2:11" outlineLevel="1">
      <c r="B91" s="78">
        <f t="shared" si="43"/>
        <v>47300</v>
      </c>
      <c r="C91" s="75">
        <v>0</v>
      </c>
      <c r="D91" s="71">
        <f>IF(F91&lt;&gt;0,VLOOKUP($J91,'Table 1'!$B$13:$C$33,2,FALSE)/12*1000*Study_MW,0)</f>
        <v>0</v>
      </c>
      <c r="E91" s="71">
        <f t="shared" si="44"/>
        <v>0</v>
      </c>
      <c r="F91" s="75">
        <v>0</v>
      </c>
      <c r="G91" s="76" t="e">
        <f t="shared" si="45"/>
        <v>#DIV/0!</v>
      </c>
      <c r="I91" s="77">
        <f t="shared" si="47"/>
        <v>85</v>
      </c>
      <c r="J91" s="73">
        <f t="shared" si="46"/>
        <v>2029</v>
      </c>
      <c r="K91" s="78" t="str">
        <f t="shared" si="48"/>
        <v/>
      </c>
    </row>
    <row r="92" spans="2:11" outlineLevel="1">
      <c r="B92" s="78">
        <f t="shared" si="43"/>
        <v>47331</v>
      </c>
      <c r="C92" s="75">
        <v>0</v>
      </c>
      <c r="D92" s="71">
        <f>IF(F92&lt;&gt;0,VLOOKUP($J92,'Table 1'!$B$13:$C$33,2,FALSE)/12*1000*Study_MW,0)</f>
        <v>0</v>
      </c>
      <c r="E92" s="71">
        <f t="shared" si="44"/>
        <v>0</v>
      </c>
      <c r="F92" s="75">
        <v>0</v>
      </c>
      <c r="G92" s="76" t="e">
        <f t="shared" si="45"/>
        <v>#DIV/0!</v>
      </c>
      <c r="I92" s="77">
        <f t="shared" si="47"/>
        <v>86</v>
      </c>
      <c r="J92" s="73">
        <f t="shared" si="46"/>
        <v>2029</v>
      </c>
      <c r="K92" s="78" t="str">
        <f t="shared" si="48"/>
        <v/>
      </c>
    </row>
    <row r="93" spans="2:11" outlineLevel="1">
      <c r="B93" s="78">
        <f t="shared" si="43"/>
        <v>47362</v>
      </c>
      <c r="C93" s="75">
        <v>0</v>
      </c>
      <c r="D93" s="71">
        <f>IF(F93&lt;&gt;0,VLOOKUP($J93,'Table 1'!$B$13:$C$33,2,FALSE)/12*1000*Study_MW,0)</f>
        <v>0</v>
      </c>
      <c r="E93" s="71">
        <f t="shared" si="44"/>
        <v>0</v>
      </c>
      <c r="F93" s="75">
        <v>0</v>
      </c>
      <c r="G93" s="76" t="e">
        <f t="shared" si="45"/>
        <v>#DIV/0!</v>
      </c>
      <c r="I93" s="77">
        <f t="shared" si="47"/>
        <v>87</v>
      </c>
      <c r="J93" s="73">
        <f t="shared" si="46"/>
        <v>2029</v>
      </c>
      <c r="K93" s="78" t="str">
        <f t="shared" si="48"/>
        <v/>
      </c>
    </row>
    <row r="94" spans="2:11" outlineLevel="1">
      <c r="B94" s="78">
        <f t="shared" si="43"/>
        <v>47392</v>
      </c>
      <c r="C94" s="75">
        <v>0</v>
      </c>
      <c r="D94" s="71">
        <f>IF(F94&lt;&gt;0,VLOOKUP($J94,'Table 1'!$B$13:$C$33,2,FALSE)/12*1000*Study_MW,0)</f>
        <v>0</v>
      </c>
      <c r="E94" s="71">
        <f t="shared" si="44"/>
        <v>0</v>
      </c>
      <c r="F94" s="75">
        <v>0</v>
      </c>
      <c r="G94" s="76" t="e">
        <f t="shared" si="45"/>
        <v>#DIV/0!</v>
      </c>
      <c r="I94" s="77">
        <f t="shared" si="47"/>
        <v>88</v>
      </c>
      <c r="J94" s="73">
        <f t="shared" si="46"/>
        <v>2029</v>
      </c>
      <c r="K94" s="78" t="str">
        <f t="shared" si="48"/>
        <v/>
      </c>
    </row>
    <row r="95" spans="2:11" outlineLevel="1">
      <c r="B95" s="78">
        <f t="shared" si="43"/>
        <v>47423</v>
      </c>
      <c r="C95" s="75">
        <v>0</v>
      </c>
      <c r="D95" s="71">
        <f>IF(F95&lt;&gt;0,VLOOKUP($J95,'Table 1'!$B$13:$C$33,2,FALSE)/12*1000*Study_MW,0)</f>
        <v>0</v>
      </c>
      <c r="E95" s="71">
        <f t="shared" si="44"/>
        <v>0</v>
      </c>
      <c r="F95" s="75">
        <v>0</v>
      </c>
      <c r="G95" s="76" t="e">
        <f t="shared" si="45"/>
        <v>#DIV/0!</v>
      </c>
      <c r="I95" s="77">
        <f t="shared" si="47"/>
        <v>89</v>
      </c>
      <c r="J95" s="73">
        <f t="shared" si="46"/>
        <v>2029</v>
      </c>
      <c r="K95" s="78" t="str">
        <f t="shared" si="48"/>
        <v/>
      </c>
    </row>
    <row r="96" spans="2:11" outlineLevel="1">
      <c r="B96" s="82">
        <f t="shared" si="43"/>
        <v>47453</v>
      </c>
      <c r="C96" s="79">
        <v>0</v>
      </c>
      <c r="D96" s="80">
        <f>IF(F96&lt;&gt;0,VLOOKUP($J96,'Table 1'!$B$13:$C$33,2,FALSE)/12*1000*Study_MW,0)</f>
        <v>0</v>
      </c>
      <c r="E96" s="80">
        <f t="shared" si="44"/>
        <v>0</v>
      </c>
      <c r="F96" s="79">
        <v>0</v>
      </c>
      <c r="G96" s="81" t="e">
        <f t="shared" si="45"/>
        <v>#DIV/0!</v>
      </c>
      <c r="I96" s="64">
        <f t="shared" si="47"/>
        <v>90</v>
      </c>
      <c r="J96" s="73">
        <f t="shared" si="46"/>
        <v>2029</v>
      </c>
      <c r="K96" s="82" t="str">
        <f t="shared" si="48"/>
        <v/>
      </c>
    </row>
    <row r="97" spans="2:11" outlineLevel="1">
      <c r="B97" s="74">
        <f t="shared" si="43"/>
        <v>47484</v>
      </c>
      <c r="C97" s="69">
        <v>0</v>
      </c>
      <c r="D97" s="70">
        <f>IF(F97&lt;&gt;0,VLOOKUP($J97,'Table 1'!$B$13:$C$33,2,FALSE)/12*1000*Study_MW,0)</f>
        <v>0</v>
      </c>
      <c r="E97" s="70">
        <f t="shared" si="44"/>
        <v>0</v>
      </c>
      <c r="F97" s="69">
        <v>0</v>
      </c>
      <c r="G97" s="72" t="e">
        <f t="shared" si="45"/>
        <v>#DIV/0!</v>
      </c>
      <c r="I97" s="60">
        <f>I85+13</f>
        <v>92</v>
      </c>
      <c r="J97" s="73">
        <f t="shared" si="46"/>
        <v>2030</v>
      </c>
      <c r="K97" s="74" t="str">
        <f t="shared" si="48"/>
        <v/>
      </c>
    </row>
    <row r="98" spans="2:11" outlineLevel="1">
      <c r="B98" s="78">
        <f t="shared" si="43"/>
        <v>47515</v>
      </c>
      <c r="C98" s="75">
        <v>0</v>
      </c>
      <c r="D98" s="71">
        <f>IF(F98&lt;&gt;0,VLOOKUP($J98,'Table 1'!$B$13:$C$33,2,FALSE)/12*1000*Study_MW,0)</f>
        <v>0</v>
      </c>
      <c r="E98" s="71">
        <f t="shared" si="44"/>
        <v>0</v>
      </c>
      <c r="F98" s="75">
        <v>0</v>
      </c>
      <c r="G98" s="76" t="e">
        <f t="shared" si="45"/>
        <v>#DIV/0!</v>
      </c>
      <c r="I98" s="77">
        <f t="shared" ref="I98:I120" si="49">I86+13</f>
        <v>93</v>
      </c>
      <c r="J98" s="73">
        <f t="shared" si="46"/>
        <v>2030</v>
      </c>
      <c r="K98" s="78" t="str">
        <f t="shared" si="48"/>
        <v/>
      </c>
    </row>
    <row r="99" spans="2:11" outlineLevel="1">
      <c r="B99" s="78">
        <f t="shared" si="43"/>
        <v>47543</v>
      </c>
      <c r="C99" s="75">
        <v>0</v>
      </c>
      <c r="D99" s="71">
        <f>IF(F99&lt;&gt;0,VLOOKUP($J99,'Table 1'!$B$13:$C$33,2,FALSE)/12*1000*Study_MW,0)</f>
        <v>0</v>
      </c>
      <c r="E99" s="71">
        <f t="shared" si="44"/>
        <v>0</v>
      </c>
      <c r="F99" s="75">
        <v>0</v>
      </c>
      <c r="G99" s="76" t="e">
        <f t="shared" si="45"/>
        <v>#DIV/0!</v>
      </c>
      <c r="I99" s="77">
        <f t="shared" si="49"/>
        <v>94</v>
      </c>
      <c r="J99" s="73">
        <f t="shared" si="46"/>
        <v>2030</v>
      </c>
      <c r="K99" s="78" t="str">
        <f t="shared" si="48"/>
        <v/>
      </c>
    </row>
    <row r="100" spans="2:11" outlineLevel="1">
      <c r="B100" s="78">
        <f t="shared" si="43"/>
        <v>47574</v>
      </c>
      <c r="C100" s="75">
        <v>0</v>
      </c>
      <c r="D100" s="71">
        <f>IF(F100&lt;&gt;0,VLOOKUP($J100,'Table 1'!$B$13:$C$33,2,FALSE)/12*1000*Study_MW,0)</f>
        <v>0</v>
      </c>
      <c r="E100" s="71">
        <f t="shared" si="44"/>
        <v>0</v>
      </c>
      <c r="F100" s="75">
        <v>0</v>
      </c>
      <c r="G100" s="76" t="e">
        <f t="shared" si="45"/>
        <v>#DIV/0!</v>
      </c>
      <c r="I100" s="77">
        <f t="shared" si="49"/>
        <v>95</v>
      </c>
      <c r="J100" s="73">
        <f t="shared" si="46"/>
        <v>2030</v>
      </c>
      <c r="K100" s="78" t="str">
        <f t="shared" si="48"/>
        <v/>
      </c>
    </row>
    <row r="101" spans="2:11" outlineLevel="1">
      <c r="B101" s="78">
        <f t="shared" si="43"/>
        <v>47604</v>
      </c>
      <c r="C101" s="75">
        <v>0</v>
      </c>
      <c r="D101" s="71">
        <f>IF(F101&lt;&gt;0,VLOOKUP($J101,'Table 1'!$B$13:$C$33,2,FALSE)/12*1000*Study_MW,0)</f>
        <v>0</v>
      </c>
      <c r="E101" s="71">
        <f t="shared" si="44"/>
        <v>0</v>
      </c>
      <c r="F101" s="75">
        <v>0</v>
      </c>
      <c r="G101" s="76" t="e">
        <f t="shared" si="45"/>
        <v>#DIV/0!</v>
      </c>
      <c r="I101" s="77">
        <f t="shared" si="49"/>
        <v>96</v>
      </c>
      <c r="J101" s="73">
        <f t="shared" si="46"/>
        <v>2030</v>
      </c>
      <c r="K101" s="78" t="str">
        <f t="shared" si="48"/>
        <v/>
      </c>
    </row>
    <row r="102" spans="2:11" outlineLevel="1">
      <c r="B102" s="78">
        <f t="shared" si="43"/>
        <v>47635</v>
      </c>
      <c r="C102" s="75">
        <v>0</v>
      </c>
      <c r="D102" s="71">
        <f>IF(F102&lt;&gt;0,VLOOKUP($J102,'Table 1'!$B$13:$C$33,2,FALSE)/12*1000*Study_MW,0)</f>
        <v>0</v>
      </c>
      <c r="E102" s="71">
        <f t="shared" si="44"/>
        <v>0</v>
      </c>
      <c r="F102" s="75">
        <v>0</v>
      </c>
      <c r="G102" s="76" t="e">
        <f t="shared" si="45"/>
        <v>#DIV/0!</v>
      </c>
      <c r="I102" s="77">
        <f t="shared" si="49"/>
        <v>97</v>
      </c>
      <c r="J102" s="73">
        <f t="shared" si="46"/>
        <v>2030</v>
      </c>
      <c r="K102" s="78" t="str">
        <f t="shared" si="48"/>
        <v/>
      </c>
    </row>
    <row r="103" spans="2:11" outlineLevel="1">
      <c r="B103" s="78">
        <f t="shared" si="43"/>
        <v>47665</v>
      </c>
      <c r="C103" s="75">
        <v>0</v>
      </c>
      <c r="D103" s="71">
        <f>IF(F103&lt;&gt;0,VLOOKUP($J103,'Table 1'!$B$13:$C$33,2,FALSE)/12*1000*Study_MW,0)</f>
        <v>0</v>
      </c>
      <c r="E103" s="71">
        <f t="shared" si="44"/>
        <v>0</v>
      </c>
      <c r="F103" s="75">
        <v>0</v>
      </c>
      <c r="G103" s="76" t="e">
        <f t="shared" si="45"/>
        <v>#DIV/0!</v>
      </c>
      <c r="I103" s="77">
        <f t="shared" si="49"/>
        <v>98</v>
      </c>
      <c r="J103" s="73">
        <f t="shared" si="46"/>
        <v>2030</v>
      </c>
      <c r="K103" s="78" t="str">
        <f t="shared" si="48"/>
        <v/>
      </c>
    </row>
    <row r="104" spans="2:11" outlineLevel="1">
      <c r="B104" s="78">
        <f t="shared" si="43"/>
        <v>47696</v>
      </c>
      <c r="C104" s="75">
        <v>0</v>
      </c>
      <c r="D104" s="71">
        <f>IF(F104&lt;&gt;0,VLOOKUP($J104,'Table 1'!$B$13:$C$33,2,FALSE)/12*1000*Study_MW,0)</f>
        <v>0</v>
      </c>
      <c r="E104" s="71">
        <f t="shared" si="44"/>
        <v>0</v>
      </c>
      <c r="F104" s="75">
        <v>0</v>
      </c>
      <c r="G104" s="76" t="e">
        <f t="shared" si="45"/>
        <v>#DIV/0!</v>
      </c>
      <c r="I104" s="77">
        <f t="shared" si="49"/>
        <v>99</v>
      </c>
      <c r="J104" s="73">
        <f t="shared" si="46"/>
        <v>2030</v>
      </c>
      <c r="K104" s="78" t="str">
        <f t="shared" si="48"/>
        <v/>
      </c>
    </row>
    <row r="105" spans="2:11" outlineLevel="1">
      <c r="B105" s="78">
        <f t="shared" si="43"/>
        <v>47727</v>
      </c>
      <c r="C105" s="75">
        <v>0</v>
      </c>
      <c r="D105" s="71">
        <f>IF(F105&lt;&gt;0,VLOOKUP($J105,'Table 1'!$B$13:$C$33,2,FALSE)/12*1000*Study_MW,0)</f>
        <v>0</v>
      </c>
      <c r="E105" s="71">
        <f t="shared" si="44"/>
        <v>0</v>
      </c>
      <c r="F105" s="75">
        <v>0</v>
      </c>
      <c r="G105" s="76" t="e">
        <f t="shared" si="45"/>
        <v>#DIV/0!</v>
      </c>
      <c r="I105" s="77">
        <f t="shared" si="49"/>
        <v>100</v>
      </c>
      <c r="J105" s="73">
        <f t="shared" si="46"/>
        <v>2030</v>
      </c>
      <c r="K105" s="78" t="str">
        <f t="shared" si="48"/>
        <v/>
      </c>
    </row>
    <row r="106" spans="2:11" outlineLevel="1">
      <c r="B106" s="78">
        <f t="shared" si="43"/>
        <v>47757</v>
      </c>
      <c r="C106" s="75">
        <v>0</v>
      </c>
      <c r="D106" s="71">
        <f>IF(F106&lt;&gt;0,VLOOKUP($J106,'Table 1'!$B$13:$C$33,2,FALSE)/12*1000*Study_MW,0)</f>
        <v>0</v>
      </c>
      <c r="E106" s="71">
        <f t="shared" si="44"/>
        <v>0</v>
      </c>
      <c r="F106" s="75">
        <v>0</v>
      </c>
      <c r="G106" s="76" t="e">
        <f t="shared" si="45"/>
        <v>#DIV/0!</v>
      </c>
      <c r="I106" s="77">
        <f t="shared" si="49"/>
        <v>101</v>
      </c>
      <c r="J106" s="73">
        <f t="shared" si="46"/>
        <v>2030</v>
      </c>
      <c r="K106" s="78" t="str">
        <f t="shared" si="48"/>
        <v/>
      </c>
    </row>
    <row r="107" spans="2:11" outlineLevel="1">
      <c r="B107" s="78">
        <f t="shared" si="43"/>
        <v>47788</v>
      </c>
      <c r="C107" s="75">
        <v>0</v>
      </c>
      <c r="D107" s="71">
        <f>IF(F107&lt;&gt;0,VLOOKUP($J107,'Table 1'!$B$13:$C$33,2,FALSE)/12*1000*Study_MW,0)</f>
        <v>0</v>
      </c>
      <c r="E107" s="71">
        <f t="shared" si="44"/>
        <v>0</v>
      </c>
      <c r="F107" s="75">
        <v>0</v>
      </c>
      <c r="G107" s="76" t="e">
        <f t="shared" si="45"/>
        <v>#DIV/0!</v>
      </c>
      <c r="I107" s="77">
        <f t="shared" si="49"/>
        <v>102</v>
      </c>
      <c r="J107" s="73">
        <f t="shared" si="46"/>
        <v>2030</v>
      </c>
      <c r="K107" s="78" t="str">
        <f t="shared" si="48"/>
        <v/>
      </c>
    </row>
    <row r="108" spans="2:11" outlineLevel="1">
      <c r="B108" s="82">
        <f t="shared" si="43"/>
        <v>47818</v>
      </c>
      <c r="C108" s="79">
        <v>0</v>
      </c>
      <c r="D108" s="80">
        <f>IF(F108&lt;&gt;0,VLOOKUP($J108,'Table 1'!$B$13:$C$33,2,FALSE)/12*1000*Study_MW,0)</f>
        <v>0</v>
      </c>
      <c r="E108" s="80">
        <f t="shared" si="44"/>
        <v>0</v>
      </c>
      <c r="F108" s="79">
        <v>0</v>
      </c>
      <c r="G108" s="81" t="e">
        <f t="shared" si="45"/>
        <v>#DIV/0!</v>
      </c>
      <c r="I108" s="64">
        <f t="shared" si="49"/>
        <v>103</v>
      </c>
      <c r="J108" s="73">
        <f t="shared" si="46"/>
        <v>2030</v>
      </c>
      <c r="K108" s="82" t="str">
        <f t="shared" si="48"/>
        <v/>
      </c>
    </row>
    <row r="109" spans="2:11" outlineLevel="1">
      <c r="B109" s="74">
        <f t="shared" si="43"/>
        <v>47849</v>
      </c>
      <c r="C109" s="69">
        <v>0</v>
      </c>
      <c r="D109" s="70">
        <f>IF(F109&lt;&gt;0,VLOOKUP($J109,'Table 1'!$B$13:$C$33,2,FALSE)/12*1000*Study_MW,0)</f>
        <v>0</v>
      </c>
      <c r="E109" s="70">
        <f t="shared" si="44"/>
        <v>0</v>
      </c>
      <c r="F109" s="69">
        <v>0</v>
      </c>
      <c r="G109" s="72" t="e">
        <f t="shared" si="45"/>
        <v>#DIV/0!</v>
      </c>
      <c r="I109" s="60">
        <f>I97+13</f>
        <v>105</v>
      </c>
      <c r="J109" s="73">
        <f t="shared" si="46"/>
        <v>2031</v>
      </c>
      <c r="K109" s="74" t="str">
        <f t="shared" si="48"/>
        <v/>
      </c>
    </row>
    <row r="110" spans="2:11" outlineLevel="1">
      <c r="B110" s="78">
        <f t="shared" si="43"/>
        <v>47880</v>
      </c>
      <c r="C110" s="75">
        <v>0</v>
      </c>
      <c r="D110" s="71">
        <f>IF(F110&lt;&gt;0,VLOOKUP($J110,'Table 1'!$B$13:$C$33,2,FALSE)/12*1000*Study_MW,0)</f>
        <v>0</v>
      </c>
      <c r="E110" s="71">
        <f t="shared" si="44"/>
        <v>0</v>
      </c>
      <c r="F110" s="75">
        <v>0</v>
      </c>
      <c r="G110" s="76" t="e">
        <f t="shared" si="45"/>
        <v>#DIV/0!</v>
      </c>
      <c r="I110" s="77">
        <f t="shared" si="49"/>
        <v>106</v>
      </c>
      <c r="J110" s="73">
        <f t="shared" si="46"/>
        <v>2031</v>
      </c>
      <c r="K110" s="78" t="str">
        <f t="shared" si="48"/>
        <v/>
      </c>
    </row>
    <row r="111" spans="2:11" outlineLevel="1">
      <c r="B111" s="78">
        <f t="shared" si="43"/>
        <v>47908</v>
      </c>
      <c r="C111" s="75">
        <v>0</v>
      </c>
      <c r="D111" s="71">
        <f>IF(F111&lt;&gt;0,VLOOKUP($J111,'Table 1'!$B$13:$C$33,2,FALSE)/12*1000*Study_MW,0)</f>
        <v>0</v>
      </c>
      <c r="E111" s="71">
        <f t="shared" si="44"/>
        <v>0</v>
      </c>
      <c r="F111" s="75">
        <v>0</v>
      </c>
      <c r="G111" s="76" t="e">
        <f t="shared" si="45"/>
        <v>#DIV/0!</v>
      </c>
      <c r="I111" s="77">
        <f t="shared" si="49"/>
        <v>107</v>
      </c>
      <c r="J111" s="73">
        <f t="shared" si="46"/>
        <v>2031</v>
      </c>
      <c r="K111" s="78" t="str">
        <f t="shared" si="48"/>
        <v/>
      </c>
    </row>
    <row r="112" spans="2:11" outlineLevel="1">
      <c r="B112" s="78">
        <f t="shared" si="43"/>
        <v>47939</v>
      </c>
      <c r="C112" s="75">
        <v>0</v>
      </c>
      <c r="D112" s="71">
        <f>IF(F112&lt;&gt;0,VLOOKUP($J112,'Table 1'!$B$13:$C$33,2,FALSE)/12*1000*Study_MW,0)</f>
        <v>0</v>
      </c>
      <c r="E112" s="71">
        <f t="shared" si="44"/>
        <v>0</v>
      </c>
      <c r="F112" s="75">
        <v>0</v>
      </c>
      <c r="G112" s="76" t="e">
        <f t="shared" si="45"/>
        <v>#DIV/0!</v>
      </c>
      <c r="I112" s="77">
        <f t="shared" si="49"/>
        <v>108</v>
      </c>
      <c r="J112" s="73">
        <f t="shared" si="46"/>
        <v>2031</v>
      </c>
      <c r="K112" s="78" t="str">
        <f t="shared" si="48"/>
        <v/>
      </c>
    </row>
    <row r="113" spans="2:11" outlineLevel="1">
      <c r="B113" s="78">
        <f t="shared" si="43"/>
        <v>47969</v>
      </c>
      <c r="C113" s="75">
        <v>0</v>
      </c>
      <c r="D113" s="71">
        <f>IF(F113&lt;&gt;0,VLOOKUP($J113,'Table 1'!$B$13:$C$33,2,FALSE)/12*1000*Study_MW,0)</f>
        <v>0</v>
      </c>
      <c r="E113" s="71">
        <f t="shared" si="44"/>
        <v>0</v>
      </c>
      <c r="F113" s="75">
        <v>0</v>
      </c>
      <c r="G113" s="76" t="e">
        <f t="shared" si="45"/>
        <v>#DIV/0!</v>
      </c>
      <c r="I113" s="77">
        <f t="shared" si="49"/>
        <v>109</v>
      </c>
      <c r="J113" s="73">
        <f t="shared" si="46"/>
        <v>2031</v>
      </c>
      <c r="K113" s="78" t="str">
        <f t="shared" si="48"/>
        <v/>
      </c>
    </row>
    <row r="114" spans="2:11" outlineLevel="1">
      <c r="B114" s="78">
        <f t="shared" si="43"/>
        <v>48000</v>
      </c>
      <c r="C114" s="75">
        <v>0</v>
      </c>
      <c r="D114" s="71">
        <f>IF(F114&lt;&gt;0,VLOOKUP($J114,'Table 1'!$B$13:$C$33,2,FALSE)/12*1000*Study_MW,0)</f>
        <v>0</v>
      </c>
      <c r="E114" s="71">
        <f t="shared" si="44"/>
        <v>0</v>
      </c>
      <c r="F114" s="75">
        <v>0</v>
      </c>
      <c r="G114" s="76" t="e">
        <f t="shared" si="45"/>
        <v>#DIV/0!</v>
      </c>
      <c r="I114" s="77">
        <f t="shared" si="49"/>
        <v>110</v>
      </c>
      <c r="J114" s="73">
        <f t="shared" si="46"/>
        <v>2031</v>
      </c>
      <c r="K114" s="78" t="str">
        <f t="shared" si="48"/>
        <v/>
      </c>
    </row>
    <row r="115" spans="2:11" outlineLevel="1">
      <c r="B115" s="78">
        <f t="shared" si="43"/>
        <v>48030</v>
      </c>
      <c r="C115" s="75">
        <v>0</v>
      </c>
      <c r="D115" s="71">
        <f>IF(F115&lt;&gt;0,VLOOKUP($J115,'Table 1'!$B$13:$C$33,2,FALSE)/12*1000*Study_MW,0)</f>
        <v>0</v>
      </c>
      <c r="E115" s="71">
        <f t="shared" si="44"/>
        <v>0</v>
      </c>
      <c r="F115" s="75">
        <v>0</v>
      </c>
      <c r="G115" s="76" t="e">
        <f t="shared" si="45"/>
        <v>#DIV/0!</v>
      </c>
      <c r="I115" s="77">
        <f t="shared" si="49"/>
        <v>111</v>
      </c>
      <c r="J115" s="73">
        <f t="shared" si="46"/>
        <v>2031</v>
      </c>
      <c r="K115" s="78" t="str">
        <f t="shared" si="48"/>
        <v/>
      </c>
    </row>
    <row r="116" spans="2:11" outlineLevel="1">
      <c r="B116" s="78">
        <f t="shared" si="43"/>
        <v>48061</v>
      </c>
      <c r="C116" s="75">
        <v>0</v>
      </c>
      <c r="D116" s="71">
        <f>IF(F116&lt;&gt;0,VLOOKUP($J116,'Table 1'!$B$13:$C$33,2,FALSE)/12*1000*Study_MW,0)</f>
        <v>0</v>
      </c>
      <c r="E116" s="71">
        <f t="shared" si="44"/>
        <v>0</v>
      </c>
      <c r="F116" s="75">
        <v>0</v>
      </c>
      <c r="G116" s="76" t="e">
        <f t="shared" si="45"/>
        <v>#DIV/0!</v>
      </c>
      <c r="I116" s="77">
        <f t="shared" si="49"/>
        <v>112</v>
      </c>
      <c r="J116" s="73">
        <f t="shared" si="46"/>
        <v>2031</v>
      </c>
      <c r="K116" s="78" t="str">
        <f t="shared" si="48"/>
        <v/>
      </c>
    </row>
    <row r="117" spans="2:11" outlineLevel="1">
      <c r="B117" s="78">
        <f t="shared" si="43"/>
        <v>48092</v>
      </c>
      <c r="C117" s="75">
        <v>0</v>
      </c>
      <c r="D117" s="71">
        <f>IF(F117&lt;&gt;0,VLOOKUP($J117,'Table 1'!$B$13:$C$33,2,FALSE)/12*1000*Study_MW,0)</f>
        <v>0</v>
      </c>
      <c r="E117" s="71">
        <f t="shared" si="44"/>
        <v>0</v>
      </c>
      <c r="F117" s="75">
        <v>0</v>
      </c>
      <c r="G117" s="76" t="e">
        <f t="shared" si="45"/>
        <v>#DIV/0!</v>
      </c>
      <c r="I117" s="77">
        <f t="shared" si="49"/>
        <v>113</v>
      </c>
      <c r="J117" s="73">
        <f t="shared" si="46"/>
        <v>2031</v>
      </c>
      <c r="K117" s="78" t="str">
        <f t="shared" si="48"/>
        <v/>
      </c>
    </row>
    <row r="118" spans="2:11" outlineLevel="1">
      <c r="B118" s="78">
        <f t="shared" si="43"/>
        <v>48122</v>
      </c>
      <c r="C118" s="75">
        <v>0</v>
      </c>
      <c r="D118" s="71">
        <f>IF(F118&lt;&gt;0,VLOOKUP($J118,'Table 1'!$B$13:$C$33,2,FALSE)/12*1000*Study_MW,0)</f>
        <v>0</v>
      </c>
      <c r="E118" s="71">
        <f t="shared" si="44"/>
        <v>0</v>
      </c>
      <c r="F118" s="75">
        <v>0</v>
      </c>
      <c r="G118" s="76" t="e">
        <f t="shared" si="45"/>
        <v>#DIV/0!</v>
      </c>
      <c r="I118" s="77">
        <f t="shared" si="49"/>
        <v>114</v>
      </c>
      <c r="J118" s="73">
        <f t="shared" si="46"/>
        <v>2031</v>
      </c>
      <c r="K118" s="78" t="str">
        <f t="shared" si="48"/>
        <v/>
      </c>
    </row>
    <row r="119" spans="2:11" outlineLevel="1">
      <c r="B119" s="78">
        <f t="shared" si="43"/>
        <v>48153</v>
      </c>
      <c r="C119" s="75">
        <v>0</v>
      </c>
      <c r="D119" s="71">
        <f>IF(F119&lt;&gt;0,VLOOKUP($J119,'Table 1'!$B$13:$C$33,2,FALSE)/12*1000*Study_MW,0)</f>
        <v>0</v>
      </c>
      <c r="E119" s="71">
        <f t="shared" si="44"/>
        <v>0</v>
      </c>
      <c r="F119" s="75">
        <v>0</v>
      </c>
      <c r="G119" s="76" t="e">
        <f t="shared" si="45"/>
        <v>#DIV/0!</v>
      </c>
      <c r="I119" s="77">
        <f t="shared" si="49"/>
        <v>115</v>
      </c>
      <c r="J119" s="73">
        <f t="shared" si="46"/>
        <v>2031</v>
      </c>
      <c r="K119" s="78" t="str">
        <f t="shared" si="48"/>
        <v/>
      </c>
    </row>
    <row r="120" spans="2:11" outlineLevel="1">
      <c r="B120" s="82">
        <f t="shared" si="43"/>
        <v>48183</v>
      </c>
      <c r="C120" s="79">
        <v>0</v>
      </c>
      <c r="D120" s="80">
        <f>IF(F120&lt;&gt;0,VLOOKUP($J120,'Table 1'!$B$13:$C$33,2,FALSE)/12*1000*Study_MW,0)</f>
        <v>0</v>
      </c>
      <c r="E120" s="80">
        <f t="shared" si="44"/>
        <v>0</v>
      </c>
      <c r="F120" s="79">
        <v>0</v>
      </c>
      <c r="G120" s="81" t="e">
        <f t="shared" si="45"/>
        <v>#DIV/0!</v>
      </c>
      <c r="I120" s="64">
        <f t="shared" si="49"/>
        <v>116</v>
      </c>
      <c r="J120" s="73">
        <f t="shared" si="46"/>
        <v>2031</v>
      </c>
      <c r="K120" s="82" t="str">
        <f t="shared" si="48"/>
        <v/>
      </c>
    </row>
    <row r="121" spans="2:11" outlineLevel="1">
      <c r="B121" s="74">
        <f t="shared" si="43"/>
        <v>48214</v>
      </c>
      <c r="C121" s="69">
        <v>0</v>
      </c>
      <c r="D121" s="70">
        <f>IF(F121&lt;&gt;0,VLOOKUP($J121,'Table 1'!$B$13:$C$33,2,FALSE)/12*1000*Study_MW,0)</f>
        <v>0</v>
      </c>
      <c r="E121" s="70">
        <f t="shared" si="44"/>
        <v>0</v>
      </c>
      <c r="F121" s="69">
        <v>0</v>
      </c>
      <c r="G121" s="72" t="e">
        <f t="shared" si="45"/>
        <v>#DIV/0!</v>
      </c>
      <c r="I121" s="60">
        <f>I109+13</f>
        <v>118</v>
      </c>
      <c r="J121" s="73">
        <f t="shared" si="46"/>
        <v>2032</v>
      </c>
      <c r="K121" s="74" t="str">
        <f t="shared" si="48"/>
        <v/>
      </c>
    </row>
    <row r="122" spans="2:11" outlineLevel="1">
      <c r="B122" s="78">
        <f t="shared" si="43"/>
        <v>48245</v>
      </c>
      <c r="C122" s="75">
        <v>0</v>
      </c>
      <c r="D122" s="71">
        <f>IF(F122&lt;&gt;0,VLOOKUP($J122,'Table 1'!$B$13:$C$33,2,FALSE)/12*1000*Study_MW,0)</f>
        <v>0</v>
      </c>
      <c r="E122" s="71">
        <f t="shared" si="44"/>
        <v>0</v>
      </c>
      <c r="F122" s="75">
        <v>0</v>
      </c>
      <c r="G122" s="76" t="e">
        <f t="shared" si="45"/>
        <v>#DIV/0!</v>
      </c>
      <c r="I122" s="77">
        <f t="shared" ref="I122:I132" si="50">I110+13</f>
        <v>119</v>
      </c>
      <c r="J122" s="73">
        <f t="shared" si="46"/>
        <v>2032</v>
      </c>
      <c r="K122" s="78" t="str">
        <f t="shared" si="48"/>
        <v/>
      </c>
    </row>
    <row r="123" spans="2:11" outlineLevel="1">
      <c r="B123" s="78">
        <f t="shared" si="43"/>
        <v>48274</v>
      </c>
      <c r="C123" s="75">
        <v>0</v>
      </c>
      <c r="D123" s="71">
        <f>IF(F123&lt;&gt;0,VLOOKUP($J123,'Table 1'!$B$13:$C$33,2,FALSE)/12*1000*Study_MW,0)</f>
        <v>0</v>
      </c>
      <c r="E123" s="71">
        <f t="shared" si="44"/>
        <v>0</v>
      </c>
      <c r="F123" s="75">
        <v>0</v>
      </c>
      <c r="G123" s="76" t="e">
        <f t="shared" si="45"/>
        <v>#DIV/0!</v>
      </c>
      <c r="I123" s="77">
        <f t="shared" si="50"/>
        <v>120</v>
      </c>
      <c r="J123" s="73">
        <f t="shared" si="46"/>
        <v>2032</v>
      </c>
      <c r="K123" s="78" t="str">
        <f t="shared" si="48"/>
        <v/>
      </c>
    </row>
    <row r="124" spans="2:11" outlineLevel="1">
      <c r="B124" s="78">
        <f t="shared" si="43"/>
        <v>48305</v>
      </c>
      <c r="C124" s="75">
        <v>0</v>
      </c>
      <c r="D124" s="71">
        <f>IF(F124&lt;&gt;0,VLOOKUP($J124,'Table 1'!$B$13:$C$33,2,FALSE)/12*1000*Study_MW,0)</f>
        <v>0</v>
      </c>
      <c r="E124" s="71">
        <f t="shared" si="44"/>
        <v>0</v>
      </c>
      <c r="F124" s="75">
        <v>0</v>
      </c>
      <c r="G124" s="76" t="e">
        <f t="shared" si="45"/>
        <v>#DIV/0!</v>
      </c>
      <c r="I124" s="77">
        <f t="shared" si="50"/>
        <v>121</v>
      </c>
      <c r="J124" s="73">
        <f t="shared" si="46"/>
        <v>2032</v>
      </c>
      <c r="K124" s="78" t="str">
        <f t="shared" si="48"/>
        <v/>
      </c>
    </row>
    <row r="125" spans="2:11" outlineLevel="1">
      <c r="B125" s="78">
        <f t="shared" si="43"/>
        <v>48335</v>
      </c>
      <c r="C125" s="75">
        <v>0</v>
      </c>
      <c r="D125" s="71">
        <f>IF(F125&lt;&gt;0,VLOOKUP($J125,'Table 1'!$B$13:$C$33,2,FALSE)/12*1000*Study_MW,0)</f>
        <v>0</v>
      </c>
      <c r="E125" s="71">
        <f t="shared" si="44"/>
        <v>0</v>
      </c>
      <c r="F125" s="75">
        <v>0</v>
      </c>
      <c r="G125" s="76" t="e">
        <f t="shared" si="45"/>
        <v>#DIV/0!</v>
      </c>
      <c r="I125" s="77">
        <f t="shared" si="50"/>
        <v>122</v>
      </c>
      <c r="J125" s="73">
        <f t="shared" si="46"/>
        <v>2032</v>
      </c>
      <c r="K125" s="78" t="str">
        <f t="shared" si="48"/>
        <v/>
      </c>
    </row>
    <row r="126" spans="2:11" outlineLevel="1">
      <c r="B126" s="78">
        <f t="shared" si="43"/>
        <v>48366</v>
      </c>
      <c r="C126" s="75">
        <v>0</v>
      </c>
      <c r="D126" s="71">
        <f>IF(F126&lt;&gt;0,VLOOKUP($J126,'Table 1'!$B$13:$C$33,2,FALSE)/12*1000*Study_MW,0)</f>
        <v>0</v>
      </c>
      <c r="E126" s="71">
        <f t="shared" si="44"/>
        <v>0</v>
      </c>
      <c r="F126" s="75">
        <v>0</v>
      </c>
      <c r="G126" s="76" t="e">
        <f t="shared" si="45"/>
        <v>#DIV/0!</v>
      </c>
      <c r="I126" s="77">
        <f t="shared" si="50"/>
        <v>123</v>
      </c>
      <c r="J126" s="73">
        <f t="shared" si="46"/>
        <v>2032</v>
      </c>
      <c r="K126" s="78" t="str">
        <f t="shared" si="48"/>
        <v/>
      </c>
    </row>
    <row r="127" spans="2:11" outlineLevel="1">
      <c r="B127" s="78">
        <f t="shared" si="43"/>
        <v>48396</v>
      </c>
      <c r="C127" s="75">
        <v>0</v>
      </c>
      <c r="D127" s="71">
        <f>IF(F127&lt;&gt;0,VLOOKUP($J127,'Table 1'!$B$13:$C$33,2,FALSE)/12*1000*Study_MW,0)</f>
        <v>0</v>
      </c>
      <c r="E127" s="71">
        <f t="shared" si="44"/>
        <v>0</v>
      </c>
      <c r="F127" s="75">
        <v>0</v>
      </c>
      <c r="G127" s="76" t="e">
        <f t="shared" si="45"/>
        <v>#DIV/0!</v>
      </c>
      <c r="I127" s="77">
        <f t="shared" si="50"/>
        <v>124</v>
      </c>
      <c r="J127" s="73">
        <f t="shared" si="46"/>
        <v>2032</v>
      </c>
      <c r="K127" s="78" t="str">
        <f t="shared" si="48"/>
        <v/>
      </c>
    </row>
    <row r="128" spans="2:11" outlineLevel="1">
      <c r="B128" s="78">
        <f t="shared" si="43"/>
        <v>48427</v>
      </c>
      <c r="C128" s="75">
        <v>0</v>
      </c>
      <c r="D128" s="71">
        <f>IF(F128&lt;&gt;0,VLOOKUP($J128,'Table 1'!$B$13:$C$33,2,FALSE)/12*1000*Study_MW,0)</f>
        <v>0</v>
      </c>
      <c r="E128" s="71">
        <f t="shared" si="44"/>
        <v>0</v>
      </c>
      <c r="F128" s="75">
        <v>0</v>
      </c>
      <c r="G128" s="76" t="e">
        <f t="shared" si="45"/>
        <v>#DIV/0!</v>
      </c>
      <c r="I128" s="77">
        <f t="shared" si="50"/>
        <v>125</v>
      </c>
      <c r="J128" s="73">
        <f t="shared" si="46"/>
        <v>2032</v>
      </c>
      <c r="K128" s="78" t="str">
        <f t="shared" si="48"/>
        <v/>
      </c>
    </row>
    <row r="129" spans="2:11" outlineLevel="1">
      <c r="B129" s="78">
        <f t="shared" si="43"/>
        <v>48458</v>
      </c>
      <c r="C129" s="75">
        <v>0</v>
      </c>
      <c r="D129" s="71">
        <f>IF(F129&lt;&gt;0,VLOOKUP($J129,'Table 1'!$B$13:$C$33,2,FALSE)/12*1000*Study_MW,0)</f>
        <v>0</v>
      </c>
      <c r="E129" s="71">
        <f t="shared" si="44"/>
        <v>0</v>
      </c>
      <c r="F129" s="75">
        <v>0</v>
      </c>
      <c r="G129" s="76" t="e">
        <f t="shared" si="45"/>
        <v>#DIV/0!</v>
      </c>
      <c r="I129" s="77">
        <f t="shared" si="50"/>
        <v>126</v>
      </c>
      <c r="J129" s="73">
        <f t="shared" si="46"/>
        <v>2032</v>
      </c>
      <c r="K129" s="78" t="str">
        <f t="shared" si="48"/>
        <v/>
      </c>
    </row>
    <row r="130" spans="2:11" outlineLevel="1">
      <c r="B130" s="78">
        <f t="shared" si="43"/>
        <v>48488</v>
      </c>
      <c r="C130" s="75">
        <v>0</v>
      </c>
      <c r="D130" s="71">
        <f>IF(F130&lt;&gt;0,VLOOKUP($J130,'Table 1'!$B$13:$C$33,2,FALSE)/12*1000*Study_MW,0)</f>
        <v>0</v>
      </c>
      <c r="E130" s="71">
        <f t="shared" si="44"/>
        <v>0</v>
      </c>
      <c r="F130" s="75">
        <v>0</v>
      </c>
      <c r="G130" s="76" t="e">
        <f t="shared" si="45"/>
        <v>#DIV/0!</v>
      </c>
      <c r="I130" s="77">
        <f t="shared" si="50"/>
        <v>127</v>
      </c>
      <c r="J130" s="73">
        <f t="shared" si="46"/>
        <v>2032</v>
      </c>
      <c r="K130" s="78" t="str">
        <f t="shared" si="48"/>
        <v/>
      </c>
    </row>
    <row r="131" spans="2:11" outlineLevel="1">
      <c r="B131" s="78">
        <f t="shared" si="43"/>
        <v>48519</v>
      </c>
      <c r="C131" s="75">
        <v>0</v>
      </c>
      <c r="D131" s="71">
        <f>IF(F131&lt;&gt;0,VLOOKUP($J131,'Table 1'!$B$13:$C$33,2,FALSE)/12*1000*Study_MW,0)</f>
        <v>0</v>
      </c>
      <c r="E131" s="71">
        <f t="shared" si="44"/>
        <v>0</v>
      </c>
      <c r="F131" s="75">
        <v>0</v>
      </c>
      <c r="G131" s="76" t="e">
        <f t="shared" si="45"/>
        <v>#DIV/0!</v>
      </c>
      <c r="I131" s="77">
        <f t="shared" si="50"/>
        <v>128</v>
      </c>
      <c r="J131" s="73">
        <f t="shared" si="46"/>
        <v>2032</v>
      </c>
      <c r="K131" s="78" t="str">
        <f t="shared" si="48"/>
        <v/>
      </c>
    </row>
    <row r="132" spans="2:11" outlineLevel="1">
      <c r="B132" s="82">
        <f t="shared" si="43"/>
        <v>48549</v>
      </c>
      <c r="C132" s="79">
        <v>0</v>
      </c>
      <c r="D132" s="80">
        <f>IF(F132&lt;&gt;0,VLOOKUP($J132,'Table 1'!$B$13:$C$33,2,FALSE)/12*1000*Study_MW,0)</f>
        <v>0</v>
      </c>
      <c r="E132" s="80">
        <f t="shared" si="44"/>
        <v>0</v>
      </c>
      <c r="F132" s="79">
        <v>0</v>
      </c>
      <c r="G132" s="81" t="e">
        <f t="shared" si="45"/>
        <v>#DIV/0!</v>
      </c>
      <c r="I132" s="64">
        <f t="shared" si="50"/>
        <v>129</v>
      </c>
      <c r="J132" s="73">
        <f t="shared" si="46"/>
        <v>2032</v>
      </c>
      <c r="K132" s="82" t="str">
        <f t="shared" si="48"/>
        <v/>
      </c>
    </row>
    <row r="133" spans="2:11" outlineLevel="1">
      <c r="B133" s="74">
        <f t="shared" si="43"/>
        <v>48580</v>
      </c>
      <c r="C133" s="69">
        <v>0</v>
      </c>
      <c r="D133" s="70">
        <f>IF(F133&lt;&gt;0,VLOOKUP($J133,'Table 1'!$B$13:$C$33,2,FALSE)/12*1000*Study_MW,0)</f>
        <v>0</v>
      </c>
      <c r="E133" s="70">
        <f t="shared" si="44"/>
        <v>0</v>
      </c>
      <c r="F133" s="69">
        <v>0</v>
      </c>
      <c r="G133" s="72" t="e">
        <f t="shared" si="45"/>
        <v>#DIV/0!</v>
      </c>
      <c r="I133" s="60">
        <f>I13</f>
        <v>1</v>
      </c>
      <c r="J133" s="73">
        <f t="shared" si="46"/>
        <v>2033</v>
      </c>
      <c r="K133" s="74" t="str">
        <f t="shared" si="48"/>
        <v/>
      </c>
    </row>
    <row r="134" spans="2:11" outlineLevel="1">
      <c r="B134" s="78">
        <f t="shared" si="43"/>
        <v>48611</v>
      </c>
      <c r="C134" s="75">
        <v>0</v>
      </c>
      <c r="D134" s="71">
        <f>IF(F134&lt;&gt;0,VLOOKUP($J134,'Table 1'!$B$13:$C$33,2,FALSE)/12*1000*Study_MW,0)</f>
        <v>0</v>
      </c>
      <c r="E134" s="71">
        <f t="shared" si="44"/>
        <v>0</v>
      </c>
      <c r="F134" s="75">
        <v>0</v>
      </c>
      <c r="G134" s="76" t="e">
        <f t="shared" si="45"/>
        <v>#DIV/0!</v>
      </c>
      <c r="I134" s="77">
        <f t="shared" ref="I134:I197" si="51">I14</f>
        <v>2</v>
      </c>
      <c r="J134" s="73">
        <f t="shared" si="46"/>
        <v>2033</v>
      </c>
      <c r="K134" s="78" t="str">
        <f t="shared" si="48"/>
        <v/>
      </c>
    </row>
    <row r="135" spans="2:11" outlineLevel="1">
      <c r="B135" s="78">
        <f t="shared" si="43"/>
        <v>48639</v>
      </c>
      <c r="C135" s="75">
        <v>0</v>
      </c>
      <c r="D135" s="71">
        <f>IF(F135&lt;&gt;0,VLOOKUP($J135,'Table 1'!$B$13:$C$33,2,FALSE)/12*1000*Study_MW,0)</f>
        <v>0</v>
      </c>
      <c r="E135" s="71">
        <f t="shared" si="44"/>
        <v>0</v>
      </c>
      <c r="F135" s="75">
        <v>0</v>
      </c>
      <c r="G135" s="76" t="e">
        <f t="shared" si="45"/>
        <v>#DIV/0!</v>
      </c>
      <c r="I135" s="77">
        <f t="shared" si="51"/>
        <v>3</v>
      </c>
      <c r="J135" s="73">
        <f t="shared" si="46"/>
        <v>2033</v>
      </c>
      <c r="K135" s="78" t="str">
        <f t="shared" si="48"/>
        <v/>
      </c>
    </row>
    <row r="136" spans="2:11" outlineLevel="1">
      <c r="B136" s="78">
        <f t="shared" si="43"/>
        <v>48670</v>
      </c>
      <c r="C136" s="75">
        <v>0</v>
      </c>
      <c r="D136" s="71">
        <f>IF(F136&lt;&gt;0,VLOOKUP($J136,'Table 1'!$B$13:$C$33,2,FALSE)/12*1000*Study_MW,0)</f>
        <v>0</v>
      </c>
      <c r="E136" s="71">
        <f t="shared" si="44"/>
        <v>0</v>
      </c>
      <c r="F136" s="75">
        <v>0</v>
      </c>
      <c r="G136" s="76" t="e">
        <f t="shared" si="45"/>
        <v>#DIV/0!</v>
      </c>
      <c r="I136" s="77">
        <f t="shared" si="51"/>
        <v>4</v>
      </c>
      <c r="J136" s="73">
        <f t="shared" si="46"/>
        <v>2033</v>
      </c>
      <c r="K136" s="78" t="str">
        <f t="shared" si="48"/>
        <v/>
      </c>
    </row>
    <row r="137" spans="2:11" outlineLevel="1">
      <c r="B137" s="78">
        <f t="shared" si="43"/>
        <v>48700</v>
      </c>
      <c r="C137" s="75">
        <v>0</v>
      </c>
      <c r="D137" s="71">
        <f>IF(F137&lt;&gt;0,VLOOKUP($J137,'Table 1'!$B$13:$C$33,2,FALSE)/12*1000*Study_MW,0)</f>
        <v>0</v>
      </c>
      <c r="E137" s="71">
        <f t="shared" si="44"/>
        <v>0</v>
      </c>
      <c r="F137" s="75">
        <v>0</v>
      </c>
      <c r="G137" s="76" t="e">
        <f t="shared" si="45"/>
        <v>#DIV/0!</v>
      </c>
      <c r="I137" s="77">
        <f t="shared" si="51"/>
        <v>5</v>
      </c>
      <c r="J137" s="73">
        <f t="shared" si="46"/>
        <v>2033</v>
      </c>
      <c r="K137" s="78" t="str">
        <f t="shared" si="48"/>
        <v/>
      </c>
    </row>
    <row r="138" spans="2:11" outlineLevel="1">
      <c r="B138" s="78">
        <f t="shared" si="43"/>
        <v>48731</v>
      </c>
      <c r="C138" s="75">
        <v>0</v>
      </c>
      <c r="D138" s="71">
        <f>IF(F138&lt;&gt;0,VLOOKUP($J138,'Table 1'!$B$13:$C$33,2,FALSE)/12*1000*Study_MW,0)</f>
        <v>0</v>
      </c>
      <c r="E138" s="71">
        <f t="shared" si="44"/>
        <v>0</v>
      </c>
      <c r="F138" s="75">
        <v>0</v>
      </c>
      <c r="G138" s="76" t="e">
        <f t="shared" si="45"/>
        <v>#DIV/0!</v>
      </c>
      <c r="I138" s="77">
        <f t="shared" si="51"/>
        <v>6</v>
      </c>
      <c r="J138" s="73">
        <f t="shared" si="46"/>
        <v>2033</v>
      </c>
      <c r="K138" s="78" t="str">
        <f t="shared" si="48"/>
        <v/>
      </c>
    </row>
    <row r="139" spans="2:11" outlineLevel="1">
      <c r="B139" s="78">
        <f t="shared" si="43"/>
        <v>48761</v>
      </c>
      <c r="C139" s="75">
        <v>0</v>
      </c>
      <c r="D139" s="71">
        <f>IF(F139&lt;&gt;0,VLOOKUP($J139,'Table 1'!$B$13:$C$33,2,FALSE)/12*1000*Study_MW,0)</f>
        <v>0</v>
      </c>
      <c r="E139" s="71">
        <f t="shared" si="44"/>
        <v>0</v>
      </c>
      <c r="F139" s="75">
        <v>0</v>
      </c>
      <c r="G139" s="76" t="e">
        <f t="shared" si="45"/>
        <v>#DIV/0!</v>
      </c>
      <c r="I139" s="77">
        <f t="shared" si="51"/>
        <v>7</v>
      </c>
      <c r="J139" s="73">
        <f t="shared" si="46"/>
        <v>2033</v>
      </c>
      <c r="K139" s="78" t="str">
        <f t="shared" si="48"/>
        <v/>
      </c>
    </row>
    <row r="140" spans="2:11" outlineLevel="1">
      <c r="B140" s="78">
        <f t="shared" si="43"/>
        <v>48792</v>
      </c>
      <c r="C140" s="75">
        <v>0</v>
      </c>
      <c r="D140" s="71">
        <f>IF(F140&lt;&gt;0,VLOOKUP($J140,'Table 1'!$B$13:$C$33,2,FALSE)/12*1000*Study_MW,0)</f>
        <v>0</v>
      </c>
      <c r="E140" s="71">
        <f t="shared" si="44"/>
        <v>0</v>
      </c>
      <c r="F140" s="75">
        <v>0</v>
      </c>
      <c r="G140" s="76" t="e">
        <f t="shared" si="45"/>
        <v>#DIV/0!</v>
      </c>
      <c r="I140" s="77">
        <f t="shared" si="51"/>
        <v>8</v>
      </c>
      <c r="J140" s="73">
        <f t="shared" si="46"/>
        <v>2033</v>
      </c>
      <c r="K140" s="78" t="str">
        <f t="shared" si="48"/>
        <v/>
      </c>
    </row>
    <row r="141" spans="2:11" outlineLevel="1">
      <c r="B141" s="78">
        <f t="shared" si="43"/>
        <v>48823</v>
      </c>
      <c r="C141" s="75">
        <v>0</v>
      </c>
      <c r="D141" s="71">
        <f>IF(F141&lt;&gt;0,VLOOKUP($J141,'Table 1'!$B$13:$C$33,2,FALSE)/12*1000*Study_MW,0)</f>
        <v>0</v>
      </c>
      <c r="E141" s="71">
        <f t="shared" si="44"/>
        <v>0</v>
      </c>
      <c r="F141" s="75">
        <v>0</v>
      </c>
      <c r="G141" s="76" t="e">
        <f t="shared" si="45"/>
        <v>#DIV/0!</v>
      </c>
      <c r="I141" s="77">
        <f t="shared" si="51"/>
        <v>9</v>
      </c>
      <c r="J141" s="73">
        <f t="shared" si="46"/>
        <v>2033</v>
      </c>
      <c r="K141" s="78" t="str">
        <f t="shared" si="48"/>
        <v/>
      </c>
    </row>
    <row r="142" spans="2:11" outlineLevel="1">
      <c r="B142" s="78">
        <f t="shared" ref="B142:B205" si="52">EDATE(B141,1)</f>
        <v>48853</v>
      </c>
      <c r="C142" s="75">
        <v>0</v>
      </c>
      <c r="D142" s="71">
        <f>IF(F142&lt;&gt;0,VLOOKUP($J142,'Table 1'!$B$13:$C$33,2,FALSE)/12*1000*Study_MW,0)</f>
        <v>0</v>
      </c>
      <c r="E142" s="71">
        <f t="shared" ref="E142:E192" si="53">C142+D142</f>
        <v>0</v>
      </c>
      <c r="F142" s="75">
        <v>0</v>
      </c>
      <c r="G142" s="76" t="e">
        <f t="shared" ref="G142:G192" si="54">IF(ISNUMBER($F142),E142/$F142,"")</f>
        <v>#DIV/0!</v>
      </c>
      <c r="I142" s="77">
        <f t="shared" si="51"/>
        <v>10</v>
      </c>
      <c r="J142" s="73">
        <f t="shared" ref="J142:J192" si="55">YEAR(B142)</f>
        <v>2033</v>
      </c>
      <c r="K142" s="78" t="str">
        <f t="shared" si="48"/>
        <v/>
      </c>
    </row>
    <row r="143" spans="2:11" outlineLevel="1">
      <c r="B143" s="78">
        <f t="shared" si="52"/>
        <v>48884</v>
      </c>
      <c r="C143" s="75">
        <v>0</v>
      </c>
      <c r="D143" s="71">
        <f>IF(F143&lt;&gt;0,VLOOKUP($J143,'Table 1'!$B$13:$C$33,2,FALSE)/12*1000*Study_MW,0)</f>
        <v>0</v>
      </c>
      <c r="E143" s="71">
        <f t="shared" si="53"/>
        <v>0</v>
      </c>
      <c r="F143" s="75">
        <v>0</v>
      </c>
      <c r="G143" s="76" t="e">
        <f t="shared" si="54"/>
        <v>#DIV/0!</v>
      </c>
      <c r="I143" s="77">
        <f t="shared" si="51"/>
        <v>11</v>
      </c>
      <c r="J143" s="73">
        <f t="shared" si="55"/>
        <v>2033</v>
      </c>
      <c r="K143" s="78" t="str">
        <f t="shared" si="48"/>
        <v/>
      </c>
    </row>
    <row r="144" spans="2:11" outlineLevel="1">
      <c r="B144" s="82">
        <f t="shared" si="52"/>
        <v>48914</v>
      </c>
      <c r="C144" s="79">
        <v>0</v>
      </c>
      <c r="D144" s="80">
        <f>IF(F144&lt;&gt;0,VLOOKUP($J144,'Table 1'!$B$13:$C$33,2,FALSE)/12*1000*Study_MW,0)</f>
        <v>0</v>
      </c>
      <c r="E144" s="80">
        <f t="shared" si="53"/>
        <v>0</v>
      </c>
      <c r="F144" s="79">
        <v>0</v>
      </c>
      <c r="G144" s="81" t="e">
        <f t="shared" si="54"/>
        <v>#DIV/0!</v>
      </c>
      <c r="I144" s="64">
        <f t="shared" si="51"/>
        <v>12</v>
      </c>
      <c r="J144" s="73">
        <f t="shared" si="55"/>
        <v>2033</v>
      </c>
      <c r="K144" s="82" t="str">
        <f t="shared" si="48"/>
        <v/>
      </c>
    </row>
    <row r="145" spans="2:11" outlineLevel="1">
      <c r="B145" s="74">
        <f t="shared" si="52"/>
        <v>48945</v>
      </c>
      <c r="C145" s="69">
        <v>0</v>
      </c>
      <c r="D145" s="70">
        <f>IF(F145&lt;&gt;0,VLOOKUP($J145,'Table 1'!$B$13:$C$33,2,FALSE)/12*1000*Study_MW,0)</f>
        <v>0</v>
      </c>
      <c r="E145" s="70">
        <f t="shared" si="53"/>
        <v>0</v>
      </c>
      <c r="F145" s="69">
        <v>0</v>
      </c>
      <c r="G145" s="72" t="e">
        <f t="shared" si="54"/>
        <v>#DIV/0!</v>
      </c>
      <c r="I145" s="60">
        <f>I25</f>
        <v>14</v>
      </c>
      <c r="J145" s="73">
        <f t="shared" si="55"/>
        <v>2034</v>
      </c>
      <c r="K145" s="74" t="str">
        <f t="shared" si="48"/>
        <v/>
      </c>
    </row>
    <row r="146" spans="2:11" outlineLevel="1">
      <c r="B146" s="78">
        <f t="shared" si="52"/>
        <v>48976</v>
      </c>
      <c r="C146" s="75">
        <v>0</v>
      </c>
      <c r="D146" s="71">
        <f>IF(F146&lt;&gt;0,VLOOKUP($J146,'Table 1'!$B$13:$C$33,2,FALSE)/12*1000*Study_MW,0)</f>
        <v>0</v>
      </c>
      <c r="E146" s="71">
        <f t="shared" si="53"/>
        <v>0</v>
      </c>
      <c r="F146" s="75">
        <v>0</v>
      </c>
      <c r="G146" s="76" t="e">
        <f t="shared" si="54"/>
        <v>#DIV/0!</v>
      </c>
      <c r="I146" s="77">
        <f t="shared" si="51"/>
        <v>15</v>
      </c>
      <c r="J146" s="73">
        <f t="shared" si="55"/>
        <v>2034</v>
      </c>
      <c r="K146" s="78" t="str">
        <f t="shared" si="48"/>
        <v/>
      </c>
    </row>
    <row r="147" spans="2:11" outlineLevel="1">
      <c r="B147" s="78">
        <f t="shared" si="52"/>
        <v>49004</v>
      </c>
      <c r="C147" s="75">
        <v>0</v>
      </c>
      <c r="D147" s="71">
        <f>IF(F147&lt;&gt;0,VLOOKUP($J147,'Table 1'!$B$13:$C$33,2,FALSE)/12*1000*Study_MW,0)</f>
        <v>0</v>
      </c>
      <c r="E147" s="71">
        <f t="shared" si="53"/>
        <v>0</v>
      </c>
      <c r="F147" s="75">
        <v>0</v>
      </c>
      <c r="G147" s="76" t="e">
        <f t="shared" si="54"/>
        <v>#DIV/0!</v>
      </c>
      <c r="I147" s="77">
        <f t="shared" si="51"/>
        <v>16</v>
      </c>
      <c r="J147" s="73">
        <f t="shared" si="55"/>
        <v>2034</v>
      </c>
      <c r="K147" s="78" t="str">
        <f t="shared" si="48"/>
        <v/>
      </c>
    </row>
    <row r="148" spans="2:11" outlineLevel="1">
      <c r="B148" s="78">
        <f t="shared" si="52"/>
        <v>49035</v>
      </c>
      <c r="C148" s="75">
        <v>0</v>
      </c>
      <c r="D148" s="71">
        <f>IF(F148&lt;&gt;0,VLOOKUP($J148,'Table 1'!$B$13:$C$33,2,FALSE)/12*1000*Study_MW,0)</f>
        <v>0</v>
      </c>
      <c r="E148" s="71">
        <f t="shared" si="53"/>
        <v>0</v>
      </c>
      <c r="F148" s="75">
        <v>0</v>
      </c>
      <c r="G148" s="76" t="e">
        <f t="shared" si="54"/>
        <v>#DIV/0!</v>
      </c>
      <c r="I148" s="77">
        <f t="shared" si="51"/>
        <v>17</v>
      </c>
      <c r="J148" s="73">
        <f t="shared" si="55"/>
        <v>2034</v>
      </c>
      <c r="K148" s="78" t="str">
        <f t="shared" si="48"/>
        <v/>
      </c>
    </row>
    <row r="149" spans="2:11" outlineLevel="1">
      <c r="B149" s="78">
        <f t="shared" si="52"/>
        <v>49065</v>
      </c>
      <c r="C149" s="75">
        <v>0</v>
      </c>
      <c r="D149" s="71">
        <f>IF(F149&lt;&gt;0,VLOOKUP($J149,'Table 1'!$B$13:$C$33,2,FALSE)/12*1000*Study_MW,0)</f>
        <v>0</v>
      </c>
      <c r="E149" s="71">
        <f t="shared" si="53"/>
        <v>0</v>
      </c>
      <c r="F149" s="75">
        <v>0</v>
      </c>
      <c r="G149" s="76" t="e">
        <f t="shared" si="54"/>
        <v>#DIV/0!</v>
      </c>
      <c r="I149" s="77">
        <f t="shared" si="51"/>
        <v>18</v>
      </c>
      <c r="J149" s="73">
        <f t="shared" si="55"/>
        <v>2034</v>
      </c>
      <c r="K149" s="78" t="str">
        <f t="shared" si="48"/>
        <v/>
      </c>
    </row>
    <row r="150" spans="2:11" outlineLevel="1">
      <c r="B150" s="78">
        <f t="shared" si="52"/>
        <v>49096</v>
      </c>
      <c r="C150" s="75">
        <v>0</v>
      </c>
      <c r="D150" s="71">
        <f>IF(F150&lt;&gt;0,VLOOKUP($J150,'Table 1'!$B$13:$C$33,2,FALSE)/12*1000*Study_MW,0)</f>
        <v>0</v>
      </c>
      <c r="E150" s="71">
        <f t="shared" si="53"/>
        <v>0</v>
      </c>
      <c r="F150" s="75">
        <v>0</v>
      </c>
      <c r="G150" s="76" t="e">
        <f t="shared" si="54"/>
        <v>#DIV/0!</v>
      </c>
      <c r="I150" s="77">
        <f t="shared" si="51"/>
        <v>19</v>
      </c>
      <c r="J150" s="73">
        <f t="shared" si="55"/>
        <v>2034</v>
      </c>
      <c r="K150" s="78" t="str">
        <f t="shared" si="48"/>
        <v/>
      </c>
    </row>
    <row r="151" spans="2:11" outlineLevel="1">
      <c r="B151" s="78">
        <f t="shared" si="52"/>
        <v>49126</v>
      </c>
      <c r="C151" s="75">
        <v>0</v>
      </c>
      <c r="D151" s="71">
        <f>IF(F151&lt;&gt;0,VLOOKUP($J151,'Table 1'!$B$13:$C$33,2,FALSE)/12*1000*Study_MW,0)</f>
        <v>0</v>
      </c>
      <c r="E151" s="71">
        <f t="shared" si="53"/>
        <v>0</v>
      </c>
      <c r="F151" s="75">
        <v>0</v>
      </c>
      <c r="G151" s="76" t="e">
        <f t="shared" si="54"/>
        <v>#DIV/0!</v>
      </c>
      <c r="I151" s="77">
        <f t="shared" si="51"/>
        <v>20</v>
      </c>
      <c r="J151" s="73">
        <f t="shared" si="55"/>
        <v>2034</v>
      </c>
      <c r="K151" s="78" t="str">
        <f t="shared" si="48"/>
        <v/>
      </c>
    </row>
    <row r="152" spans="2:11" outlineLevel="1">
      <c r="B152" s="78">
        <f t="shared" si="52"/>
        <v>49157</v>
      </c>
      <c r="C152" s="75">
        <v>0</v>
      </c>
      <c r="D152" s="71">
        <f>IF(F152&lt;&gt;0,VLOOKUP($J152,'Table 1'!$B$13:$C$33,2,FALSE)/12*1000*Study_MW,0)</f>
        <v>0</v>
      </c>
      <c r="E152" s="71">
        <f t="shared" si="53"/>
        <v>0</v>
      </c>
      <c r="F152" s="75">
        <v>0</v>
      </c>
      <c r="G152" s="76" t="e">
        <f t="shared" si="54"/>
        <v>#DIV/0!</v>
      </c>
      <c r="I152" s="77">
        <f t="shared" si="51"/>
        <v>21</v>
      </c>
      <c r="J152" s="73">
        <f t="shared" si="55"/>
        <v>2034</v>
      </c>
      <c r="K152" s="78" t="str">
        <f t="shared" si="48"/>
        <v/>
      </c>
    </row>
    <row r="153" spans="2:11" outlineLevel="1">
      <c r="B153" s="78">
        <f t="shared" si="52"/>
        <v>49188</v>
      </c>
      <c r="C153" s="75">
        <v>0</v>
      </c>
      <c r="D153" s="71">
        <f>IF(F153&lt;&gt;0,VLOOKUP($J153,'Table 1'!$B$13:$C$33,2,FALSE)/12*1000*Study_MW,0)</f>
        <v>0</v>
      </c>
      <c r="E153" s="71">
        <f t="shared" si="53"/>
        <v>0</v>
      </c>
      <c r="F153" s="75">
        <v>0</v>
      </c>
      <c r="G153" s="76" t="e">
        <f t="shared" si="54"/>
        <v>#DIV/0!</v>
      </c>
      <c r="I153" s="77">
        <f t="shared" si="51"/>
        <v>22</v>
      </c>
      <c r="J153" s="73">
        <f t="shared" si="55"/>
        <v>2034</v>
      </c>
      <c r="K153" s="78" t="str">
        <f t="shared" si="48"/>
        <v/>
      </c>
    </row>
    <row r="154" spans="2:11" outlineLevel="1">
      <c r="B154" s="78">
        <f t="shared" si="52"/>
        <v>49218</v>
      </c>
      <c r="C154" s="75">
        <v>0</v>
      </c>
      <c r="D154" s="71">
        <f>IF(F154&lt;&gt;0,VLOOKUP($J154,'Table 1'!$B$13:$C$33,2,FALSE)/12*1000*Study_MW,0)</f>
        <v>0</v>
      </c>
      <c r="E154" s="71">
        <f t="shared" si="53"/>
        <v>0</v>
      </c>
      <c r="F154" s="75">
        <v>0</v>
      </c>
      <c r="G154" s="76" t="e">
        <f t="shared" si="54"/>
        <v>#DIV/0!</v>
      </c>
      <c r="I154" s="77">
        <f t="shared" si="51"/>
        <v>23</v>
      </c>
      <c r="J154" s="73">
        <f t="shared" si="55"/>
        <v>2034</v>
      </c>
      <c r="K154" s="78" t="str">
        <f t="shared" ref="K154:K192" si="56">IF(ISNUMBER(F154),IF(F154&lt;&gt;0,B154,""),"")</f>
        <v/>
      </c>
    </row>
    <row r="155" spans="2:11" outlineLevel="1">
      <c r="B155" s="78">
        <f t="shared" si="52"/>
        <v>49249</v>
      </c>
      <c r="C155" s="75">
        <v>0</v>
      </c>
      <c r="D155" s="71">
        <f>IF(F155&lt;&gt;0,VLOOKUP($J155,'Table 1'!$B$13:$C$33,2,FALSE)/12*1000*Study_MW,0)</f>
        <v>0</v>
      </c>
      <c r="E155" s="71">
        <f t="shared" si="53"/>
        <v>0</v>
      </c>
      <c r="F155" s="75">
        <v>0</v>
      </c>
      <c r="G155" s="76" t="e">
        <f t="shared" si="54"/>
        <v>#DIV/0!</v>
      </c>
      <c r="I155" s="77">
        <f t="shared" si="51"/>
        <v>24</v>
      </c>
      <c r="J155" s="73">
        <f t="shared" si="55"/>
        <v>2034</v>
      </c>
      <c r="K155" s="78" t="str">
        <f t="shared" si="56"/>
        <v/>
      </c>
    </row>
    <row r="156" spans="2:11" outlineLevel="1">
      <c r="B156" s="82">
        <f t="shared" si="52"/>
        <v>49279</v>
      </c>
      <c r="C156" s="79">
        <v>0</v>
      </c>
      <c r="D156" s="80">
        <f>IF(F156&lt;&gt;0,VLOOKUP($J156,'Table 1'!$B$13:$C$33,2,FALSE)/12*1000*Study_MW,0)</f>
        <v>0</v>
      </c>
      <c r="E156" s="80">
        <f t="shared" si="53"/>
        <v>0</v>
      </c>
      <c r="F156" s="79">
        <v>0</v>
      </c>
      <c r="G156" s="81" t="e">
        <f t="shared" si="54"/>
        <v>#DIV/0!</v>
      </c>
      <c r="I156" s="64">
        <f t="shared" si="51"/>
        <v>25</v>
      </c>
      <c r="J156" s="73">
        <f t="shared" si="55"/>
        <v>2034</v>
      </c>
      <c r="K156" s="82" t="str">
        <f t="shared" si="56"/>
        <v/>
      </c>
    </row>
    <row r="157" spans="2:11" outlineLevel="1">
      <c r="B157" s="74">
        <f t="shared" si="52"/>
        <v>49310</v>
      </c>
      <c r="C157" s="69">
        <v>0</v>
      </c>
      <c r="D157" s="70">
        <f>IF(F157&lt;&gt;0,VLOOKUP($J157,'Table 1'!$B$13:$C$33,2,FALSE)/12*1000*Study_MW,0)</f>
        <v>0</v>
      </c>
      <c r="E157" s="70">
        <f t="shared" si="53"/>
        <v>0</v>
      </c>
      <c r="F157" s="69">
        <v>0</v>
      </c>
      <c r="G157" s="72" t="e">
        <f t="shared" si="54"/>
        <v>#DIV/0!</v>
      </c>
      <c r="I157" s="60">
        <f>I37</f>
        <v>27</v>
      </c>
      <c r="J157" s="73">
        <f t="shared" si="55"/>
        <v>2035</v>
      </c>
      <c r="K157" s="74" t="str">
        <f t="shared" si="56"/>
        <v/>
      </c>
    </row>
    <row r="158" spans="2:11" outlineLevel="1">
      <c r="B158" s="78">
        <f t="shared" si="52"/>
        <v>49341</v>
      </c>
      <c r="C158" s="75">
        <v>0</v>
      </c>
      <c r="D158" s="71">
        <f>IF(F158&lt;&gt;0,VLOOKUP($J158,'Table 1'!$B$13:$C$33,2,FALSE)/12*1000*Study_MW,0)</f>
        <v>0</v>
      </c>
      <c r="E158" s="71">
        <f t="shared" si="53"/>
        <v>0</v>
      </c>
      <c r="F158" s="75">
        <v>0</v>
      </c>
      <c r="G158" s="76" t="e">
        <f t="shared" si="54"/>
        <v>#DIV/0!</v>
      </c>
      <c r="I158" s="77">
        <f t="shared" si="51"/>
        <v>28</v>
      </c>
      <c r="J158" s="73">
        <f t="shared" si="55"/>
        <v>2035</v>
      </c>
      <c r="K158" s="78" t="str">
        <f t="shared" si="56"/>
        <v/>
      </c>
    </row>
    <row r="159" spans="2:11" outlineLevel="1">
      <c r="B159" s="78">
        <f t="shared" si="52"/>
        <v>49369</v>
      </c>
      <c r="C159" s="75">
        <v>0</v>
      </c>
      <c r="D159" s="71">
        <f>IF(F159&lt;&gt;0,VLOOKUP($J159,'Table 1'!$B$13:$C$33,2,FALSE)/12*1000*Study_MW,0)</f>
        <v>0</v>
      </c>
      <c r="E159" s="71">
        <f t="shared" si="53"/>
        <v>0</v>
      </c>
      <c r="F159" s="75">
        <v>0</v>
      </c>
      <c r="G159" s="76" t="e">
        <f t="shared" si="54"/>
        <v>#DIV/0!</v>
      </c>
      <c r="I159" s="77">
        <f t="shared" si="51"/>
        <v>29</v>
      </c>
      <c r="J159" s="73">
        <f t="shared" si="55"/>
        <v>2035</v>
      </c>
      <c r="K159" s="78" t="str">
        <f t="shared" si="56"/>
        <v/>
      </c>
    </row>
    <row r="160" spans="2:11" outlineLevel="1">
      <c r="B160" s="78">
        <f t="shared" si="52"/>
        <v>49400</v>
      </c>
      <c r="C160" s="75">
        <v>0</v>
      </c>
      <c r="D160" s="71">
        <f>IF(F160&lt;&gt;0,VLOOKUP($J160,'Table 1'!$B$13:$C$33,2,FALSE)/12*1000*Study_MW,0)</f>
        <v>0</v>
      </c>
      <c r="E160" s="71">
        <f t="shared" si="53"/>
        <v>0</v>
      </c>
      <c r="F160" s="75">
        <v>0</v>
      </c>
      <c r="G160" s="76" t="e">
        <f t="shared" si="54"/>
        <v>#DIV/0!</v>
      </c>
      <c r="I160" s="77">
        <f t="shared" si="51"/>
        <v>30</v>
      </c>
      <c r="J160" s="73">
        <f t="shared" si="55"/>
        <v>2035</v>
      </c>
      <c r="K160" s="78" t="str">
        <f t="shared" si="56"/>
        <v/>
      </c>
    </row>
    <row r="161" spans="2:11" outlineLevel="1">
      <c r="B161" s="78">
        <f t="shared" si="52"/>
        <v>49430</v>
      </c>
      <c r="C161" s="75">
        <v>0</v>
      </c>
      <c r="D161" s="71">
        <f>IF(F161&lt;&gt;0,VLOOKUP($J161,'Table 1'!$B$13:$C$33,2,FALSE)/12*1000*Study_MW,0)</f>
        <v>0</v>
      </c>
      <c r="E161" s="71">
        <f t="shared" si="53"/>
        <v>0</v>
      </c>
      <c r="F161" s="75">
        <v>0</v>
      </c>
      <c r="G161" s="76" t="e">
        <f t="shared" si="54"/>
        <v>#DIV/0!</v>
      </c>
      <c r="I161" s="77">
        <f t="shared" si="51"/>
        <v>31</v>
      </c>
      <c r="J161" s="73">
        <f t="shared" si="55"/>
        <v>2035</v>
      </c>
      <c r="K161" s="78" t="str">
        <f t="shared" si="56"/>
        <v/>
      </c>
    </row>
    <row r="162" spans="2:11" outlineLevel="1">
      <c r="B162" s="78">
        <f t="shared" si="52"/>
        <v>49461</v>
      </c>
      <c r="C162" s="75">
        <v>0</v>
      </c>
      <c r="D162" s="71">
        <f>IF(F162&lt;&gt;0,VLOOKUP($J162,'Table 1'!$B$13:$C$33,2,FALSE)/12*1000*Study_MW,0)</f>
        <v>0</v>
      </c>
      <c r="E162" s="71">
        <f t="shared" si="53"/>
        <v>0</v>
      </c>
      <c r="F162" s="75">
        <v>0</v>
      </c>
      <c r="G162" s="76" t="e">
        <f t="shared" si="54"/>
        <v>#DIV/0!</v>
      </c>
      <c r="I162" s="77">
        <f t="shared" si="51"/>
        <v>32</v>
      </c>
      <c r="J162" s="73">
        <f t="shared" si="55"/>
        <v>2035</v>
      </c>
      <c r="K162" s="78" t="str">
        <f t="shared" si="56"/>
        <v/>
      </c>
    </row>
    <row r="163" spans="2:11" outlineLevel="1">
      <c r="B163" s="78">
        <f t="shared" si="52"/>
        <v>49491</v>
      </c>
      <c r="C163" s="75">
        <v>0</v>
      </c>
      <c r="D163" s="71">
        <f>IF(F163&lt;&gt;0,VLOOKUP($J163,'Table 1'!$B$13:$C$33,2,FALSE)/12*1000*Study_MW,0)</f>
        <v>0</v>
      </c>
      <c r="E163" s="71">
        <f t="shared" si="53"/>
        <v>0</v>
      </c>
      <c r="F163" s="75">
        <v>0</v>
      </c>
      <c r="G163" s="76" t="e">
        <f t="shared" si="54"/>
        <v>#DIV/0!</v>
      </c>
      <c r="I163" s="77">
        <f t="shared" si="51"/>
        <v>33</v>
      </c>
      <c r="J163" s="73">
        <f t="shared" si="55"/>
        <v>2035</v>
      </c>
      <c r="K163" s="78" t="str">
        <f t="shared" si="56"/>
        <v/>
      </c>
    </row>
    <row r="164" spans="2:11" outlineLevel="1">
      <c r="B164" s="78">
        <f t="shared" si="52"/>
        <v>49522</v>
      </c>
      <c r="C164" s="75">
        <v>0</v>
      </c>
      <c r="D164" s="71">
        <f>IF(F164&lt;&gt;0,VLOOKUP($J164,'Table 1'!$B$13:$C$33,2,FALSE)/12*1000*Study_MW,0)</f>
        <v>0</v>
      </c>
      <c r="E164" s="71">
        <f t="shared" si="53"/>
        <v>0</v>
      </c>
      <c r="F164" s="75">
        <v>0</v>
      </c>
      <c r="G164" s="76" t="e">
        <f t="shared" si="54"/>
        <v>#DIV/0!</v>
      </c>
      <c r="I164" s="77">
        <f t="shared" si="51"/>
        <v>34</v>
      </c>
      <c r="J164" s="73">
        <f t="shared" si="55"/>
        <v>2035</v>
      </c>
      <c r="K164" s="78" t="str">
        <f t="shared" si="56"/>
        <v/>
      </c>
    </row>
    <row r="165" spans="2:11" outlineLevel="1">
      <c r="B165" s="78">
        <f t="shared" si="52"/>
        <v>49553</v>
      </c>
      <c r="C165" s="75">
        <v>0</v>
      </c>
      <c r="D165" s="71">
        <f>IF(F165&lt;&gt;0,VLOOKUP($J165,'Table 1'!$B$13:$C$33,2,FALSE)/12*1000*Study_MW,0)</f>
        <v>0</v>
      </c>
      <c r="E165" s="71">
        <f t="shared" si="53"/>
        <v>0</v>
      </c>
      <c r="F165" s="75">
        <v>0</v>
      </c>
      <c r="G165" s="76" t="e">
        <f t="shared" si="54"/>
        <v>#DIV/0!</v>
      </c>
      <c r="I165" s="77">
        <f t="shared" si="51"/>
        <v>35</v>
      </c>
      <c r="J165" s="73">
        <f t="shared" si="55"/>
        <v>2035</v>
      </c>
      <c r="K165" s="78" t="str">
        <f t="shared" si="56"/>
        <v/>
      </c>
    </row>
    <row r="166" spans="2:11" outlineLevel="1">
      <c r="B166" s="78">
        <f t="shared" si="52"/>
        <v>49583</v>
      </c>
      <c r="C166" s="75">
        <v>0</v>
      </c>
      <c r="D166" s="71">
        <f>IF(F166&lt;&gt;0,VLOOKUP($J166,'Table 1'!$B$13:$C$33,2,FALSE)/12*1000*Study_MW,0)</f>
        <v>0</v>
      </c>
      <c r="E166" s="71">
        <f t="shared" si="53"/>
        <v>0</v>
      </c>
      <c r="F166" s="75">
        <v>0</v>
      </c>
      <c r="G166" s="76" t="e">
        <f t="shared" si="54"/>
        <v>#DIV/0!</v>
      </c>
      <c r="I166" s="77">
        <f t="shared" si="51"/>
        <v>36</v>
      </c>
      <c r="J166" s="73">
        <f t="shared" si="55"/>
        <v>2035</v>
      </c>
      <c r="K166" s="78" t="str">
        <f t="shared" si="56"/>
        <v/>
      </c>
    </row>
    <row r="167" spans="2:11" outlineLevel="1">
      <c r="B167" s="78">
        <f t="shared" si="52"/>
        <v>49614</v>
      </c>
      <c r="C167" s="75">
        <v>0</v>
      </c>
      <c r="D167" s="71">
        <f>IF(F167&lt;&gt;0,VLOOKUP($J167,'Table 1'!$B$13:$C$33,2,FALSE)/12*1000*Study_MW,0)</f>
        <v>0</v>
      </c>
      <c r="E167" s="71">
        <f t="shared" si="53"/>
        <v>0</v>
      </c>
      <c r="F167" s="75">
        <v>0</v>
      </c>
      <c r="G167" s="76" t="e">
        <f t="shared" si="54"/>
        <v>#DIV/0!</v>
      </c>
      <c r="I167" s="77">
        <f t="shared" si="51"/>
        <v>37</v>
      </c>
      <c r="J167" s="73">
        <f t="shared" si="55"/>
        <v>2035</v>
      </c>
      <c r="K167" s="78" t="str">
        <f t="shared" si="56"/>
        <v/>
      </c>
    </row>
    <row r="168" spans="2:11" outlineLevel="1">
      <c r="B168" s="82">
        <f t="shared" si="52"/>
        <v>49644</v>
      </c>
      <c r="C168" s="79">
        <v>0</v>
      </c>
      <c r="D168" s="80">
        <f>IF(F168&lt;&gt;0,VLOOKUP($J168,'Table 1'!$B$13:$C$33,2,FALSE)/12*1000*Study_MW,0)</f>
        <v>0</v>
      </c>
      <c r="E168" s="80">
        <f t="shared" si="53"/>
        <v>0</v>
      </c>
      <c r="F168" s="79">
        <v>0</v>
      </c>
      <c r="G168" s="81" t="e">
        <f t="shared" si="54"/>
        <v>#DIV/0!</v>
      </c>
      <c r="I168" s="64">
        <f t="shared" si="51"/>
        <v>38</v>
      </c>
      <c r="J168" s="73">
        <f t="shared" si="55"/>
        <v>2035</v>
      </c>
      <c r="K168" s="82" t="str">
        <f t="shared" si="56"/>
        <v/>
      </c>
    </row>
    <row r="169" spans="2:11" outlineLevel="1">
      <c r="B169" s="74">
        <f t="shared" si="52"/>
        <v>49675</v>
      </c>
      <c r="C169" s="69">
        <v>0</v>
      </c>
      <c r="D169" s="70">
        <f>IF(F169&lt;&gt;0,VLOOKUP($J169,'Table 1'!$B$13:$C$33,2,FALSE)/12*1000*Study_MW,0)</f>
        <v>0</v>
      </c>
      <c r="E169" s="70">
        <f t="shared" si="53"/>
        <v>0</v>
      </c>
      <c r="F169" s="69">
        <v>0</v>
      </c>
      <c r="G169" s="72" t="e">
        <f t="shared" si="54"/>
        <v>#DIV/0!</v>
      </c>
      <c r="I169" s="60">
        <f>I49</f>
        <v>40</v>
      </c>
      <c r="J169" s="73">
        <f t="shared" si="55"/>
        <v>2036</v>
      </c>
      <c r="K169" s="74" t="str">
        <f t="shared" si="56"/>
        <v/>
      </c>
    </row>
    <row r="170" spans="2:11" outlineLevel="1">
      <c r="B170" s="78">
        <f t="shared" si="52"/>
        <v>49706</v>
      </c>
      <c r="C170" s="75">
        <v>0</v>
      </c>
      <c r="D170" s="71">
        <f>IF(F170&lt;&gt;0,VLOOKUP($J170,'Table 1'!$B$13:$C$33,2,FALSE)/12*1000*Study_MW,0)</f>
        <v>0</v>
      </c>
      <c r="E170" s="71">
        <f t="shared" si="53"/>
        <v>0</v>
      </c>
      <c r="F170" s="75">
        <v>0</v>
      </c>
      <c r="G170" s="76" t="e">
        <f t="shared" si="54"/>
        <v>#DIV/0!</v>
      </c>
      <c r="I170" s="77">
        <f t="shared" si="51"/>
        <v>41</v>
      </c>
      <c r="J170" s="73">
        <f t="shared" si="55"/>
        <v>2036</v>
      </c>
      <c r="K170" s="78" t="str">
        <f t="shared" si="56"/>
        <v/>
      </c>
    </row>
    <row r="171" spans="2:11" outlineLevel="1">
      <c r="B171" s="78">
        <f t="shared" si="52"/>
        <v>49735</v>
      </c>
      <c r="C171" s="75">
        <v>0</v>
      </c>
      <c r="D171" s="71">
        <f>IF(F171&lt;&gt;0,VLOOKUP($J171,'Table 1'!$B$13:$C$33,2,FALSE)/12*1000*Study_MW,0)</f>
        <v>0</v>
      </c>
      <c r="E171" s="71">
        <f t="shared" si="53"/>
        <v>0</v>
      </c>
      <c r="F171" s="75">
        <v>0</v>
      </c>
      <c r="G171" s="76" t="e">
        <f t="shared" si="54"/>
        <v>#DIV/0!</v>
      </c>
      <c r="I171" s="77">
        <f t="shared" si="51"/>
        <v>42</v>
      </c>
      <c r="J171" s="73">
        <f t="shared" si="55"/>
        <v>2036</v>
      </c>
      <c r="K171" s="78" t="str">
        <f t="shared" si="56"/>
        <v/>
      </c>
    </row>
    <row r="172" spans="2:11" outlineLevel="1">
      <c r="B172" s="78">
        <f t="shared" si="52"/>
        <v>49766</v>
      </c>
      <c r="C172" s="75">
        <v>0</v>
      </c>
      <c r="D172" s="71">
        <f>IF(F172&lt;&gt;0,VLOOKUP($J172,'Table 1'!$B$13:$C$33,2,FALSE)/12*1000*Study_MW,0)</f>
        <v>0</v>
      </c>
      <c r="E172" s="71">
        <f t="shared" si="53"/>
        <v>0</v>
      </c>
      <c r="F172" s="75">
        <v>0</v>
      </c>
      <c r="G172" s="76" t="e">
        <f t="shared" si="54"/>
        <v>#DIV/0!</v>
      </c>
      <c r="I172" s="77">
        <f t="shared" si="51"/>
        <v>43</v>
      </c>
      <c r="J172" s="73">
        <f t="shared" si="55"/>
        <v>2036</v>
      </c>
      <c r="K172" s="78" t="str">
        <f t="shared" si="56"/>
        <v/>
      </c>
    </row>
    <row r="173" spans="2:11" outlineLevel="1">
      <c r="B173" s="78">
        <f t="shared" si="52"/>
        <v>49796</v>
      </c>
      <c r="C173" s="75">
        <v>0</v>
      </c>
      <c r="D173" s="71">
        <f>IF(F173&lt;&gt;0,VLOOKUP($J173,'Table 1'!$B$13:$C$33,2,FALSE)/12*1000*Study_MW,0)</f>
        <v>0</v>
      </c>
      <c r="E173" s="71">
        <f t="shared" si="53"/>
        <v>0</v>
      </c>
      <c r="F173" s="75">
        <v>0</v>
      </c>
      <c r="G173" s="76" t="e">
        <f t="shared" si="54"/>
        <v>#DIV/0!</v>
      </c>
      <c r="I173" s="77">
        <f t="shared" si="51"/>
        <v>44</v>
      </c>
      <c r="J173" s="73">
        <f t="shared" si="55"/>
        <v>2036</v>
      </c>
      <c r="K173" s="78" t="str">
        <f t="shared" si="56"/>
        <v/>
      </c>
    </row>
    <row r="174" spans="2:11" outlineLevel="1">
      <c r="B174" s="78">
        <f t="shared" si="52"/>
        <v>49827</v>
      </c>
      <c r="C174" s="75">
        <v>0</v>
      </c>
      <c r="D174" s="71">
        <f>IF(F174&lt;&gt;0,VLOOKUP($J174,'Table 1'!$B$13:$C$33,2,FALSE)/12*1000*Study_MW,0)</f>
        <v>0</v>
      </c>
      <c r="E174" s="71">
        <f t="shared" si="53"/>
        <v>0</v>
      </c>
      <c r="F174" s="75">
        <v>0</v>
      </c>
      <c r="G174" s="76" t="e">
        <f t="shared" si="54"/>
        <v>#DIV/0!</v>
      </c>
      <c r="I174" s="77">
        <f t="shared" si="51"/>
        <v>45</v>
      </c>
      <c r="J174" s="73">
        <f t="shared" si="55"/>
        <v>2036</v>
      </c>
      <c r="K174" s="78" t="str">
        <f t="shared" si="56"/>
        <v/>
      </c>
    </row>
    <row r="175" spans="2:11" outlineLevel="1">
      <c r="B175" s="78">
        <f t="shared" si="52"/>
        <v>49857</v>
      </c>
      <c r="C175" s="75">
        <v>0</v>
      </c>
      <c r="D175" s="71">
        <f>IF(F175&lt;&gt;0,VLOOKUP($J175,'Table 1'!$B$13:$C$33,2,FALSE)/12*1000*Study_MW,0)</f>
        <v>0</v>
      </c>
      <c r="E175" s="71">
        <f t="shared" si="53"/>
        <v>0</v>
      </c>
      <c r="F175" s="75">
        <v>0</v>
      </c>
      <c r="G175" s="76" t="e">
        <f t="shared" si="54"/>
        <v>#DIV/0!</v>
      </c>
      <c r="I175" s="77">
        <f t="shared" si="51"/>
        <v>46</v>
      </c>
      <c r="J175" s="73">
        <f t="shared" si="55"/>
        <v>2036</v>
      </c>
      <c r="K175" s="78" t="str">
        <f t="shared" si="56"/>
        <v/>
      </c>
    </row>
    <row r="176" spans="2:11" outlineLevel="1">
      <c r="B176" s="78">
        <f t="shared" si="52"/>
        <v>49888</v>
      </c>
      <c r="C176" s="75">
        <v>0</v>
      </c>
      <c r="D176" s="71">
        <f>IF(F176&lt;&gt;0,VLOOKUP($J176,'Table 1'!$B$13:$C$33,2,FALSE)/12*1000*Study_MW,0)</f>
        <v>0</v>
      </c>
      <c r="E176" s="71">
        <f t="shared" si="53"/>
        <v>0</v>
      </c>
      <c r="F176" s="75">
        <v>0</v>
      </c>
      <c r="G176" s="76" t="e">
        <f t="shared" si="54"/>
        <v>#DIV/0!</v>
      </c>
      <c r="I176" s="77">
        <f t="shared" si="51"/>
        <v>47</v>
      </c>
      <c r="J176" s="73">
        <f t="shared" si="55"/>
        <v>2036</v>
      </c>
      <c r="K176" s="78" t="str">
        <f t="shared" si="56"/>
        <v/>
      </c>
    </row>
    <row r="177" spans="2:11" outlineLevel="1">
      <c r="B177" s="78">
        <f t="shared" si="52"/>
        <v>49919</v>
      </c>
      <c r="C177" s="75">
        <v>0</v>
      </c>
      <c r="D177" s="71">
        <f>IF(F177&lt;&gt;0,VLOOKUP($J177,'Table 1'!$B$13:$C$33,2,FALSE)/12*1000*Study_MW,0)</f>
        <v>0</v>
      </c>
      <c r="E177" s="71">
        <f t="shared" si="53"/>
        <v>0</v>
      </c>
      <c r="F177" s="75">
        <v>0</v>
      </c>
      <c r="G177" s="76" t="e">
        <f t="shared" si="54"/>
        <v>#DIV/0!</v>
      </c>
      <c r="I177" s="77">
        <f t="shared" si="51"/>
        <v>48</v>
      </c>
      <c r="J177" s="73">
        <f t="shared" si="55"/>
        <v>2036</v>
      </c>
      <c r="K177" s="78" t="str">
        <f t="shared" si="56"/>
        <v/>
      </c>
    </row>
    <row r="178" spans="2:11" outlineLevel="1">
      <c r="B178" s="78">
        <f t="shared" si="52"/>
        <v>49949</v>
      </c>
      <c r="C178" s="75">
        <v>0</v>
      </c>
      <c r="D178" s="71">
        <f>IF(F178&lt;&gt;0,VLOOKUP($J178,'Table 1'!$B$13:$C$33,2,FALSE)/12*1000*Study_MW,0)</f>
        <v>0</v>
      </c>
      <c r="E178" s="71">
        <f t="shared" si="53"/>
        <v>0</v>
      </c>
      <c r="F178" s="75">
        <v>0</v>
      </c>
      <c r="G178" s="76" t="e">
        <f t="shared" si="54"/>
        <v>#DIV/0!</v>
      </c>
      <c r="I178" s="77">
        <f t="shared" si="51"/>
        <v>49</v>
      </c>
      <c r="J178" s="73">
        <f t="shared" si="55"/>
        <v>2036</v>
      </c>
      <c r="K178" s="78" t="str">
        <f t="shared" si="56"/>
        <v/>
      </c>
    </row>
    <row r="179" spans="2:11" outlineLevel="1">
      <c r="B179" s="78">
        <f t="shared" si="52"/>
        <v>49980</v>
      </c>
      <c r="C179" s="75">
        <v>0</v>
      </c>
      <c r="D179" s="71">
        <f>IF(F179&lt;&gt;0,VLOOKUP($J179,'Table 1'!$B$13:$C$33,2,FALSE)/12*1000*Study_MW,0)</f>
        <v>0</v>
      </c>
      <c r="E179" s="71">
        <f t="shared" si="53"/>
        <v>0</v>
      </c>
      <c r="F179" s="75">
        <v>0</v>
      </c>
      <c r="G179" s="76" t="e">
        <f t="shared" si="54"/>
        <v>#DIV/0!</v>
      </c>
      <c r="I179" s="77">
        <f t="shared" si="51"/>
        <v>50</v>
      </c>
      <c r="J179" s="73">
        <f t="shared" si="55"/>
        <v>2036</v>
      </c>
      <c r="K179" s="78" t="str">
        <f t="shared" si="56"/>
        <v/>
      </c>
    </row>
    <row r="180" spans="2:11" outlineLevel="1">
      <c r="B180" s="82">
        <f t="shared" si="52"/>
        <v>50010</v>
      </c>
      <c r="C180" s="79">
        <v>0</v>
      </c>
      <c r="D180" s="80">
        <f>IF(F180&lt;&gt;0,VLOOKUP($J180,'Table 1'!$B$13:$C$33,2,FALSE)/12*1000*Study_MW,0)</f>
        <v>0</v>
      </c>
      <c r="E180" s="80">
        <f t="shared" si="53"/>
        <v>0</v>
      </c>
      <c r="F180" s="79">
        <v>0</v>
      </c>
      <c r="G180" s="81" t="e">
        <f t="shared" si="54"/>
        <v>#DIV/0!</v>
      </c>
      <c r="I180" s="64">
        <f t="shared" si="51"/>
        <v>51</v>
      </c>
      <c r="J180" s="73">
        <f t="shared" si="55"/>
        <v>2036</v>
      </c>
      <c r="K180" s="82" t="str">
        <f t="shared" si="56"/>
        <v/>
      </c>
    </row>
    <row r="181" spans="2:11">
      <c r="B181" s="74">
        <f t="shared" si="52"/>
        <v>50041</v>
      </c>
      <c r="C181" s="69">
        <v>0</v>
      </c>
      <c r="D181" s="70">
        <f>IF(F181&lt;&gt;0,VLOOKUP($J181,'Table 1'!$B$13:$C$33,2,FALSE)/12*1000*Study_MW,0)</f>
        <v>0</v>
      </c>
      <c r="E181" s="70">
        <f t="shared" si="53"/>
        <v>0</v>
      </c>
      <c r="F181" s="69">
        <v>0</v>
      </c>
      <c r="G181" s="72" t="e">
        <f t="shared" si="54"/>
        <v>#DIV/0!</v>
      </c>
      <c r="I181" s="60">
        <f>I61</f>
        <v>53</v>
      </c>
      <c r="J181" s="73">
        <f t="shared" si="55"/>
        <v>2037</v>
      </c>
      <c r="K181" s="74" t="str">
        <f t="shared" si="56"/>
        <v/>
      </c>
    </row>
    <row r="182" spans="2:11">
      <c r="B182" s="78">
        <f t="shared" si="52"/>
        <v>50072</v>
      </c>
      <c r="C182" s="75">
        <v>0</v>
      </c>
      <c r="D182" s="71">
        <f>IF(F182&lt;&gt;0,VLOOKUP($J182,'Table 1'!$B$13:$C$33,2,FALSE)/12*1000*Study_MW,0)</f>
        <v>0</v>
      </c>
      <c r="E182" s="71">
        <f t="shared" si="53"/>
        <v>0</v>
      </c>
      <c r="F182" s="75">
        <v>0</v>
      </c>
      <c r="G182" s="76" t="e">
        <f t="shared" si="54"/>
        <v>#DIV/0!</v>
      </c>
      <c r="I182" s="77">
        <f t="shared" si="51"/>
        <v>54</v>
      </c>
      <c r="J182" s="73">
        <f t="shared" si="55"/>
        <v>2037</v>
      </c>
      <c r="K182" s="78" t="str">
        <f t="shared" si="56"/>
        <v/>
      </c>
    </row>
    <row r="183" spans="2:11">
      <c r="B183" s="78">
        <f t="shared" si="52"/>
        <v>50100</v>
      </c>
      <c r="C183" s="75">
        <v>0</v>
      </c>
      <c r="D183" s="71">
        <f>IF(F183&lt;&gt;0,VLOOKUP($J183,'Table 1'!$B$13:$C$33,2,FALSE)/12*1000*Study_MW,0)</f>
        <v>0</v>
      </c>
      <c r="E183" s="71">
        <f t="shared" si="53"/>
        <v>0</v>
      </c>
      <c r="F183" s="75">
        <v>0</v>
      </c>
      <c r="G183" s="76" t="e">
        <f t="shared" si="54"/>
        <v>#DIV/0!</v>
      </c>
      <c r="I183" s="77">
        <f t="shared" si="51"/>
        <v>55</v>
      </c>
      <c r="J183" s="73">
        <f t="shared" si="55"/>
        <v>2037</v>
      </c>
      <c r="K183" s="78" t="str">
        <f t="shared" si="56"/>
        <v/>
      </c>
    </row>
    <row r="184" spans="2:11">
      <c r="B184" s="78">
        <f t="shared" si="52"/>
        <v>50131</v>
      </c>
      <c r="C184" s="75">
        <v>0</v>
      </c>
      <c r="D184" s="71">
        <f>IF(F184&lt;&gt;0,VLOOKUP($J184,'Table 1'!$B$13:$C$33,2,FALSE)/12*1000*Study_MW,0)</f>
        <v>0</v>
      </c>
      <c r="E184" s="71">
        <f t="shared" si="53"/>
        <v>0</v>
      </c>
      <c r="F184" s="75">
        <v>0</v>
      </c>
      <c r="G184" s="76" t="e">
        <f t="shared" si="54"/>
        <v>#DIV/0!</v>
      </c>
      <c r="I184" s="77">
        <f t="shared" si="51"/>
        <v>56</v>
      </c>
      <c r="J184" s="73">
        <f t="shared" si="55"/>
        <v>2037</v>
      </c>
      <c r="K184" s="78" t="str">
        <f t="shared" si="56"/>
        <v/>
      </c>
    </row>
    <row r="185" spans="2:11">
      <c r="B185" s="78">
        <f t="shared" si="52"/>
        <v>50161</v>
      </c>
      <c r="C185" s="75">
        <v>0</v>
      </c>
      <c r="D185" s="71">
        <f>IF(F185&lt;&gt;0,VLOOKUP($J185,'Table 1'!$B$13:$C$33,2,FALSE)/12*1000*Study_MW,0)</f>
        <v>0</v>
      </c>
      <c r="E185" s="71">
        <f t="shared" si="53"/>
        <v>0</v>
      </c>
      <c r="F185" s="75">
        <v>0</v>
      </c>
      <c r="G185" s="76" t="e">
        <f t="shared" si="54"/>
        <v>#DIV/0!</v>
      </c>
      <c r="I185" s="77">
        <f t="shared" si="51"/>
        <v>57</v>
      </c>
      <c r="J185" s="73">
        <f t="shared" si="55"/>
        <v>2037</v>
      </c>
      <c r="K185" s="78" t="str">
        <f t="shared" si="56"/>
        <v/>
      </c>
    </row>
    <row r="186" spans="2:11">
      <c r="B186" s="78">
        <f t="shared" si="52"/>
        <v>50192</v>
      </c>
      <c r="C186" s="75">
        <v>0</v>
      </c>
      <c r="D186" s="71">
        <f>IF(F186&lt;&gt;0,VLOOKUP($J186,'Table 1'!$B$13:$C$33,2,FALSE)/12*1000*Study_MW,0)</f>
        <v>0</v>
      </c>
      <c r="E186" s="71">
        <f t="shared" si="53"/>
        <v>0</v>
      </c>
      <c r="F186" s="75">
        <v>0</v>
      </c>
      <c r="G186" s="76" t="e">
        <f t="shared" si="54"/>
        <v>#DIV/0!</v>
      </c>
      <c r="I186" s="77">
        <f t="shared" si="51"/>
        <v>58</v>
      </c>
      <c r="J186" s="73">
        <f t="shared" si="55"/>
        <v>2037</v>
      </c>
      <c r="K186" s="78" t="str">
        <f t="shared" si="56"/>
        <v/>
      </c>
    </row>
    <row r="187" spans="2:11">
      <c r="B187" s="78">
        <f t="shared" si="52"/>
        <v>50222</v>
      </c>
      <c r="C187" s="75">
        <v>0</v>
      </c>
      <c r="D187" s="71">
        <f>IF(F187&lt;&gt;0,VLOOKUP($J187,'Table 1'!$B$13:$C$33,2,FALSE)/12*1000*Study_MW,0)</f>
        <v>0</v>
      </c>
      <c r="E187" s="71">
        <f t="shared" si="53"/>
        <v>0</v>
      </c>
      <c r="F187" s="75">
        <v>0</v>
      </c>
      <c r="G187" s="76" t="e">
        <f t="shared" si="54"/>
        <v>#DIV/0!</v>
      </c>
      <c r="I187" s="77">
        <f t="shared" si="51"/>
        <v>59</v>
      </c>
      <c r="J187" s="73">
        <f t="shared" si="55"/>
        <v>2037</v>
      </c>
      <c r="K187" s="78" t="str">
        <f t="shared" si="56"/>
        <v/>
      </c>
    </row>
    <row r="188" spans="2:11">
      <c r="B188" s="78">
        <f t="shared" si="52"/>
        <v>50253</v>
      </c>
      <c r="C188" s="75">
        <v>0</v>
      </c>
      <c r="D188" s="71">
        <f>IF(F188&lt;&gt;0,VLOOKUP($J188,'Table 1'!$B$13:$C$33,2,FALSE)/12*1000*Study_MW,0)</f>
        <v>0</v>
      </c>
      <c r="E188" s="71">
        <f t="shared" si="53"/>
        <v>0</v>
      </c>
      <c r="F188" s="75">
        <v>0</v>
      </c>
      <c r="G188" s="76" t="e">
        <f t="shared" si="54"/>
        <v>#DIV/0!</v>
      </c>
      <c r="I188" s="77">
        <f t="shared" si="51"/>
        <v>60</v>
      </c>
      <c r="J188" s="73">
        <f t="shared" si="55"/>
        <v>2037</v>
      </c>
      <c r="K188" s="78" t="str">
        <f t="shared" si="56"/>
        <v/>
      </c>
    </row>
    <row r="189" spans="2:11">
      <c r="B189" s="78">
        <f t="shared" si="52"/>
        <v>50284</v>
      </c>
      <c r="C189" s="75">
        <v>0</v>
      </c>
      <c r="D189" s="71">
        <f>IF(F189&lt;&gt;0,VLOOKUP($J189,'Table 1'!$B$13:$C$33,2,FALSE)/12*1000*Study_MW,0)</f>
        <v>0</v>
      </c>
      <c r="E189" s="71">
        <f t="shared" si="53"/>
        <v>0</v>
      </c>
      <c r="F189" s="75">
        <v>0</v>
      </c>
      <c r="G189" s="76" t="e">
        <f t="shared" si="54"/>
        <v>#DIV/0!</v>
      </c>
      <c r="I189" s="77">
        <f t="shared" si="51"/>
        <v>61</v>
      </c>
      <c r="J189" s="73">
        <f t="shared" si="55"/>
        <v>2037</v>
      </c>
      <c r="K189" s="78" t="str">
        <f t="shared" si="56"/>
        <v/>
      </c>
    </row>
    <row r="190" spans="2:11">
      <c r="B190" s="78">
        <f t="shared" si="52"/>
        <v>50314</v>
      </c>
      <c r="C190" s="75">
        <v>0</v>
      </c>
      <c r="D190" s="71">
        <f>IF(F190&lt;&gt;0,VLOOKUP($J190,'Table 1'!$B$13:$C$33,2,FALSE)/12*1000*Study_MW,0)</f>
        <v>0</v>
      </c>
      <c r="E190" s="71">
        <f t="shared" si="53"/>
        <v>0</v>
      </c>
      <c r="F190" s="75">
        <v>0</v>
      </c>
      <c r="G190" s="76" t="e">
        <f t="shared" si="54"/>
        <v>#DIV/0!</v>
      </c>
      <c r="I190" s="77">
        <f t="shared" si="51"/>
        <v>62</v>
      </c>
      <c r="J190" s="73">
        <f t="shared" si="55"/>
        <v>2037</v>
      </c>
      <c r="K190" s="78" t="str">
        <f t="shared" si="56"/>
        <v/>
      </c>
    </row>
    <row r="191" spans="2:11">
      <c r="B191" s="78">
        <f t="shared" si="52"/>
        <v>50345</v>
      </c>
      <c r="C191" s="75">
        <v>0</v>
      </c>
      <c r="D191" s="71">
        <f>IF(F191&lt;&gt;0,VLOOKUP($J191,'Table 1'!$B$13:$C$33,2,FALSE)/12*1000*Study_MW,0)</f>
        <v>0</v>
      </c>
      <c r="E191" s="71">
        <f t="shared" si="53"/>
        <v>0</v>
      </c>
      <c r="F191" s="75">
        <v>0</v>
      </c>
      <c r="G191" s="76" t="e">
        <f t="shared" si="54"/>
        <v>#DIV/0!</v>
      </c>
      <c r="I191" s="77">
        <f t="shared" si="51"/>
        <v>63</v>
      </c>
      <c r="J191" s="73">
        <f t="shared" si="55"/>
        <v>2037</v>
      </c>
      <c r="K191" s="78" t="str">
        <f t="shared" si="56"/>
        <v/>
      </c>
    </row>
    <row r="192" spans="2:11">
      <c r="B192" s="82">
        <f t="shared" si="52"/>
        <v>50375</v>
      </c>
      <c r="C192" s="79">
        <v>0</v>
      </c>
      <c r="D192" s="80">
        <f>IF(F192&lt;&gt;0,VLOOKUP($J192,'Table 1'!$B$13:$C$33,2,FALSE)/12*1000*Study_MW,0)</f>
        <v>0</v>
      </c>
      <c r="E192" s="80">
        <f t="shared" si="53"/>
        <v>0</v>
      </c>
      <c r="F192" s="79">
        <v>0</v>
      </c>
      <c r="G192" s="81" t="e">
        <f t="shared" si="54"/>
        <v>#DIV/0!</v>
      </c>
      <c r="I192" s="64">
        <f t="shared" si="51"/>
        <v>64</v>
      </c>
      <c r="J192" s="73">
        <f t="shared" si="55"/>
        <v>2037</v>
      </c>
      <c r="K192" s="82" t="str">
        <f t="shared" si="56"/>
        <v/>
      </c>
    </row>
    <row r="193" spans="2:20" outlineLevel="1">
      <c r="B193" s="74">
        <f t="shared" si="52"/>
        <v>50406</v>
      </c>
      <c r="C193" s="69">
        <v>0</v>
      </c>
      <c r="D193" s="70">
        <f>IF(F193&lt;&gt;0,VLOOKUP($J193,'Table 1'!$B$13:$C$33,2,FALSE)/12*1000*Study_MW,0)</f>
        <v>0</v>
      </c>
      <c r="E193" s="70">
        <f t="shared" ref="E193:E216" si="57">C193+D193</f>
        <v>0</v>
      </c>
      <c r="F193" s="69">
        <v>0</v>
      </c>
      <c r="G193" s="72" t="e">
        <f t="shared" ref="G193:G216" si="58">IF(ISNUMBER($F193),E193/$F193,"")</f>
        <v>#DIV/0!</v>
      </c>
      <c r="I193" s="60">
        <f>I73</f>
        <v>66</v>
      </c>
      <c r="J193" s="73">
        <f t="shared" ref="J193:J240" si="59">YEAR(B193)</f>
        <v>2038</v>
      </c>
      <c r="K193" s="74" t="str">
        <f t="shared" ref="K193:K240" si="60">IF(ISNUMBER(F193),IF(F193&lt;&gt;0,B193,""),"")</f>
        <v/>
      </c>
      <c r="M193" s="41">
        <f t="shared" ref="M193:M224" si="61">IRP21_Infl_Rate</f>
        <v>2.155E-2</v>
      </c>
    </row>
    <row r="194" spans="2:20" outlineLevel="1">
      <c r="B194" s="78">
        <f t="shared" si="52"/>
        <v>50437</v>
      </c>
      <c r="C194" s="75">
        <v>0</v>
      </c>
      <c r="D194" s="71">
        <f>IF(F194&lt;&gt;0,VLOOKUP($J194,'Table 1'!$B$13:$C$33,2,FALSE)/12*1000*Study_MW,0)</f>
        <v>0</v>
      </c>
      <c r="E194" s="71">
        <f t="shared" si="57"/>
        <v>0</v>
      </c>
      <c r="F194" s="75">
        <v>0</v>
      </c>
      <c r="G194" s="76" t="e">
        <f t="shared" si="58"/>
        <v>#DIV/0!</v>
      </c>
      <c r="I194" s="77">
        <f t="shared" si="51"/>
        <v>67</v>
      </c>
      <c r="J194" s="73">
        <f t="shared" si="59"/>
        <v>2038</v>
      </c>
      <c r="K194" s="78" t="str">
        <f t="shared" si="60"/>
        <v/>
      </c>
      <c r="M194" s="41">
        <f t="shared" si="61"/>
        <v>2.155E-2</v>
      </c>
    </row>
    <row r="195" spans="2:20" outlineLevel="1">
      <c r="B195" s="78">
        <f t="shared" si="52"/>
        <v>50465</v>
      </c>
      <c r="C195" s="75">
        <v>0</v>
      </c>
      <c r="D195" s="71">
        <f>IF(F195&lt;&gt;0,VLOOKUP($J195,'Table 1'!$B$13:$C$33,2,FALSE)/12*1000*Study_MW,0)</f>
        <v>0</v>
      </c>
      <c r="E195" s="71">
        <f t="shared" si="57"/>
        <v>0</v>
      </c>
      <c r="F195" s="75">
        <v>0</v>
      </c>
      <c r="G195" s="76" t="e">
        <f t="shared" si="58"/>
        <v>#DIV/0!</v>
      </c>
      <c r="I195" s="77">
        <f t="shared" si="51"/>
        <v>68</v>
      </c>
      <c r="J195" s="73">
        <f t="shared" si="59"/>
        <v>2038</v>
      </c>
      <c r="K195" s="78" t="str">
        <f t="shared" si="60"/>
        <v/>
      </c>
      <c r="M195" s="41">
        <f t="shared" si="61"/>
        <v>2.155E-2</v>
      </c>
    </row>
    <row r="196" spans="2:20" outlineLevel="1">
      <c r="B196" s="78">
        <f t="shared" si="52"/>
        <v>50496</v>
      </c>
      <c r="C196" s="75">
        <v>0</v>
      </c>
      <c r="D196" s="71">
        <f>IF(F196&lt;&gt;0,VLOOKUP($J196,'Table 1'!$B$13:$C$33,2,FALSE)/12*1000*Study_MW,0)</f>
        <v>0</v>
      </c>
      <c r="E196" s="71">
        <f t="shared" si="57"/>
        <v>0</v>
      </c>
      <c r="F196" s="75">
        <v>0</v>
      </c>
      <c r="G196" s="76" t="e">
        <f t="shared" si="58"/>
        <v>#DIV/0!</v>
      </c>
      <c r="I196" s="77">
        <f t="shared" si="51"/>
        <v>69</v>
      </c>
      <c r="J196" s="73">
        <f t="shared" si="59"/>
        <v>2038</v>
      </c>
      <c r="K196" s="78" t="str">
        <f t="shared" si="60"/>
        <v/>
      </c>
      <c r="M196" s="41">
        <f t="shared" si="61"/>
        <v>2.155E-2</v>
      </c>
    </row>
    <row r="197" spans="2:20" outlineLevel="1">
      <c r="B197" s="78">
        <f t="shared" si="52"/>
        <v>50526</v>
      </c>
      <c r="C197" s="75">
        <v>0</v>
      </c>
      <c r="D197" s="71">
        <f>IF(F197&lt;&gt;0,VLOOKUP($J197,'Table 1'!$B$13:$C$33,2,FALSE)/12*1000*Study_MW,0)</f>
        <v>0</v>
      </c>
      <c r="E197" s="71">
        <f t="shared" si="57"/>
        <v>0</v>
      </c>
      <c r="F197" s="75">
        <v>0</v>
      </c>
      <c r="G197" s="76" t="e">
        <f t="shared" si="58"/>
        <v>#DIV/0!</v>
      </c>
      <c r="I197" s="77">
        <f t="shared" si="51"/>
        <v>70</v>
      </c>
      <c r="J197" s="73">
        <f t="shared" si="59"/>
        <v>2038</v>
      </c>
      <c r="K197" s="78" t="str">
        <f t="shared" si="60"/>
        <v/>
      </c>
      <c r="M197" s="41">
        <f t="shared" si="61"/>
        <v>2.155E-2</v>
      </c>
    </row>
    <row r="198" spans="2:20" outlineLevel="1">
      <c r="B198" s="78">
        <f t="shared" si="52"/>
        <v>50557</v>
      </c>
      <c r="C198" s="75">
        <v>0</v>
      </c>
      <c r="D198" s="71">
        <f>IF(F198&lt;&gt;0,VLOOKUP($J198,'Table 1'!$B$13:$C$33,2,FALSE)/12*1000*Study_MW,0)</f>
        <v>0</v>
      </c>
      <c r="E198" s="71">
        <f t="shared" si="57"/>
        <v>0</v>
      </c>
      <c r="F198" s="75">
        <v>0</v>
      </c>
      <c r="G198" s="76" t="e">
        <f t="shared" si="58"/>
        <v>#DIV/0!</v>
      </c>
      <c r="I198" s="77">
        <f t="shared" ref="I198:I204" si="62">I78</f>
        <v>71</v>
      </c>
      <c r="J198" s="73">
        <f t="shared" si="59"/>
        <v>2038</v>
      </c>
      <c r="K198" s="78" t="str">
        <f t="shared" si="60"/>
        <v/>
      </c>
      <c r="M198" s="41">
        <f t="shared" si="61"/>
        <v>2.155E-2</v>
      </c>
    </row>
    <row r="199" spans="2:20" outlineLevel="1">
      <c r="B199" s="78">
        <f t="shared" si="52"/>
        <v>50587</v>
      </c>
      <c r="C199" s="75">
        <v>0</v>
      </c>
      <c r="D199" s="71">
        <f>IF(F199&lt;&gt;0,VLOOKUP($J199,'Table 1'!$B$13:$C$33,2,FALSE)/12*1000*Study_MW,0)</f>
        <v>0</v>
      </c>
      <c r="E199" s="71">
        <f t="shared" si="57"/>
        <v>0</v>
      </c>
      <c r="F199" s="75">
        <v>0</v>
      </c>
      <c r="G199" s="76" t="e">
        <f t="shared" si="58"/>
        <v>#DIV/0!</v>
      </c>
      <c r="I199" s="77">
        <f t="shared" si="62"/>
        <v>72</v>
      </c>
      <c r="J199" s="73">
        <f t="shared" si="59"/>
        <v>2038</v>
      </c>
      <c r="K199" s="78" t="str">
        <f t="shared" si="60"/>
        <v/>
      </c>
      <c r="M199" s="41">
        <f t="shared" si="61"/>
        <v>2.155E-2</v>
      </c>
    </row>
    <row r="200" spans="2:20" outlineLevel="1">
      <c r="B200" s="78">
        <f t="shared" si="52"/>
        <v>50618</v>
      </c>
      <c r="C200" s="75">
        <v>0</v>
      </c>
      <c r="D200" s="71">
        <f>IF(F200&lt;&gt;0,VLOOKUP($J200,'Table 1'!$B$13:$C$33,2,FALSE)/12*1000*Study_MW,0)</f>
        <v>0</v>
      </c>
      <c r="E200" s="71">
        <f t="shared" si="57"/>
        <v>0</v>
      </c>
      <c r="F200" s="75">
        <v>0</v>
      </c>
      <c r="G200" s="76" t="e">
        <f t="shared" si="58"/>
        <v>#DIV/0!</v>
      </c>
      <c r="I200" s="77">
        <f t="shared" si="62"/>
        <v>73</v>
      </c>
      <c r="J200" s="73">
        <f t="shared" si="59"/>
        <v>2038</v>
      </c>
      <c r="K200" s="78" t="str">
        <f t="shared" si="60"/>
        <v/>
      </c>
      <c r="M200" s="41">
        <f t="shared" si="61"/>
        <v>2.155E-2</v>
      </c>
    </row>
    <row r="201" spans="2:20" outlineLevel="1">
      <c r="B201" s="78">
        <f t="shared" si="52"/>
        <v>50649</v>
      </c>
      <c r="C201" s="75">
        <v>0</v>
      </c>
      <c r="D201" s="71">
        <f>IF(F201&lt;&gt;0,VLOOKUP($J201,'Table 1'!$B$13:$C$33,2,FALSE)/12*1000*Study_MW,0)</f>
        <v>0</v>
      </c>
      <c r="E201" s="71">
        <f t="shared" si="57"/>
        <v>0</v>
      </c>
      <c r="F201" s="75">
        <v>0</v>
      </c>
      <c r="G201" s="76" t="e">
        <f t="shared" si="58"/>
        <v>#DIV/0!</v>
      </c>
      <c r="I201" s="77">
        <f t="shared" si="62"/>
        <v>74</v>
      </c>
      <c r="J201" s="73">
        <f t="shared" si="59"/>
        <v>2038</v>
      </c>
      <c r="K201" s="78" t="str">
        <f t="shared" si="60"/>
        <v/>
      </c>
      <c r="M201" s="41">
        <f t="shared" si="61"/>
        <v>2.155E-2</v>
      </c>
    </row>
    <row r="202" spans="2:20" outlineLevel="1">
      <c r="B202" s="78">
        <f t="shared" si="52"/>
        <v>50679</v>
      </c>
      <c r="C202" s="75">
        <v>0</v>
      </c>
      <c r="D202" s="71">
        <f>IF(F202&lt;&gt;0,VLOOKUP($J202,'Table 1'!$B$13:$C$33,2,FALSE)/12*1000*Study_MW,0)</f>
        <v>0</v>
      </c>
      <c r="E202" s="71">
        <f t="shared" si="57"/>
        <v>0</v>
      </c>
      <c r="F202" s="75">
        <v>0</v>
      </c>
      <c r="G202" s="76" t="e">
        <f t="shared" si="58"/>
        <v>#DIV/0!</v>
      </c>
      <c r="I202" s="77">
        <f t="shared" si="62"/>
        <v>75</v>
      </c>
      <c r="J202" s="73">
        <f t="shared" si="59"/>
        <v>2038</v>
      </c>
      <c r="K202" s="78" t="str">
        <f t="shared" si="60"/>
        <v/>
      </c>
      <c r="M202" s="41">
        <f t="shared" si="61"/>
        <v>2.155E-2</v>
      </c>
    </row>
    <row r="203" spans="2:20" outlineLevel="1">
      <c r="B203" s="78">
        <f t="shared" si="52"/>
        <v>50710</v>
      </c>
      <c r="C203" s="75">
        <v>0</v>
      </c>
      <c r="D203" s="71">
        <f>IF(F203&lt;&gt;0,VLOOKUP($J203,'Table 1'!$B$13:$C$33,2,FALSE)/12*1000*Study_MW,0)</f>
        <v>0</v>
      </c>
      <c r="E203" s="71">
        <f t="shared" si="57"/>
        <v>0</v>
      </c>
      <c r="F203" s="75">
        <v>0</v>
      </c>
      <c r="G203" s="76" t="e">
        <f t="shared" si="58"/>
        <v>#DIV/0!</v>
      </c>
      <c r="I203" s="77">
        <f t="shared" si="62"/>
        <v>76</v>
      </c>
      <c r="J203" s="73">
        <f t="shared" si="59"/>
        <v>2038</v>
      </c>
      <c r="K203" s="78" t="str">
        <f t="shared" si="60"/>
        <v/>
      </c>
      <c r="M203" s="41">
        <f t="shared" si="61"/>
        <v>2.155E-2</v>
      </c>
    </row>
    <row r="204" spans="2:20" outlineLevel="1">
      <c r="B204" s="82">
        <f t="shared" si="52"/>
        <v>50740</v>
      </c>
      <c r="C204" s="79">
        <v>0</v>
      </c>
      <c r="D204" s="80">
        <f>IF(F204&lt;&gt;0,VLOOKUP($J204,'Table 1'!$B$13:$C$33,2,FALSE)/12*1000*Study_MW,0)</f>
        <v>0</v>
      </c>
      <c r="E204" s="80">
        <f t="shared" si="57"/>
        <v>0</v>
      </c>
      <c r="F204" s="79">
        <v>0</v>
      </c>
      <c r="G204" s="81" t="e">
        <f t="shared" si="58"/>
        <v>#DIV/0!</v>
      </c>
      <c r="I204" s="64">
        <f t="shared" si="62"/>
        <v>77</v>
      </c>
      <c r="J204" s="73">
        <f t="shared" si="59"/>
        <v>2038</v>
      </c>
      <c r="K204" s="82" t="str">
        <f t="shared" si="60"/>
        <v/>
      </c>
      <c r="M204" s="41">
        <f t="shared" si="61"/>
        <v>2.155E-2</v>
      </c>
    </row>
    <row r="205" spans="2:20" outlineLevel="1">
      <c r="B205" s="74">
        <f t="shared" si="52"/>
        <v>50771</v>
      </c>
      <c r="C205" s="69">
        <v>0</v>
      </c>
      <c r="D205" s="70">
        <f>IF(F205&lt;&gt;0,VLOOKUP($J205,'Table 1'!$B$13:$C$33,2,FALSE)/12*1000*Study_MW,0)</f>
        <v>0</v>
      </c>
      <c r="E205" s="70">
        <f t="shared" si="57"/>
        <v>0</v>
      </c>
      <c r="F205" s="69">
        <v>0</v>
      </c>
      <c r="G205" s="72" t="e">
        <f t="shared" si="58"/>
        <v>#DIV/0!</v>
      </c>
      <c r="I205" s="60">
        <f>I85</f>
        <v>79</v>
      </c>
      <c r="J205" s="73">
        <f t="shared" si="59"/>
        <v>2039</v>
      </c>
      <c r="K205" s="74" t="str">
        <f t="shared" si="60"/>
        <v/>
      </c>
      <c r="M205" s="41">
        <f t="shared" si="61"/>
        <v>2.155E-2</v>
      </c>
      <c r="T205" s="170"/>
    </row>
    <row r="206" spans="2:20" outlineLevel="1">
      <c r="B206" s="78">
        <f t="shared" ref="B206:B240" si="63">EDATE(B205,1)</f>
        <v>50802</v>
      </c>
      <c r="C206" s="75">
        <v>0</v>
      </c>
      <c r="D206" s="71">
        <f>IF(F206&lt;&gt;0,VLOOKUP($J206,'Table 1'!$B$13:$C$33,2,FALSE)/12*1000*Study_MW,0)</f>
        <v>0</v>
      </c>
      <c r="E206" s="71">
        <f t="shared" si="57"/>
        <v>0</v>
      </c>
      <c r="F206" s="75">
        <v>0</v>
      </c>
      <c r="G206" s="76" t="e">
        <f t="shared" si="58"/>
        <v>#DIV/0!</v>
      </c>
      <c r="I206" s="77">
        <f t="shared" ref="I206:I216" si="64">I86</f>
        <v>80</v>
      </c>
      <c r="J206" s="73">
        <f t="shared" si="59"/>
        <v>2039</v>
      </c>
      <c r="K206" s="78" t="str">
        <f t="shared" si="60"/>
        <v/>
      </c>
      <c r="M206" s="41">
        <f t="shared" si="61"/>
        <v>2.155E-2</v>
      </c>
      <c r="T206" s="170"/>
    </row>
    <row r="207" spans="2:20" outlineLevel="1">
      <c r="B207" s="78">
        <f t="shared" si="63"/>
        <v>50830</v>
      </c>
      <c r="C207" s="75">
        <v>0</v>
      </c>
      <c r="D207" s="71">
        <f>IF(F207&lt;&gt;0,VLOOKUP($J207,'Table 1'!$B$13:$C$33,2,FALSE)/12*1000*Study_MW,0)</f>
        <v>0</v>
      </c>
      <c r="E207" s="71">
        <f t="shared" si="57"/>
        <v>0</v>
      </c>
      <c r="F207" s="75">
        <v>0</v>
      </c>
      <c r="G207" s="76" t="e">
        <f t="shared" si="58"/>
        <v>#DIV/0!</v>
      </c>
      <c r="I207" s="77">
        <f t="shared" si="64"/>
        <v>81</v>
      </c>
      <c r="J207" s="73">
        <f t="shared" si="59"/>
        <v>2039</v>
      </c>
      <c r="K207" s="78" t="str">
        <f t="shared" si="60"/>
        <v/>
      </c>
      <c r="M207" s="41">
        <f t="shared" si="61"/>
        <v>2.155E-2</v>
      </c>
      <c r="T207" s="170"/>
    </row>
    <row r="208" spans="2:20" outlineLevel="1">
      <c r="B208" s="78">
        <f t="shared" si="63"/>
        <v>50861</v>
      </c>
      <c r="C208" s="75">
        <v>0</v>
      </c>
      <c r="D208" s="71">
        <f>IF(F208&lt;&gt;0,VLOOKUP($J208,'Table 1'!$B$13:$C$33,2,FALSE)/12*1000*Study_MW,0)</f>
        <v>0</v>
      </c>
      <c r="E208" s="71">
        <f t="shared" si="57"/>
        <v>0</v>
      </c>
      <c r="F208" s="75">
        <v>0</v>
      </c>
      <c r="G208" s="76" t="e">
        <f t="shared" si="58"/>
        <v>#DIV/0!</v>
      </c>
      <c r="I208" s="77">
        <f t="shared" si="64"/>
        <v>82</v>
      </c>
      <c r="J208" s="73">
        <f t="shared" si="59"/>
        <v>2039</v>
      </c>
      <c r="K208" s="78" t="str">
        <f t="shared" si="60"/>
        <v/>
      </c>
      <c r="M208" s="41">
        <f t="shared" si="61"/>
        <v>2.155E-2</v>
      </c>
      <c r="T208" s="170"/>
    </row>
    <row r="209" spans="2:20" outlineLevel="1">
      <c r="B209" s="78">
        <f t="shared" si="63"/>
        <v>50891</v>
      </c>
      <c r="C209" s="75">
        <v>0</v>
      </c>
      <c r="D209" s="71">
        <f>IF(F209&lt;&gt;0,VLOOKUP($J209,'Table 1'!$B$13:$C$33,2,FALSE)/12*1000*Study_MW,0)</f>
        <v>0</v>
      </c>
      <c r="E209" s="71">
        <f t="shared" si="57"/>
        <v>0</v>
      </c>
      <c r="F209" s="75">
        <v>0</v>
      </c>
      <c r="G209" s="76" t="e">
        <f t="shared" si="58"/>
        <v>#DIV/0!</v>
      </c>
      <c r="I209" s="77">
        <f t="shared" si="64"/>
        <v>83</v>
      </c>
      <c r="J209" s="73">
        <f t="shared" si="59"/>
        <v>2039</v>
      </c>
      <c r="K209" s="78" t="str">
        <f t="shared" si="60"/>
        <v/>
      </c>
      <c r="M209" s="41">
        <f t="shared" si="61"/>
        <v>2.155E-2</v>
      </c>
      <c r="T209" s="170"/>
    </row>
    <row r="210" spans="2:20" outlineLevel="1">
      <c r="B210" s="78">
        <f t="shared" si="63"/>
        <v>50922</v>
      </c>
      <c r="C210" s="75">
        <v>0</v>
      </c>
      <c r="D210" s="71">
        <f>IF(F210&lt;&gt;0,VLOOKUP($J210,'Table 1'!$B$13:$C$33,2,FALSE)/12*1000*Study_MW,0)</f>
        <v>0</v>
      </c>
      <c r="E210" s="71">
        <f t="shared" si="57"/>
        <v>0</v>
      </c>
      <c r="F210" s="75">
        <v>0</v>
      </c>
      <c r="G210" s="76" t="e">
        <f t="shared" si="58"/>
        <v>#DIV/0!</v>
      </c>
      <c r="I210" s="77">
        <f t="shared" si="64"/>
        <v>84</v>
      </c>
      <c r="J210" s="73">
        <f t="shared" si="59"/>
        <v>2039</v>
      </c>
      <c r="K210" s="78" t="str">
        <f t="shared" si="60"/>
        <v/>
      </c>
      <c r="M210" s="41">
        <f t="shared" si="61"/>
        <v>2.155E-2</v>
      </c>
      <c r="T210" s="170"/>
    </row>
    <row r="211" spans="2:20" outlineLevel="1">
      <c r="B211" s="78">
        <f t="shared" si="63"/>
        <v>50952</v>
      </c>
      <c r="C211" s="75">
        <v>0</v>
      </c>
      <c r="D211" s="71">
        <f>IF(F211&lt;&gt;0,VLOOKUP($J211,'Table 1'!$B$13:$C$33,2,FALSE)/12*1000*Study_MW,0)</f>
        <v>0</v>
      </c>
      <c r="E211" s="71">
        <f t="shared" si="57"/>
        <v>0</v>
      </c>
      <c r="F211" s="75">
        <v>0</v>
      </c>
      <c r="G211" s="76" t="e">
        <f t="shared" si="58"/>
        <v>#DIV/0!</v>
      </c>
      <c r="I211" s="77">
        <f t="shared" si="64"/>
        <v>85</v>
      </c>
      <c r="J211" s="73">
        <f t="shared" si="59"/>
        <v>2039</v>
      </c>
      <c r="K211" s="78" t="str">
        <f t="shared" si="60"/>
        <v/>
      </c>
      <c r="M211" s="41">
        <f t="shared" si="61"/>
        <v>2.155E-2</v>
      </c>
      <c r="T211" s="170"/>
    </row>
    <row r="212" spans="2:20" outlineLevel="1">
      <c r="B212" s="78">
        <f t="shared" si="63"/>
        <v>50983</v>
      </c>
      <c r="C212" s="75">
        <v>0</v>
      </c>
      <c r="D212" s="71">
        <f>IF(F212&lt;&gt;0,VLOOKUP($J212,'Table 1'!$B$13:$C$33,2,FALSE)/12*1000*Study_MW,0)</f>
        <v>0</v>
      </c>
      <c r="E212" s="71">
        <f t="shared" si="57"/>
        <v>0</v>
      </c>
      <c r="F212" s="75">
        <v>0</v>
      </c>
      <c r="G212" s="76" t="e">
        <f t="shared" si="58"/>
        <v>#DIV/0!</v>
      </c>
      <c r="I212" s="77">
        <f t="shared" si="64"/>
        <v>86</v>
      </c>
      <c r="J212" s="73">
        <f t="shared" si="59"/>
        <v>2039</v>
      </c>
      <c r="K212" s="78" t="str">
        <f t="shared" si="60"/>
        <v/>
      </c>
      <c r="M212" s="41">
        <f t="shared" si="61"/>
        <v>2.155E-2</v>
      </c>
      <c r="T212" s="170"/>
    </row>
    <row r="213" spans="2:20" outlineLevel="1">
      <c r="B213" s="78">
        <f t="shared" si="63"/>
        <v>51014</v>
      </c>
      <c r="C213" s="75">
        <v>0</v>
      </c>
      <c r="D213" s="71">
        <f>IF(F213&lt;&gt;0,VLOOKUP($J213,'Table 1'!$B$13:$C$33,2,FALSE)/12*1000*Study_MW,0)</f>
        <v>0</v>
      </c>
      <c r="E213" s="71">
        <f t="shared" si="57"/>
        <v>0</v>
      </c>
      <c r="F213" s="75">
        <v>0</v>
      </c>
      <c r="G213" s="76" t="e">
        <f t="shared" si="58"/>
        <v>#DIV/0!</v>
      </c>
      <c r="I213" s="77">
        <f t="shared" si="64"/>
        <v>87</v>
      </c>
      <c r="J213" s="73">
        <f t="shared" si="59"/>
        <v>2039</v>
      </c>
      <c r="K213" s="78" t="str">
        <f t="shared" si="60"/>
        <v/>
      </c>
      <c r="M213" s="41">
        <f t="shared" si="61"/>
        <v>2.155E-2</v>
      </c>
      <c r="T213" s="170"/>
    </row>
    <row r="214" spans="2:20" outlineLevel="1">
      <c r="B214" s="78">
        <f t="shared" si="63"/>
        <v>51044</v>
      </c>
      <c r="C214" s="75">
        <v>0</v>
      </c>
      <c r="D214" s="71">
        <f>IF(F214&lt;&gt;0,VLOOKUP($J214,'Table 1'!$B$13:$C$33,2,FALSE)/12*1000*Study_MW,0)</f>
        <v>0</v>
      </c>
      <c r="E214" s="71">
        <f t="shared" si="57"/>
        <v>0</v>
      </c>
      <c r="F214" s="75">
        <v>0</v>
      </c>
      <c r="G214" s="76" t="e">
        <f t="shared" si="58"/>
        <v>#DIV/0!</v>
      </c>
      <c r="I214" s="77">
        <f t="shared" si="64"/>
        <v>88</v>
      </c>
      <c r="J214" s="73">
        <f t="shared" si="59"/>
        <v>2039</v>
      </c>
      <c r="K214" s="78" t="str">
        <f t="shared" si="60"/>
        <v/>
      </c>
      <c r="M214" s="41">
        <f t="shared" si="61"/>
        <v>2.155E-2</v>
      </c>
      <c r="T214" s="170"/>
    </row>
    <row r="215" spans="2:20" outlineLevel="1">
      <c r="B215" s="78">
        <f t="shared" si="63"/>
        <v>51075</v>
      </c>
      <c r="C215" s="75">
        <v>0</v>
      </c>
      <c r="D215" s="71">
        <f>IF(F215&lt;&gt;0,VLOOKUP($J215,'Table 1'!$B$13:$C$33,2,FALSE)/12*1000*Study_MW,0)</f>
        <v>0</v>
      </c>
      <c r="E215" s="71">
        <f t="shared" si="57"/>
        <v>0</v>
      </c>
      <c r="F215" s="75">
        <v>0</v>
      </c>
      <c r="G215" s="76" t="e">
        <f t="shared" si="58"/>
        <v>#DIV/0!</v>
      </c>
      <c r="I215" s="77">
        <f t="shared" si="64"/>
        <v>89</v>
      </c>
      <c r="J215" s="73">
        <f t="shared" si="59"/>
        <v>2039</v>
      </c>
      <c r="K215" s="78" t="str">
        <f t="shared" si="60"/>
        <v/>
      </c>
      <c r="M215" s="41">
        <f t="shared" si="61"/>
        <v>2.155E-2</v>
      </c>
      <c r="T215" s="170"/>
    </row>
    <row r="216" spans="2:20" outlineLevel="1">
      <c r="B216" s="82">
        <f t="shared" si="63"/>
        <v>51105</v>
      </c>
      <c r="C216" s="79">
        <v>0</v>
      </c>
      <c r="D216" s="80">
        <f>IF(F216&lt;&gt;0,VLOOKUP($J216,'Table 1'!$B$13:$C$33,2,FALSE)/12*1000*Study_MW,0)</f>
        <v>0</v>
      </c>
      <c r="E216" s="80">
        <f t="shared" si="57"/>
        <v>0</v>
      </c>
      <c r="F216" s="79">
        <v>0</v>
      </c>
      <c r="G216" s="81" t="e">
        <f t="shared" si="58"/>
        <v>#DIV/0!</v>
      </c>
      <c r="I216" s="64">
        <f t="shared" si="64"/>
        <v>90</v>
      </c>
      <c r="J216" s="73">
        <f t="shared" si="59"/>
        <v>2039</v>
      </c>
      <c r="K216" s="82" t="str">
        <f t="shared" si="60"/>
        <v/>
      </c>
      <c r="M216" s="41">
        <f t="shared" si="61"/>
        <v>2.155E-2</v>
      </c>
      <c r="T216" s="170"/>
    </row>
    <row r="217" spans="2:20" outlineLevel="1">
      <c r="B217" s="74">
        <f t="shared" si="63"/>
        <v>51136</v>
      </c>
      <c r="C217" s="69">
        <v>0</v>
      </c>
      <c r="D217" s="70">
        <f>IF(F217&lt;&gt;0,VLOOKUP($J217,'Table 1'!$B$13:$C$33,2,FALSE)/12*1000*Study_MW,0)</f>
        <v>0</v>
      </c>
      <c r="E217" s="70">
        <f t="shared" ref="E217:E240" si="65">C217+D217</f>
        <v>0</v>
      </c>
      <c r="F217" s="69">
        <v>0</v>
      </c>
      <c r="G217" s="72" t="e">
        <f t="shared" ref="G217:G240" si="66">IF(ISNUMBER($F217),E217/$F217,"")</f>
        <v>#DIV/0!</v>
      </c>
      <c r="I217" s="60">
        <f>I97</f>
        <v>92</v>
      </c>
      <c r="J217" s="73">
        <f t="shared" si="59"/>
        <v>2040</v>
      </c>
      <c r="K217" s="74" t="str">
        <f t="shared" si="60"/>
        <v/>
      </c>
      <c r="M217" s="41">
        <f t="shared" si="61"/>
        <v>2.155E-2</v>
      </c>
      <c r="T217" s="170"/>
    </row>
    <row r="218" spans="2:20" outlineLevel="1">
      <c r="B218" s="78">
        <f t="shared" si="63"/>
        <v>51167</v>
      </c>
      <c r="C218" s="75">
        <v>0</v>
      </c>
      <c r="D218" s="71">
        <f>IF(F218&lt;&gt;0,VLOOKUP($J218,'Table 1'!$B$13:$C$33,2,FALSE)/12*1000*Study_MW,0)</f>
        <v>0</v>
      </c>
      <c r="E218" s="71">
        <f t="shared" si="65"/>
        <v>0</v>
      </c>
      <c r="F218" s="75">
        <v>0</v>
      </c>
      <c r="G218" s="76" t="e">
        <f t="shared" si="66"/>
        <v>#DIV/0!</v>
      </c>
      <c r="I218" s="77">
        <f t="shared" ref="I218:I228" si="67">I98</f>
        <v>93</v>
      </c>
      <c r="J218" s="73">
        <f t="shared" si="59"/>
        <v>2040</v>
      </c>
      <c r="K218" s="78" t="str">
        <f t="shared" si="60"/>
        <v/>
      </c>
      <c r="M218" s="41">
        <f t="shared" si="61"/>
        <v>2.155E-2</v>
      </c>
      <c r="T218" s="170"/>
    </row>
    <row r="219" spans="2:20" outlineLevel="1">
      <c r="B219" s="78">
        <f t="shared" si="63"/>
        <v>51196</v>
      </c>
      <c r="C219" s="75">
        <v>0</v>
      </c>
      <c r="D219" s="71">
        <f>IF(F219&lt;&gt;0,VLOOKUP($J219,'Table 1'!$B$13:$C$33,2,FALSE)/12*1000*Study_MW,0)</f>
        <v>0</v>
      </c>
      <c r="E219" s="71">
        <f t="shared" si="65"/>
        <v>0</v>
      </c>
      <c r="F219" s="75">
        <v>0</v>
      </c>
      <c r="G219" s="76" t="e">
        <f t="shared" si="66"/>
        <v>#DIV/0!</v>
      </c>
      <c r="I219" s="77">
        <f t="shared" si="67"/>
        <v>94</v>
      </c>
      <c r="J219" s="73">
        <f t="shared" si="59"/>
        <v>2040</v>
      </c>
      <c r="K219" s="78" t="str">
        <f t="shared" si="60"/>
        <v/>
      </c>
      <c r="M219" s="41">
        <f t="shared" si="61"/>
        <v>2.155E-2</v>
      </c>
      <c r="T219" s="170"/>
    </row>
    <row r="220" spans="2:20" outlineLevel="1">
      <c r="B220" s="78">
        <f t="shared" si="63"/>
        <v>51227</v>
      </c>
      <c r="C220" s="75">
        <v>0</v>
      </c>
      <c r="D220" s="71">
        <f>IF(F220&lt;&gt;0,VLOOKUP($J220,'Table 1'!$B$13:$C$33,2,FALSE)/12*1000*Study_MW,0)</f>
        <v>0</v>
      </c>
      <c r="E220" s="71">
        <f t="shared" si="65"/>
        <v>0</v>
      </c>
      <c r="F220" s="75">
        <v>0</v>
      </c>
      <c r="G220" s="76" t="e">
        <f t="shared" si="66"/>
        <v>#DIV/0!</v>
      </c>
      <c r="I220" s="77">
        <f t="shared" si="67"/>
        <v>95</v>
      </c>
      <c r="J220" s="73">
        <f t="shared" si="59"/>
        <v>2040</v>
      </c>
      <c r="K220" s="78" t="str">
        <f t="shared" si="60"/>
        <v/>
      </c>
      <c r="M220" s="41">
        <f t="shared" si="61"/>
        <v>2.155E-2</v>
      </c>
      <c r="T220" s="170"/>
    </row>
    <row r="221" spans="2:20" outlineLevel="1">
      <c r="B221" s="78">
        <f t="shared" si="63"/>
        <v>51257</v>
      </c>
      <c r="C221" s="75">
        <v>0</v>
      </c>
      <c r="D221" s="71">
        <f>IF(F221&lt;&gt;0,VLOOKUP($J221,'Table 1'!$B$13:$C$33,2,FALSE)/12*1000*Study_MW,0)</f>
        <v>0</v>
      </c>
      <c r="E221" s="71">
        <f t="shared" si="65"/>
        <v>0</v>
      </c>
      <c r="F221" s="75">
        <v>0</v>
      </c>
      <c r="G221" s="76" t="e">
        <f t="shared" si="66"/>
        <v>#DIV/0!</v>
      </c>
      <c r="I221" s="77">
        <f t="shared" si="67"/>
        <v>96</v>
      </c>
      <c r="J221" s="73">
        <f t="shared" si="59"/>
        <v>2040</v>
      </c>
      <c r="K221" s="78" t="str">
        <f t="shared" si="60"/>
        <v/>
      </c>
      <c r="M221" s="41">
        <f t="shared" si="61"/>
        <v>2.155E-2</v>
      </c>
      <c r="T221" s="170"/>
    </row>
    <row r="222" spans="2:20" outlineLevel="1">
      <c r="B222" s="78">
        <f t="shared" si="63"/>
        <v>51288</v>
      </c>
      <c r="C222" s="75">
        <v>0</v>
      </c>
      <c r="D222" s="71">
        <f>IF(F222&lt;&gt;0,VLOOKUP($J222,'Table 1'!$B$13:$C$33,2,FALSE)/12*1000*Study_MW,0)</f>
        <v>0</v>
      </c>
      <c r="E222" s="71">
        <f t="shared" si="65"/>
        <v>0</v>
      </c>
      <c r="F222" s="75">
        <v>0</v>
      </c>
      <c r="G222" s="76" t="e">
        <f t="shared" si="66"/>
        <v>#DIV/0!</v>
      </c>
      <c r="I222" s="77">
        <f t="shared" si="67"/>
        <v>97</v>
      </c>
      <c r="J222" s="73">
        <f t="shared" si="59"/>
        <v>2040</v>
      </c>
      <c r="K222" s="78" t="str">
        <f t="shared" si="60"/>
        <v/>
      </c>
      <c r="M222" s="41">
        <f t="shared" si="61"/>
        <v>2.155E-2</v>
      </c>
      <c r="T222" s="170"/>
    </row>
    <row r="223" spans="2:20" outlineLevel="1">
      <c r="B223" s="78">
        <f t="shared" si="63"/>
        <v>51318</v>
      </c>
      <c r="C223" s="75">
        <v>0</v>
      </c>
      <c r="D223" s="71">
        <f>IF(F223&lt;&gt;0,VLOOKUP($J223,'Table 1'!$B$13:$C$33,2,FALSE)/12*1000*Study_MW,0)</f>
        <v>0</v>
      </c>
      <c r="E223" s="71">
        <f t="shared" si="65"/>
        <v>0</v>
      </c>
      <c r="F223" s="75">
        <v>0</v>
      </c>
      <c r="G223" s="76" t="e">
        <f t="shared" si="66"/>
        <v>#DIV/0!</v>
      </c>
      <c r="I223" s="77">
        <f t="shared" si="67"/>
        <v>98</v>
      </c>
      <c r="J223" s="73">
        <f t="shared" si="59"/>
        <v>2040</v>
      </c>
      <c r="K223" s="78" t="str">
        <f t="shared" si="60"/>
        <v/>
      </c>
      <c r="M223" s="41">
        <f t="shared" si="61"/>
        <v>2.155E-2</v>
      </c>
      <c r="T223" s="170"/>
    </row>
    <row r="224" spans="2:20" outlineLevel="1">
      <c r="B224" s="78">
        <f t="shared" si="63"/>
        <v>51349</v>
      </c>
      <c r="C224" s="75">
        <v>0</v>
      </c>
      <c r="D224" s="71">
        <f>IF(F224&lt;&gt;0,VLOOKUP($J224,'Table 1'!$B$13:$C$33,2,FALSE)/12*1000*Study_MW,0)</f>
        <v>0</v>
      </c>
      <c r="E224" s="71">
        <f t="shared" si="65"/>
        <v>0</v>
      </c>
      <c r="F224" s="75">
        <v>0</v>
      </c>
      <c r="G224" s="76" t="e">
        <f t="shared" si="66"/>
        <v>#DIV/0!</v>
      </c>
      <c r="I224" s="77">
        <f t="shared" si="67"/>
        <v>99</v>
      </c>
      <c r="J224" s="73">
        <f t="shared" si="59"/>
        <v>2040</v>
      </c>
      <c r="K224" s="78" t="str">
        <f t="shared" si="60"/>
        <v/>
      </c>
      <c r="M224" s="41">
        <f t="shared" si="61"/>
        <v>2.155E-2</v>
      </c>
      <c r="T224" s="170"/>
    </row>
    <row r="225" spans="2:20" outlineLevel="1">
      <c r="B225" s="78">
        <f t="shared" si="63"/>
        <v>51380</v>
      </c>
      <c r="C225" s="75">
        <v>0</v>
      </c>
      <c r="D225" s="71">
        <f>IF(F225&lt;&gt;0,VLOOKUP($J225,'Table 1'!$B$13:$C$33,2,FALSE)/12*1000*Study_MW,0)</f>
        <v>0</v>
      </c>
      <c r="E225" s="71">
        <f t="shared" si="65"/>
        <v>0</v>
      </c>
      <c r="F225" s="75">
        <v>0</v>
      </c>
      <c r="G225" s="76" t="e">
        <f t="shared" si="66"/>
        <v>#DIV/0!</v>
      </c>
      <c r="I225" s="77">
        <f t="shared" si="67"/>
        <v>100</v>
      </c>
      <c r="J225" s="73">
        <f t="shared" si="59"/>
        <v>2040</v>
      </c>
      <c r="K225" s="78" t="str">
        <f t="shared" si="60"/>
        <v/>
      </c>
      <c r="M225" s="41">
        <f t="shared" ref="M225:M256" si="68">IRP21_Infl_Rate</f>
        <v>2.155E-2</v>
      </c>
      <c r="T225" s="170"/>
    </row>
    <row r="226" spans="2:20" outlineLevel="1">
      <c r="B226" s="78">
        <f t="shared" si="63"/>
        <v>51410</v>
      </c>
      <c r="C226" s="75">
        <v>0</v>
      </c>
      <c r="D226" s="71">
        <f>IF(F226&lt;&gt;0,VLOOKUP($J226,'Table 1'!$B$13:$C$33,2,FALSE)/12*1000*Study_MW,0)</f>
        <v>0</v>
      </c>
      <c r="E226" s="71">
        <f t="shared" si="65"/>
        <v>0</v>
      </c>
      <c r="F226" s="75">
        <v>0</v>
      </c>
      <c r="G226" s="76" t="e">
        <f t="shared" si="66"/>
        <v>#DIV/0!</v>
      </c>
      <c r="I226" s="77">
        <f t="shared" si="67"/>
        <v>101</v>
      </c>
      <c r="J226" s="73">
        <f t="shared" si="59"/>
        <v>2040</v>
      </c>
      <c r="K226" s="78" t="str">
        <f t="shared" si="60"/>
        <v/>
      </c>
      <c r="M226" s="41">
        <f t="shared" si="68"/>
        <v>2.155E-2</v>
      </c>
      <c r="T226" s="170"/>
    </row>
    <row r="227" spans="2:20" outlineLevel="1">
      <c r="B227" s="78">
        <f t="shared" si="63"/>
        <v>51441</v>
      </c>
      <c r="C227" s="75">
        <v>0</v>
      </c>
      <c r="D227" s="71">
        <f>IF(F227&lt;&gt;0,VLOOKUP($J227,'Table 1'!$B$13:$C$33,2,FALSE)/12*1000*Study_MW,0)</f>
        <v>0</v>
      </c>
      <c r="E227" s="71">
        <f t="shared" si="65"/>
        <v>0</v>
      </c>
      <c r="F227" s="75">
        <v>0</v>
      </c>
      <c r="G227" s="76" t="e">
        <f t="shared" si="66"/>
        <v>#DIV/0!</v>
      </c>
      <c r="I227" s="77">
        <f t="shared" si="67"/>
        <v>102</v>
      </c>
      <c r="J227" s="73">
        <f t="shared" si="59"/>
        <v>2040</v>
      </c>
      <c r="K227" s="78" t="str">
        <f t="shared" si="60"/>
        <v/>
      </c>
      <c r="M227" s="41">
        <f t="shared" si="68"/>
        <v>2.155E-2</v>
      </c>
      <c r="T227" s="170"/>
    </row>
    <row r="228" spans="2:20" outlineLevel="1">
      <c r="B228" s="82">
        <f t="shared" si="63"/>
        <v>51471</v>
      </c>
      <c r="C228" s="79">
        <v>0</v>
      </c>
      <c r="D228" s="80">
        <f>IF(F228&lt;&gt;0,VLOOKUP($J228,'Table 1'!$B$13:$C$33,2,FALSE)/12*1000*Study_MW,0)</f>
        <v>0</v>
      </c>
      <c r="E228" s="80">
        <f t="shared" si="65"/>
        <v>0</v>
      </c>
      <c r="F228" s="79">
        <v>0</v>
      </c>
      <c r="G228" s="81" t="e">
        <f t="shared" si="66"/>
        <v>#DIV/0!</v>
      </c>
      <c r="I228" s="64">
        <f t="shared" si="67"/>
        <v>103</v>
      </c>
      <c r="J228" s="73">
        <f t="shared" si="59"/>
        <v>2040</v>
      </c>
      <c r="K228" s="82" t="str">
        <f t="shared" si="60"/>
        <v/>
      </c>
      <c r="M228" s="41">
        <f t="shared" si="68"/>
        <v>2.155E-2</v>
      </c>
      <c r="T228" s="170"/>
    </row>
    <row r="229" spans="2:20" outlineLevel="1">
      <c r="B229" s="74">
        <f t="shared" si="63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5"/>
        <v>0</v>
      </c>
      <c r="F229" s="69">
        <v>0</v>
      </c>
      <c r="G229" s="72" t="e">
        <f t="shared" si="66"/>
        <v>#DIV/0!</v>
      </c>
      <c r="I229" s="60">
        <f>I109</f>
        <v>105</v>
      </c>
      <c r="J229" s="73">
        <f t="shared" si="59"/>
        <v>2041</v>
      </c>
      <c r="K229" s="74" t="str">
        <f t="shared" si="60"/>
        <v/>
      </c>
      <c r="M229" s="41">
        <f t="shared" si="68"/>
        <v>2.155E-2</v>
      </c>
      <c r="T229" s="170"/>
    </row>
    <row r="230" spans="2:20" outlineLevel="1">
      <c r="B230" s="78">
        <f t="shared" si="63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5"/>
        <v>0</v>
      </c>
      <c r="F230" s="75">
        <v>0</v>
      </c>
      <c r="G230" s="76" t="e">
        <f t="shared" si="66"/>
        <v>#DIV/0!</v>
      </c>
      <c r="I230" s="77">
        <f t="shared" ref="I230:I240" si="69">I110</f>
        <v>106</v>
      </c>
      <c r="J230" s="73">
        <f t="shared" si="59"/>
        <v>2041</v>
      </c>
      <c r="K230" s="78" t="str">
        <f t="shared" si="60"/>
        <v/>
      </c>
      <c r="M230" s="41">
        <f t="shared" si="68"/>
        <v>2.155E-2</v>
      </c>
      <c r="T230" s="170"/>
    </row>
    <row r="231" spans="2:20" outlineLevel="1">
      <c r="B231" s="78">
        <f t="shared" si="63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5"/>
        <v>0</v>
      </c>
      <c r="F231" s="75">
        <v>0</v>
      </c>
      <c r="G231" s="76" t="e">
        <f t="shared" si="66"/>
        <v>#DIV/0!</v>
      </c>
      <c r="I231" s="77">
        <f t="shared" si="69"/>
        <v>107</v>
      </c>
      <c r="J231" s="73">
        <f t="shared" si="59"/>
        <v>2041</v>
      </c>
      <c r="K231" s="78" t="str">
        <f t="shared" si="60"/>
        <v/>
      </c>
      <c r="M231" s="41">
        <f t="shared" si="68"/>
        <v>2.155E-2</v>
      </c>
      <c r="T231" s="170"/>
    </row>
    <row r="232" spans="2:20" outlineLevel="1">
      <c r="B232" s="78">
        <f t="shared" si="63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5"/>
        <v>0</v>
      </c>
      <c r="F232" s="75">
        <v>0</v>
      </c>
      <c r="G232" s="76" t="e">
        <f t="shared" si="66"/>
        <v>#DIV/0!</v>
      </c>
      <c r="I232" s="77">
        <f t="shared" si="69"/>
        <v>108</v>
      </c>
      <c r="J232" s="73">
        <f t="shared" si="59"/>
        <v>2041</v>
      </c>
      <c r="K232" s="78" t="str">
        <f t="shared" si="60"/>
        <v/>
      </c>
      <c r="M232" s="41">
        <f t="shared" si="68"/>
        <v>2.155E-2</v>
      </c>
      <c r="T232" s="170"/>
    </row>
    <row r="233" spans="2:20" outlineLevel="1">
      <c r="B233" s="78">
        <f t="shared" si="63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5"/>
        <v>0</v>
      </c>
      <c r="F233" s="75">
        <v>0</v>
      </c>
      <c r="G233" s="76" t="e">
        <f t="shared" si="66"/>
        <v>#DIV/0!</v>
      </c>
      <c r="I233" s="77">
        <f t="shared" si="69"/>
        <v>109</v>
      </c>
      <c r="J233" s="73">
        <f t="shared" si="59"/>
        <v>2041</v>
      </c>
      <c r="K233" s="78" t="str">
        <f t="shared" si="60"/>
        <v/>
      </c>
      <c r="M233" s="41">
        <f t="shared" si="68"/>
        <v>2.155E-2</v>
      </c>
      <c r="T233" s="170"/>
    </row>
    <row r="234" spans="2:20" outlineLevel="1">
      <c r="B234" s="78">
        <f t="shared" si="63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5"/>
        <v>0</v>
      </c>
      <c r="F234" s="75">
        <v>0</v>
      </c>
      <c r="G234" s="76" t="e">
        <f t="shared" si="66"/>
        <v>#DIV/0!</v>
      </c>
      <c r="I234" s="77">
        <f t="shared" si="69"/>
        <v>110</v>
      </c>
      <c r="J234" s="73">
        <f t="shared" si="59"/>
        <v>2041</v>
      </c>
      <c r="K234" s="78" t="str">
        <f t="shared" si="60"/>
        <v/>
      </c>
      <c r="M234" s="41">
        <f t="shared" si="68"/>
        <v>2.155E-2</v>
      </c>
      <c r="T234" s="170"/>
    </row>
    <row r="235" spans="2:20" outlineLevel="1">
      <c r="B235" s="78">
        <f t="shared" si="63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5"/>
        <v>0</v>
      </c>
      <c r="F235" s="75">
        <v>0</v>
      </c>
      <c r="G235" s="76" t="e">
        <f t="shared" si="66"/>
        <v>#DIV/0!</v>
      </c>
      <c r="I235" s="77">
        <f t="shared" si="69"/>
        <v>111</v>
      </c>
      <c r="J235" s="73">
        <f t="shared" si="59"/>
        <v>2041</v>
      </c>
      <c r="K235" s="78" t="str">
        <f t="shared" si="60"/>
        <v/>
      </c>
      <c r="M235" s="41">
        <f t="shared" si="68"/>
        <v>2.155E-2</v>
      </c>
      <c r="T235" s="170"/>
    </row>
    <row r="236" spans="2:20" outlineLevel="1">
      <c r="B236" s="78">
        <f t="shared" si="63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5"/>
        <v>0</v>
      </c>
      <c r="F236" s="75">
        <v>0</v>
      </c>
      <c r="G236" s="76" t="e">
        <f t="shared" si="66"/>
        <v>#DIV/0!</v>
      </c>
      <c r="I236" s="77">
        <f t="shared" si="69"/>
        <v>112</v>
      </c>
      <c r="J236" s="73">
        <f t="shared" si="59"/>
        <v>2041</v>
      </c>
      <c r="K236" s="78" t="str">
        <f t="shared" si="60"/>
        <v/>
      </c>
      <c r="M236" s="41">
        <f t="shared" si="68"/>
        <v>2.155E-2</v>
      </c>
      <c r="T236" s="170"/>
    </row>
    <row r="237" spans="2:20" outlineLevel="1">
      <c r="B237" s="78">
        <f t="shared" si="63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5"/>
        <v>0</v>
      </c>
      <c r="F237" s="75">
        <v>0</v>
      </c>
      <c r="G237" s="76" t="e">
        <f t="shared" si="66"/>
        <v>#DIV/0!</v>
      </c>
      <c r="I237" s="77">
        <f t="shared" si="69"/>
        <v>113</v>
      </c>
      <c r="J237" s="73">
        <f t="shared" si="59"/>
        <v>2041</v>
      </c>
      <c r="K237" s="78" t="str">
        <f t="shared" si="60"/>
        <v/>
      </c>
      <c r="M237" s="41">
        <f t="shared" si="68"/>
        <v>2.155E-2</v>
      </c>
      <c r="T237" s="170"/>
    </row>
    <row r="238" spans="2:20" outlineLevel="1">
      <c r="B238" s="78">
        <f t="shared" si="63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5"/>
        <v>0</v>
      </c>
      <c r="F238" s="75">
        <v>0</v>
      </c>
      <c r="G238" s="76" t="e">
        <f t="shared" si="66"/>
        <v>#DIV/0!</v>
      </c>
      <c r="I238" s="77">
        <f t="shared" si="69"/>
        <v>114</v>
      </c>
      <c r="J238" s="73">
        <f t="shared" si="59"/>
        <v>2041</v>
      </c>
      <c r="K238" s="78" t="str">
        <f t="shared" si="60"/>
        <v/>
      </c>
      <c r="M238" s="41">
        <f t="shared" si="68"/>
        <v>2.155E-2</v>
      </c>
      <c r="T238" s="170"/>
    </row>
    <row r="239" spans="2:20" outlineLevel="1">
      <c r="B239" s="78">
        <f t="shared" si="63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5"/>
        <v>0</v>
      </c>
      <c r="F239" s="75">
        <v>0</v>
      </c>
      <c r="G239" s="76" t="e">
        <f t="shared" si="66"/>
        <v>#DIV/0!</v>
      </c>
      <c r="I239" s="77">
        <f t="shared" si="69"/>
        <v>115</v>
      </c>
      <c r="J239" s="73">
        <f t="shared" si="59"/>
        <v>2041</v>
      </c>
      <c r="K239" s="78" t="str">
        <f t="shared" si="60"/>
        <v/>
      </c>
      <c r="M239" s="41">
        <f t="shared" si="68"/>
        <v>2.155E-2</v>
      </c>
      <c r="T239" s="170"/>
    </row>
    <row r="240" spans="2:20" outlineLevel="1">
      <c r="B240" s="82">
        <f t="shared" si="63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5"/>
        <v>0</v>
      </c>
      <c r="F240" s="79">
        <v>0</v>
      </c>
      <c r="G240" s="81" t="e">
        <f t="shared" si="66"/>
        <v>#DIV/0!</v>
      </c>
      <c r="I240" s="64">
        <f t="shared" si="69"/>
        <v>116</v>
      </c>
      <c r="J240" s="73">
        <f t="shared" si="59"/>
        <v>2041</v>
      </c>
      <c r="K240" s="82" t="str">
        <f t="shared" si="60"/>
        <v/>
      </c>
      <c r="M240" s="41">
        <f t="shared" si="68"/>
        <v>2.155E-2</v>
      </c>
      <c r="T240" s="170"/>
    </row>
    <row r="241" spans="2:20" outlineLevel="1">
      <c r="B241" s="186">
        <f t="shared" ref="B241:B276" si="70">EDATE(B240,1)</f>
        <v>51867</v>
      </c>
      <c r="C241" s="364" t="e">
        <f>(C229*(1+M241))*IF(AND(MONTH(K241)=2,OR(J229=2036,J229=2040)),28/29,1)</f>
        <v>#VALUE!</v>
      </c>
      <c r="D241" s="365">
        <f>IF(ISNUMBER($F241)*SUM(F241:F252)&lt;&gt;0,VLOOKUP($J241,'Table 1'!$B$13:$C$33,2,FALSE)/12*1000*Study_MW,0)</f>
        <v>0</v>
      </c>
      <c r="E241" s="365" t="e">
        <f t="shared" ref="E241:E264" si="71">C241+D241</f>
        <v>#VALUE!</v>
      </c>
      <c r="F241" s="364">
        <v>0</v>
      </c>
      <c r="G241" s="366">
        <f t="shared" ref="G241:G264" si="72">IFERROR(E241/$F241,0)</f>
        <v>0</v>
      </c>
      <c r="I241" s="60">
        <f>I121</f>
        <v>118</v>
      </c>
      <c r="J241" s="73">
        <f t="shared" ref="J241:J252" si="73">YEAR(B241)</f>
        <v>2042</v>
      </c>
      <c r="K241" s="74" t="str">
        <f t="shared" ref="K241:K252" si="74">IF(ISNUMBER(F241),IF(F241&lt;&gt;0,B241,""),"")</f>
        <v/>
      </c>
      <c r="M241" s="41">
        <f t="shared" si="68"/>
        <v>2.155E-2</v>
      </c>
      <c r="T241" s="170"/>
    </row>
    <row r="242" spans="2:20" outlineLevel="1">
      <c r="B242" s="187">
        <f t="shared" si="70"/>
        <v>51898</v>
      </c>
      <c r="C242" s="367" t="e">
        <f t="shared" ref="C242:C252" si="75">(C230*(1+M242))*IF(AND(MONTH(K242)=2,OR(J230=2036,J230=2040)),28/29,1)</f>
        <v>#VALUE!</v>
      </c>
      <c r="D242" s="368">
        <f>IF(ISNUMBER($F242)*SUM(F242:F253)&lt;&gt;0,VLOOKUP($J242,'Table 1'!$B$13:$C$33,2,FALSE)/12*1000*Study_MW,0)</f>
        <v>0</v>
      </c>
      <c r="E242" s="368" t="e">
        <f t="shared" si="71"/>
        <v>#VALUE!</v>
      </c>
      <c r="F242" s="367">
        <v>0</v>
      </c>
      <c r="G242" s="369">
        <f t="shared" si="72"/>
        <v>0</v>
      </c>
      <c r="I242" s="77">
        <f t="shared" ref="I242:I276" si="76">I122</f>
        <v>119</v>
      </c>
      <c r="J242" s="73">
        <f t="shared" si="73"/>
        <v>2042</v>
      </c>
      <c r="K242" s="78" t="str">
        <f t="shared" si="74"/>
        <v/>
      </c>
      <c r="M242" s="41">
        <f t="shared" si="68"/>
        <v>2.155E-2</v>
      </c>
      <c r="T242" s="170"/>
    </row>
    <row r="243" spans="2:20" outlineLevel="1">
      <c r="B243" s="187">
        <f t="shared" si="70"/>
        <v>51926</v>
      </c>
      <c r="C243" s="367" t="e">
        <f t="shared" si="75"/>
        <v>#VALUE!</v>
      </c>
      <c r="D243" s="368">
        <f>IF(ISNUMBER($F243)*SUM(F243:F254)&lt;&gt;0,VLOOKUP($J243,'Table 1'!$B$13:$C$33,2,FALSE)/12*1000*Study_MW,0)</f>
        <v>0</v>
      </c>
      <c r="E243" s="368" t="e">
        <f t="shared" si="71"/>
        <v>#VALUE!</v>
      </c>
      <c r="F243" s="367">
        <v>0</v>
      </c>
      <c r="G243" s="369">
        <f t="shared" si="72"/>
        <v>0</v>
      </c>
      <c r="I243" s="77">
        <f t="shared" si="76"/>
        <v>120</v>
      </c>
      <c r="J243" s="73">
        <f t="shared" si="73"/>
        <v>2042</v>
      </c>
      <c r="K243" s="78" t="str">
        <f t="shared" si="74"/>
        <v/>
      </c>
      <c r="M243" s="41">
        <f t="shared" si="68"/>
        <v>2.155E-2</v>
      </c>
      <c r="T243" s="170"/>
    </row>
    <row r="244" spans="2:20" outlineLevel="1">
      <c r="B244" s="187">
        <f t="shared" si="70"/>
        <v>51957</v>
      </c>
      <c r="C244" s="367" t="e">
        <f t="shared" si="75"/>
        <v>#VALUE!</v>
      </c>
      <c r="D244" s="368">
        <f>IF(ISNUMBER($F244)*SUM(F244:F255)&lt;&gt;0,VLOOKUP($J244,'Table 1'!$B$13:$C$33,2,FALSE)/12*1000*Study_MW,0)</f>
        <v>0</v>
      </c>
      <c r="E244" s="368" t="e">
        <f t="shared" si="71"/>
        <v>#VALUE!</v>
      </c>
      <c r="F244" s="367">
        <v>0</v>
      </c>
      <c r="G244" s="369">
        <f t="shared" si="72"/>
        <v>0</v>
      </c>
      <c r="I244" s="77">
        <f t="shared" si="76"/>
        <v>121</v>
      </c>
      <c r="J244" s="73">
        <f t="shared" si="73"/>
        <v>2042</v>
      </c>
      <c r="K244" s="78" t="str">
        <f t="shared" si="74"/>
        <v/>
      </c>
      <c r="M244" s="41">
        <f t="shared" si="68"/>
        <v>2.155E-2</v>
      </c>
      <c r="T244" s="170"/>
    </row>
    <row r="245" spans="2:20" outlineLevel="1">
      <c r="B245" s="187">
        <f t="shared" si="70"/>
        <v>51987</v>
      </c>
      <c r="C245" s="367" t="e">
        <f t="shared" si="75"/>
        <v>#VALUE!</v>
      </c>
      <c r="D245" s="368">
        <f>IF(ISNUMBER($F245)*SUM(F245:F256)&lt;&gt;0,VLOOKUP($J245,'Table 1'!$B$13:$C$33,2,FALSE)/12*1000*Study_MW,0)</f>
        <v>0</v>
      </c>
      <c r="E245" s="368" t="e">
        <f t="shared" si="71"/>
        <v>#VALUE!</v>
      </c>
      <c r="F245" s="367">
        <v>0</v>
      </c>
      <c r="G245" s="369">
        <f t="shared" si="72"/>
        <v>0</v>
      </c>
      <c r="I245" s="77">
        <f t="shared" si="76"/>
        <v>122</v>
      </c>
      <c r="J245" s="73">
        <f t="shared" si="73"/>
        <v>2042</v>
      </c>
      <c r="K245" s="78" t="str">
        <f t="shared" si="74"/>
        <v/>
      </c>
      <c r="M245" s="41">
        <f t="shared" si="68"/>
        <v>2.155E-2</v>
      </c>
      <c r="T245" s="170"/>
    </row>
    <row r="246" spans="2:20" outlineLevel="1">
      <c r="B246" s="187">
        <f t="shared" si="70"/>
        <v>52018</v>
      </c>
      <c r="C246" s="367" t="e">
        <f t="shared" si="75"/>
        <v>#VALUE!</v>
      </c>
      <c r="D246" s="368">
        <f>IF(ISNUMBER($F246)*SUM(F246:F257)&lt;&gt;0,VLOOKUP($J246,'Table 1'!$B$13:$C$33,2,FALSE)/12*1000*Study_MW,0)</f>
        <v>0</v>
      </c>
      <c r="E246" s="368" t="e">
        <f t="shared" si="71"/>
        <v>#VALUE!</v>
      </c>
      <c r="F246" s="367">
        <v>0</v>
      </c>
      <c r="G246" s="369">
        <f t="shared" si="72"/>
        <v>0</v>
      </c>
      <c r="I246" s="77">
        <f t="shared" si="76"/>
        <v>123</v>
      </c>
      <c r="J246" s="73">
        <f t="shared" si="73"/>
        <v>2042</v>
      </c>
      <c r="K246" s="78" t="str">
        <f t="shared" si="74"/>
        <v/>
      </c>
      <c r="M246" s="41">
        <f t="shared" si="68"/>
        <v>2.155E-2</v>
      </c>
      <c r="T246" s="170"/>
    </row>
    <row r="247" spans="2:20" outlineLevel="1">
      <c r="B247" s="187">
        <f t="shared" si="70"/>
        <v>52048</v>
      </c>
      <c r="C247" s="367" t="e">
        <f t="shared" si="75"/>
        <v>#VALUE!</v>
      </c>
      <c r="D247" s="368">
        <f>IF(ISNUMBER($F247)*SUM(F247:F258)&lt;&gt;0,VLOOKUP($J247,'Table 1'!$B$13:$C$33,2,FALSE)/12*1000*Study_MW,0)</f>
        <v>0</v>
      </c>
      <c r="E247" s="368" t="e">
        <f t="shared" si="71"/>
        <v>#VALUE!</v>
      </c>
      <c r="F247" s="367">
        <v>0</v>
      </c>
      <c r="G247" s="369">
        <f t="shared" si="72"/>
        <v>0</v>
      </c>
      <c r="I247" s="77">
        <f t="shared" si="76"/>
        <v>124</v>
      </c>
      <c r="J247" s="73">
        <f t="shared" si="73"/>
        <v>2042</v>
      </c>
      <c r="K247" s="78" t="str">
        <f t="shared" si="74"/>
        <v/>
      </c>
      <c r="M247" s="41">
        <f t="shared" si="68"/>
        <v>2.155E-2</v>
      </c>
      <c r="T247" s="170"/>
    </row>
    <row r="248" spans="2:20" outlineLevel="1">
      <c r="B248" s="187">
        <f t="shared" si="70"/>
        <v>52079</v>
      </c>
      <c r="C248" s="367" t="e">
        <f t="shared" si="75"/>
        <v>#VALUE!</v>
      </c>
      <c r="D248" s="368">
        <f>IF(ISNUMBER($F248)*SUM(F248:F259)&lt;&gt;0,VLOOKUP($J248,'Table 1'!$B$13:$C$33,2,FALSE)/12*1000*Study_MW,0)</f>
        <v>0</v>
      </c>
      <c r="E248" s="368" t="e">
        <f t="shared" si="71"/>
        <v>#VALUE!</v>
      </c>
      <c r="F248" s="367">
        <v>0</v>
      </c>
      <c r="G248" s="369">
        <f t="shared" si="72"/>
        <v>0</v>
      </c>
      <c r="I248" s="77">
        <f t="shared" si="76"/>
        <v>125</v>
      </c>
      <c r="J248" s="73">
        <f t="shared" si="73"/>
        <v>2042</v>
      </c>
      <c r="K248" s="78" t="str">
        <f t="shared" si="74"/>
        <v/>
      </c>
      <c r="M248" s="41">
        <f t="shared" si="68"/>
        <v>2.155E-2</v>
      </c>
      <c r="T248" s="170"/>
    </row>
    <row r="249" spans="2:20" outlineLevel="1">
      <c r="B249" s="187">
        <f t="shared" si="70"/>
        <v>52110</v>
      </c>
      <c r="C249" s="367" t="e">
        <f t="shared" si="75"/>
        <v>#VALUE!</v>
      </c>
      <c r="D249" s="368">
        <f>IF(ISNUMBER($F249)*SUM(F249:F260)&lt;&gt;0,VLOOKUP($J249,'Table 1'!$B$13:$C$33,2,FALSE)/12*1000*Study_MW,0)</f>
        <v>0</v>
      </c>
      <c r="E249" s="368" t="e">
        <f t="shared" si="71"/>
        <v>#VALUE!</v>
      </c>
      <c r="F249" s="367">
        <v>0</v>
      </c>
      <c r="G249" s="369">
        <f t="shared" si="72"/>
        <v>0</v>
      </c>
      <c r="I249" s="77">
        <f t="shared" si="76"/>
        <v>126</v>
      </c>
      <c r="J249" s="73">
        <f t="shared" si="73"/>
        <v>2042</v>
      </c>
      <c r="K249" s="78" t="str">
        <f t="shared" si="74"/>
        <v/>
      </c>
      <c r="M249" s="41">
        <f t="shared" si="68"/>
        <v>2.155E-2</v>
      </c>
      <c r="T249" s="170"/>
    </row>
    <row r="250" spans="2:20" outlineLevel="1">
      <c r="B250" s="187">
        <f t="shared" si="70"/>
        <v>52140</v>
      </c>
      <c r="C250" s="367" t="e">
        <f t="shared" si="75"/>
        <v>#VALUE!</v>
      </c>
      <c r="D250" s="368">
        <f>IF(ISNUMBER($F250)*SUM(F250:F261)&lt;&gt;0,VLOOKUP($J250,'Table 1'!$B$13:$C$33,2,FALSE)/12*1000*Study_MW,0)</f>
        <v>0</v>
      </c>
      <c r="E250" s="368" t="e">
        <f t="shared" si="71"/>
        <v>#VALUE!</v>
      </c>
      <c r="F250" s="367">
        <v>0</v>
      </c>
      <c r="G250" s="369">
        <f t="shared" si="72"/>
        <v>0</v>
      </c>
      <c r="I250" s="77">
        <f t="shared" si="76"/>
        <v>127</v>
      </c>
      <c r="J250" s="73">
        <f t="shared" si="73"/>
        <v>2042</v>
      </c>
      <c r="K250" s="78" t="str">
        <f t="shared" si="74"/>
        <v/>
      </c>
      <c r="M250" s="41">
        <f t="shared" si="68"/>
        <v>2.155E-2</v>
      </c>
      <c r="T250" s="170"/>
    </row>
    <row r="251" spans="2:20" outlineLevel="1">
      <c r="B251" s="187">
        <f t="shared" si="70"/>
        <v>52171</v>
      </c>
      <c r="C251" s="367" t="e">
        <f t="shared" si="75"/>
        <v>#VALUE!</v>
      </c>
      <c r="D251" s="368">
        <f>IF(ISNUMBER($F251)*SUM(F251:F262)&lt;&gt;0,VLOOKUP($J251,'Table 1'!$B$13:$C$33,2,FALSE)/12*1000*Study_MW,0)</f>
        <v>0</v>
      </c>
      <c r="E251" s="368" t="e">
        <f t="shared" si="71"/>
        <v>#VALUE!</v>
      </c>
      <c r="F251" s="367">
        <v>0</v>
      </c>
      <c r="G251" s="369">
        <f t="shared" si="72"/>
        <v>0</v>
      </c>
      <c r="I251" s="77">
        <f t="shared" si="76"/>
        <v>128</v>
      </c>
      <c r="J251" s="73">
        <f t="shared" si="73"/>
        <v>2042</v>
      </c>
      <c r="K251" s="78" t="str">
        <f t="shared" si="74"/>
        <v/>
      </c>
      <c r="M251" s="41">
        <f t="shared" si="68"/>
        <v>2.155E-2</v>
      </c>
      <c r="O251" s="170"/>
      <c r="P251" s="170"/>
      <c r="T251" s="170"/>
    </row>
    <row r="252" spans="2:20" outlineLevel="1" collapsed="1">
      <c r="B252" s="188">
        <f t="shared" si="70"/>
        <v>52201</v>
      </c>
      <c r="C252" s="370" t="e">
        <f t="shared" si="75"/>
        <v>#VALUE!</v>
      </c>
      <c r="D252" s="371">
        <f>IF(ISNUMBER($F252)*SUM(F252:F263)&lt;&gt;0,VLOOKUP($J252,'Table 1'!$B$13:$C$33,2,FALSE)/12*1000*Study_MW,0)</f>
        <v>0</v>
      </c>
      <c r="E252" s="371" t="e">
        <f t="shared" si="71"/>
        <v>#VALUE!</v>
      </c>
      <c r="F252" s="370">
        <v>0</v>
      </c>
      <c r="G252" s="372">
        <f t="shared" si="72"/>
        <v>0</v>
      </c>
      <c r="I252" s="64">
        <f t="shared" si="76"/>
        <v>129</v>
      </c>
      <c r="J252" s="73">
        <f t="shared" si="73"/>
        <v>2042</v>
      </c>
      <c r="K252" s="82" t="str">
        <f t="shared" si="74"/>
        <v/>
      </c>
      <c r="M252" s="41">
        <f t="shared" si="68"/>
        <v>2.155E-2</v>
      </c>
      <c r="O252" s="170"/>
      <c r="P252" s="170"/>
      <c r="T252" s="170"/>
    </row>
    <row r="253" spans="2:20" outlineLevel="1">
      <c r="B253" s="186">
        <f t="shared" si="70"/>
        <v>52232</v>
      </c>
      <c r="C253" s="364" t="e">
        <f>(C241*(1+M253))*IF(AND(MONTH(K253)=2,OR(J241=2036,J241=2040)),28/29,1)</f>
        <v>#VALUE!</v>
      </c>
      <c r="D253" s="365">
        <f>IF(ISNUMBER($F253)*SUM(F253:F264)&lt;&gt;0,VLOOKUP($J253,'Table 1'!$B$13:$C$33,2,FALSE)/12*1000*Study_MW,0)</f>
        <v>0</v>
      </c>
      <c r="E253" s="365" t="e">
        <f t="shared" si="71"/>
        <v>#VALUE!</v>
      </c>
      <c r="F253" s="364">
        <v>0</v>
      </c>
      <c r="G253" s="366">
        <f t="shared" si="72"/>
        <v>0</v>
      </c>
      <c r="I253" s="60">
        <f>I133</f>
        <v>1</v>
      </c>
      <c r="J253" s="73">
        <f t="shared" ref="J253:J276" si="77">YEAR(B253)</f>
        <v>2043</v>
      </c>
      <c r="K253" s="74" t="str">
        <f t="shared" ref="K253:K276" si="78">IF(ISNUMBER(F253),IF(F253&lt;&gt;0,B253,""),"")</f>
        <v/>
      </c>
      <c r="M253" s="41">
        <f t="shared" si="68"/>
        <v>2.155E-2</v>
      </c>
      <c r="O253" s="170"/>
      <c r="P253" s="170"/>
      <c r="T253" s="170"/>
    </row>
    <row r="254" spans="2:20" outlineLevel="1">
      <c r="B254" s="187">
        <f t="shared" si="70"/>
        <v>52263</v>
      </c>
      <c r="C254" s="367" t="e">
        <f t="shared" ref="C254:C264" si="79">(C242*(1+M254))*IF(AND(MONTH(K254)=2,OR(J242=2036,J242=2040)),28/29,1)</f>
        <v>#VALUE!</v>
      </c>
      <c r="D254" s="368">
        <f>IF(ISNUMBER($F254)*SUM(F254:F265)&lt;&gt;0,VLOOKUP($J254,'Table 1'!$B$13:$C$33,2,FALSE)/12*1000*Study_MW,0)</f>
        <v>0</v>
      </c>
      <c r="E254" s="368" t="e">
        <f t="shared" si="71"/>
        <v>#VALUE!</v>
      </c>
      <c r="F254" s="367">
        <v>0</v>
      </c>
      <c r="G254" s="369">
        <f t="shared" si="72"/>
        <v>0</v>
      </c>
      <c r="I254" s="77">
        <f t="shared" si="76"/>
        <v>2</v>
      </c>
      <c r="J254" s="73">
        <f t="shared" si="77"/>
        <v>2043</v>
      </c>
      <c r="K254" s="78" t="str">
        <f t="shared" si="78"/>
        <v/>
      </c>
      <c r="M254" s="41">
        <f t="shared" si="68"/>
        <v>2.155E-2</v>
      </c>
      <c r="O254" s="170"/>
      <c r="P254" s="170"/>
      <c r="T254" s="170"/>
    </row>
    <row r="255" spans="2:20" outlineLevel="1">
      <c r="B255" s="187">
        <f t="shared" si="70"/>
        <v>52291</v>
      </c>
      <c r="C255" s="367" t="e">
        <f t="shared" si="79"/>
        <v>#VALUE!</v>
      </c>
      <c r="D255" s="368">
        <f>IF(ISNUMBER($F255)*SUM(F255:F266)&lt;&gt;0,VLOOKUP($J255,'Table 1'!$B$13:$C$33,2,FALSE)/12*1000*Study_MW,0)</f>
        <v>0</v>
      </c>
      <c r="E255" s="368" t="e">
        <f t="shared" si="71"/>
        <v>#VALUE!</v>
      </c>
      <c r="F255" s="367">
        <v>0</v>
      </c>
      <c r="G255" s="369">
        <f t="shared" si="72"/>
        <v>0</v>
      </c>
      <c r="I255" s="77">
        <f t="shared" si="76"/>
        <v>3</v>
      </c>
      <c r="J255" s="73">
        <f t="shared" si="77"/>
        <v>2043</v>
      </c>
      <c r="K255" s="78" t="str">
        <f t="shared" si="78"/>
        <v/>
      </c>
      <c r="M255" s="41">
        <f t="shared" si="68"/>
        <v>2.155E-2</v>
      </c>
      <c r="O255" s="170"/>
      <c r="P255" s="170"/>
      <c r="T255" s="170"/>
    </row>
    <row r="256" spans="2:20" outlineLevel="1">
      <c r="B256" s="187">
        <f t="shared" si="70"/>
        <v>52322</v>
      </c>
      <c r="C256" s="367" t="e">
        <f t="shared" si="79"/>
        <v>#VALUE!</v>
      </c>
      <c r="D256" s="368">
        <f>IF(ISNUMBER($F256)*SUM(F256:F267)&lt;&gt;0,VLOOKUP($J256,'Table 1'!$B$13:$C$33,2,FALSE)/12*1000*Study_MW,0)</f>
        <v>0</v>
      </c>
      <c r="E256" s="368" t="e">
        <f t="shared" si="71"/>
        <v>#VALUE!</v>
      </c>
      <c r="F256" s="367">
        <v>0</v>
      </c>
      <c r="G256" s="369">
        <f t="shared" si="72"/>
        <v>0</v>
      </c>
      <c r="I256" s="77">
        <f t="shared" si="76"/>
        <v>4</v>
      </c>
      <c r="J256" s="73">
        <f t="shared" si="77"/>
        <v>2043</v>
      </c>
      <c r="K256" s="78" t="str">
        <f t="shared" si="78"/>
        <v/>
      </c>
      <c r="M256" s="41">
        <f t="shared" si="68"/>
        <v>2.155E-2</v>
      </c>
      <c r="O256" s="170"/>
      <c r="P256" s="170"/>
      <c r="T256" s="170"/>
    </row>
    <row r="257" spans="2:20" outlineLevel="1">
      <c r="B257" s="187">
        <f t="shared" si="70"/>
        <v>52352</v>
      </c>
      <c r="C257" s="367" t="e">
        <f t="shared" si="79"/>
        <v>#VALUE!</v>
      </c>
      <c r="D257" s="368">
        <f>IF(ISNUMBER($F257)*SUM(F257:F268)&lt;&gt;0,VLOOKUP($J257,'Table 1'!$B$13:$C$33,2,FALSE)/12*1000*Study_MW,0)</f>
        <v>0</v>
      </c>
      <c r="E257" s="368" t="e">
        <f t="shared" si="71"/>
        <v>#VALUE!</v>
      </c>
      <c r="F257" s="367">
        <v>0</v>
      </c>
      <c r="G257" s="369">
        <f t="shared" si="72"/>
        <v>0</v>
      </c>
      <c r="I257" s="77">
        <f t="shared" si="76"/>
        <v>5</v>
      </c>
      <c r="J257" s="73">
        <f t="shared" si="77"/>
        <v>2043</v>
      </c>
      <c r="K257" s="78" t="str">
        <f t="shared" si="78"/>
        <v/>
      </c>
      <c r="M257" s="41">
        <f t="shared" ref="M257:M276" si="80">IRP21_Infl_Rate</f>
        <v>2.155E-2</v>
      </c>
      <c r="O257" s="170"/>
      <c r="P257" s="170"/>
      <c r="T257" s="170"/>
    </row>
    <row r="258" spans="2:20" outlineLevel="1">
      <c r="B258" s="187">
        <f t="shared" si="70"/>
        <v>52383</v>
      </c>
      <c r="C258" s="367" t="e">
        <f t="shared" si="79"/>
        <v>#VALUE!</v>
      </c>
      <c r="D258" s="368">
        <f>IF(ISNUMBER($F258)*SUM(F258:F269)&lt;&gt;0,VLOOKUP($J258,'Table 1'!$B$13:$C$33,2,FALSE)/12*1000*Study_MW,0)</f>
        <v>0</v>
      </c>
      <c r="E258" s="368" t="e">
        <f t="shared" si="71"/>
        <v>#VALUE!</v>
      </c>
      <c r="F258" s="367">
        <v>0</v>
      </c>
      <c r="G258" s="369">
        <f t="shared" si="72"/>
        <v>0</v>
      </c>
      <c r="I258" s="77">
        <f t="shared" si="76"/>
        <v>6</v>
      </c>
      <c r="J258" s="73">
        <f t="shared" si="77"/>
        <v>2043</v>
      </c>
      <c r="K258" s="78" t="str">
        <f t="shared" si="78"/>
        <v/>
      </c>
      <c r="M258" s="41">
        <f t="shared" si="80"/>
        <v>2.155E-2</v>
      </c>
      <c r="O258" s="170"/>
      <c r="P258" s="170"/>
      <c r="T258" s="170"/>
    </row>
    <row r="259" spans="2:20" outlineLevel="1">
      <c r="B259" s="187">
        <f t="shared" si="70"/>
        <v>52413</v>
      </c>
      <c r="C259" s="367" t="e">
        <f t="shared" si="79"/>
        <v>#VALUE!</v>
      </c>
      <c r="D259" s="368">
        <f>IF(ISNUMBER($F259)*SUM(F259:F270)&lt;&gt;0,VLOOKUP($J259,'Table 1'!$B$13:$C$33,2,FALSE)/12*1000*Study_MW,0)</f>
        <v>0</v>
      </c>
      <c r="E259" s="368" t="e">
        <f t="shared" si="71"/>
        <v>#VALUE!</v>
      </c>
      <c r="F259" s="367">
        <v>0</v>
      </c>
      <c r="G259" s="369">
        <f t="shared" si="72"/>
        <v>0</v>
      </c>
      <c r="I259" s="77">
        <f t="shared" si="76"/>
        <v>7</v>
      </c>
      <c r="J259" s="73">
        <f t="shared" si="77"/>
        <v>2043</v>
      </c>
      <c r="K259" s="78" t="str">
        <f t="shared" si="78"/>
        <v/>
      </c>
      <c r="M259" s="41">
        <f t="shared" si="80"/>
        <v>2.155E-2</v>
      </c>
      <c r="O259" s="170"/>
      <c r="P259" s="170"/>
    </row>
    <row r="260" spans="2:20" outlineLevel="1">
      <c r="B260" s="187">
        <f t="shared" si="70"/>
        <v>52444</v>
      </c>
      <c r="C260" s="367" t="e">
        <f t="shared" si="79"/>
        <v>#VALUE!</v>
      </c>
      <c r="D260" s="368">
        <f>IF(ISNUMBER($F260)*SUM(F260:F271)&lt;&gt;0,VLOOKUP($J260,'Table 1'!$B$13:$C$33,2,FALSE)/12*1000*Study_MW,0)</f>
        <v>0</v>
      </c>
      <c r="E260" s="368" t="e">
        <f t="shared" si="71"/>
        <v>#VALUE!</v>
      </c>
      <c r="F260" s="367">
        <v>0</v>
      </c>
      <c r="G260" s="369">
        <f t="shared" si="72"/>
        <v>0</v>
      </c>
      <c r="I260" s="77">
        <f t="shared" si="76"/>
        <v>8</v>
      </c>
      <c r="J260" s="73">
        <f t="shared" si="77"/>
        <v>2043</v>
      </c>
      <c r="K260" s="78" t="str">
        <f t="shared" si="78"/>
        <v/>
      </c>
      <c r="M260" s="41">
        <f t="shared" si="80"/>
        <v>2.155E-2</v>
      </c>
      <c r="O260" s="170"/>
      <c r="P260" s="170"/>
    </row>
    <row r="261" spans="2:20" outlineLevel="1">
      <c r="B261" s="187">
        <f t="shared" si="70"/>
        <v>52475</v>
      </c>
      <c r="C261" s="367" t="e">
        <f t="shared" si="79"/>
        <v>#VALUE!</v>
      </c>
      <c r="D261" s="368">
        <f>IF(ISNUMBER($F261)*SUM(F261:F272)&lt;&gt;0,VLOOKUP($J261,'Table 1'!$B$13:$C$33,2,FALSE)/12*1000*Study_MW,0)</f>
        <v>0</v>
      </c>
      <c r="E261" s="368" t="e">
        <f t="shared" si="71"/>
        <v>#VALUE!</v>
      </c>
      <c r="F261" s="367">
        <v>0</v>
      </c>
      <c r="G261" s="369">
        <f t="shared" si="72"/>
        <v>0</v>
      </c>
      <c r="I261" s="77">
        <f t="shared" si="76"/>
        <v>9</v>
      </c>
      <c r="J261" s="73">
        <f t="shared" si="77"/>
        <v>2043</v>
      </c>
      <c r="K261" s="78" t="str">
        <f t="shared" si="78"/>
        <v/>
      </c>
      <c r="M261" s="41">
        <f t="shared" si="80"/>
        <v>2.155E-2</v>
      </c>
      <c r="O261" s="170"/>
      <c r="P261" s="170"/>
    </row>
    <row r="262" spans="2:20" outlineLevel="1">
      <c r="B262" s="187">
        <f t="shared" si="70"/>
        <v>52505</v>
      </c>
      <c r="C262" s="367" t="e">
        <f t="shared" si="79"/>
        <v>#VALUE!</v>
      </c>
      <c r="D262" s="368">
        <f>IF(ISNUMBER($F262)*SUM(F262:F273)&lt;&gt;0,VLOOKUP($J262,'Table 1'!$B$13:$C$33,2,FALSE)/12*1000*Study_MW,0)</f>
        <v>0</v>
      </c>
      <c r="E262" s="368" t="e">
        <f t="shared" si="71"/>
        <v>#VALUE!</v>
      </c>
      <c r="F262" s="367">
        <v>0</v>
      </c>
      <c r="G262" s="369">
        <f t="shared" si="72"/>
        <v>0</v>
      </c>
      <c r="I262" s="77">
        <f t="shared" si="76"/>
        <v>10</v>
      </c>
      <c r="J262" s="73">
        <f t="shared" si="77"/>
        <v>2043</v>
      </c>
      <c r="K262" s="78" t="str">
        <f t="shared" si="78"/>
        <v/>
      </c>
      <c r="M262" s="41">
        <f t="shared" si="80"/>
        <v>2.155E-2</v>
      </c>
    </row>
    <row r="263" spans="2:20" outlineLevel="1">
      <c r="B263" s="187">
        <f t="shared" si="70"/>
        <v>52536</v>
      </c>
      <c r="C263" s="367" t="e">
        <f t="shared" si="79"/>
        <v>#VALUE!</v>
      </c>
      <c r="D263" s="368">
        <f>IF(ISNUMBER($F263)*SUM(F263:F274)&lt;&gt;0,VLOOKUP($J263,'Table 1'!$B$13:$C$33,2,FALSE)/12*1000*Study_MW,0)</f>
        <v>0</v>
      </c>
      <c r="E263" s="368" t="e">
        <f t="shared" si="71"/>
        <v>#VALUE!</v>
      </c>
      <c r="F263" s="367">
        <v>0</v>
      </c>
      <c r="G263" s="369">
        <f t="shared" si="72"/>
        <v>0</v>
      </c>
      <c r="I263" s="77">
        <f t="shared" si="76"/>
        <v>11</v>
      </c>
      <c r="J263" s="73">
        <f t="shared" si="77"/>
        <v>2043</v>
      </c>
      <c r="K263" s="78" t="str">
        <f t="shared" si="78"/>
        <v/>
      </c>
      <c r="M263" s="41">
        <f t="shared" si="80"/>
        <v>2.155E-2</v>
      </c>
    </row>
    <row r="264" spans="2:20" outlineLevel="1">
      <c r="B264" s="188">
        <f t="shared" si="70"/>
        <v>52566</v>
      </c>
      <c r="C264" s="370" t="e">
        <f t="shared" si="79"/>
        <v>#VALUE!</v>
      </c>
      <c r="D264" s="371">
        <f>IF(ISNUMBER($F264)*SUM(F264:F275)&lt;&gt;0,VLOOKUP($J264,'Table 1'!$B$13:$C$33,2,FALSE)/12*1000*Study_MW,0)</f>
        <v>0</v>
      </c>
      <c r="E264" s="371" t="e">
        <f t="shared" si="71"/>
        <v>#VALUE!</v>
      </c>
      <c r="F264" s="370">
        <v>0</v>
      </c>
      <c r="G264" s="372">
        <f t="shared" si="72"/>
        <v>0</v>
      </c>
      <c r="I264" s="64">
        <f t="shared" si="76"/>
        <v>12</v>
      </c>
      <c r="J264" s="73">
        <f t="shared" si="77"/>
        <v>2043</v>
      </c>
      <c r="K264" s="82" t="str">
        <f t="shared" si="78"/>
        <v/>
      </c>
      <c r="M264" s="41">
        <f t="shared" si="80"/>
        <v>2.155E-2</v>
      </c>
    </row>
    <row r="265" spans="2:20" outlineLevel="1">
      <c r="B265" s="186">
        <f t="shared" si="70"/>
        <v>52597</v>
      </c>
      <c r="C265" s="178" t="e">
        <f>(C253*(1+M265))*IF(AND(MONTH(K265)=2,OR(J253=2036,J253=2040)),28/29,1)</f>
        <v>#VALUE!</v>
      </c>
      <c r="D265" s="179">
        <f>IF(ISNUMBER($F265)*SUM(F265:F276)&lt;&gt;0,VLOOKUP($J265,'Table 1'!$B$13:$C$38,2,FALSE)/12*1000*Study_MW,0)</f>
        <v>0</v>
      </c>
      <c r="E265" s="179" t="e">
        <f t="shared" ref="E265:E276" si="81">C265+D265</f>
        <v>#VALUE!</v>
      </c>
      <c r="F265" s="178">
        <v>0</v>
      </c>
      <c r="G265" s="180">
        <f t="shared" ref="G265:G276" si="82">IFERROR(E265/$F265,0)</f>
        <v>0</v>
      </c>
      <c r="I265" s="60">
        <f>I145</f>
        <v>14</v>
      </c>
      <c r="J265" s="73">
        <f t="shared" si="77"/>
        <v>2044</v>
      </c>
      <c r="K265" s="74" t="str">
        <f t="shared" si="78"/>
        <v/>
      </c>
      <c r="M265" s="41">
        <f t="shared" si="80"/>
        <v>2.155E-2</v>
      </c>
      <c r="O265" s="170"/>
      <c r="P265" s="170"/>
      <c r="T265" s="170"/>
    </row>
    <row r="266" spans="2:20" outlineLevel="1">
      <c r="B266" s="187">
        <f t="shared" si="70"/>
        <v>52628</v>
      </c>
      <c r="C266" s="172" t="e">
        <f t="shared" ref="C266:C276" si="83">(C254*(1+M266))*IF(AND(MONTH(K266)=2,OR(J254=2036,J254=2040)),28/29,1)</f>
        <v>#VALUE!</v>
      </c>
      <c r="D266" s="173">
        <f>IF(ISNUMBER($F266)*SUM(F266:F276)&lt;&gt;0,VLOOKUP($J266,'Table 1'!$B$13:$C$38,2,FALSE)/12*1000*Study_MW,0)</f>
        <v>0</v>
      </c>
      <c r="E266" s="173" t="e">
        <f t="shared" si="81"/>
        <v>#VALUE!</v>
      </c>
      <c r="F266" s="172">
        <v>0</v>
      </c>
      <c r="G266" s="174">
        <f t="shared" si="82"/>
        <v>0</v>
      </c>
      <c r="I266" s="77">
        <f t="shared" si="76"/>
        <v>15</v>
      </c>
      <c r="J266" s="73">
        <f t="shared" si="77"/>
        <v>2044</v>
      </c>
      <c r="K266" s="78" t="str">
        <f t="shared" si="78"/>
        <v/>
      </c>
      <c r="M266" s="41">
        <f t="shared" si="80"/>
        <v>2.155E-2</v>
      </c>
      <c r="O266" s="170"/>
      <c r="P266" s="170"/>
      <c r="T266" s="170"/>
    </row>
    <row r="267" spans="2:20" outlineLevel="1">
      <c r="B267" s="187">
        <f t="shared" si="70"/>
        <v>52657</v>
      </c>
      <c r="C267" s="172" t="e">
        <f t="shared" si="83"/>
        <v>#VALUE!</v>
      </c>
      <c r="D267" s="173">
        <f>IF(ISNUMBER($F267)*SUM(F267:F276)&lt;&gt;0,VLOOKUP($J267,'Table 1'!$B$13:$C$38,2,FALSE)/12*1000*Study_MW,0)</f>
        <v>0</v>
      </c>
      <c r="E267" s="173" t="e">
        <f t="shared" si="81"/>
        <v>#VALUE!</v>
      </c>
      <c r="F267" s="172">
        <v>0</v>
      </c>
      <c r="G267" s="174">
        <f t="shared" si="82"/>
        <v>0</v>
      </c>
      <c r="I267" s="77">
        <f t="shared" si="76"/>
        <v>16</v>
      </c>
      <c r="J267" s="73">
        <f t="shared" si="77"/>
        <v>2044</v>
      </c>
      <c r="K267" s="78" t="str">
        <f t="shared" si="78"/>
        <v/>
      </c>
      <c r="M267" s="41">
        <f t="shared" si="80"/>
        <v>2.155E-2</v>
      </c>
      <c r="O267" s="170"/>
      <c r="P267" s="170"/>
      <c r="T267" s="170"/>
    </row>
    <row r="268" spans="2:20" outlineLevel="1">
      <c r="B268" s="187">
        <f t="shared" si="70"/>
        <v>52688</v>
      </c>
      <c r="C268" s="172" t="e">
        <f t="shared" si="83"/>
        <v>#VALUE!</v>
      </c>
      <c r="D268" s="173">
        <f>IF(ISNUMBER($F268)*SUM(F268:F276)&lt;&gt;0,VLOOKUP($J268,'Table 1'!$B$13:$C$38,2,FALSE)/12*1000*Study_MW,0)</f>
        <v>0</v>
      </c>
      <c r="E268" s="173" t="e">
        <f t="shared" si="81"/>
        <v>#VALUE!</v>
      </c>
      <c r="F268" s="172">
        <v>0</v>
      </c>
      <c r="G268" s="174">
        <f t="shared" si="82"/>
        <v>0</v>
      </c>
      <c r="I268" s="77">
        <f t="shared" si="76"/>
        <v>17</v>
      </c>
      <c r="J268" s="73">
        <f t="shared" si="77"/>
        <v>2044</v>
      </c>
      <c r="K268" s="78" t="str">
        <f t="shared" si="78"/>
        <v/>
      </c>
      <c r="M268" s="41">
        <f t="shared" si="80"/>
        <v>2.155E-2</v>
      </c>
      <c r="O268" s="170"/>
      <c r="P268" s="170"/>
      <c r="T268" s="170"/>
    </row>
    <row r="269" spans="2:20" outlineLevel="1">
      <c r="B269" s="187">
        <f t="shared" si="70"/>
        <v>52718</v>
      </c>
      <c r="C269" s="172" t="e">
        <f t="shared" si="83"/>
        <v>#VALUE!</v>
      </c>
      <c r="D269" s="173">
        <f>IF(ISNUMBER($F269)*SUM(F269:F276)&lt;&gt;0,VLOOKUP($J269,'Table 1'!$B$13:$C$38,2,FALSE)/12*1000*Study_MW,0)</f>
        <v>0</v>
      </c>
      <c r="E269" s="173" t="e">
        <f t="shared" si="81"/>
        <v>#VALUE!</v>
      </c>
      <c r="F269" s="172">
        <v>0</v>
      </c>
      <c r="G269" s="174">
        <f t="shared" si="82"/>
        <v>0</v>
      </c>
      <c r="I269" s="77">
        <f t="shared" si="76"/>
        <v>18</v>
      </c>
      <c r="J269" s="73">
        <f t="shared" si="77"/>
        <v>2044</v>
      </c>
      <c r="K269" s="78" t="str">
        <f t="shared" si="78"/>
        <v/>
      </c>
      <c r="M269" s="41">
        <f t="shared" si="80"/>
        <v>2.155E-2</v>
      </c>
      <c r="O269" s="170"/>
      <c r="P269" s="170"/>
      <c r="T269" s="170"/>
    </row>
    <row r="270" spans="2:20" outlineLevel="1">
      <c r="B270" s="187">
        <f t="shared" si="70"/>
        <v>52749</v>
      </c>
      <c r="C270" s="172" t="e">
        <f t="shared" si="83"/>
        <v>#VALUE!</v>
      </c>
      <c r="D270" s="173">
        <f>IF(ISNUMBER($F270)*SUM(F270:F276)&lt;&gt;0,VLOOKUP($J270,'Table 1'!$B$13:$C$38,2,FALSE)/12*1000*Study_MW,0)</f>
        <v>0</v>
      </c>
      <c r="E270" s="173" t="e">
        <f t="shared" si="81"/>
        <v>#VALUE!</v>
      </c>
      <c r="F270" s="172">
        <v>0</v>
      </c>
      <c r="G270" s="174">
        <f t="shared" si="82"/>
        <v>0</v>
      </c>
      <c r="I270" s="77">
        <f t="shared" si="76"/>
        <v>19</v>
      </c>
      <c r="J270" s="73">
        <f t="shared" si="77"/>
        <v>2044</v>
      </c>
      <c r="K270" s="78" t="str">
        <f t="shared" si="78"/>
        <v/>
      </c>
      <c r="M270" s="41">
        <f t="shared" si="80"/>
        <v>2.155E-2</v>
      </c>
      <c r="O270" s="170"/>
      <c r="P270" s="170"/>
      <c r="T270" s="170"/>
    </row>
    <row r="271" spans="2:20" outlineLevel="1">
      <c r="B271" s="187">
        <f t="shared" si="70"/>
        <v>52779</v>
      </c>
      <c r="C271" s="172" t="e">
        <f t="shared" si="83"/>
        <v>#VALUE!</v>
      </c>
      <c r="D271" s="173">
        <f>IF(ISNUMBER($F271)*SUM(F271:F276)&lt;&gt;0,VLOOKUP($J271,'Table 1'!$B$13:$C$38,2,FALSE)/12*1000*Study_MW,0)</f>
        <v>0</v>
      </c>
      <c r="E271" s="173" t="e">
        <f t="shared" si="81"/>
        <v>#VALUE!</v>
      </c>
      <c r="F271" s="172">
        <v>0</v>
      </c>
      <c r="G271" s="174">
        <f t="shared" si="82"/>
        <v>0</v>
      </c>
      <c r="I271" s="77">
        <f t="shared" si="76"/>
        <v>20</v>
      </c>
      <c r="J271" s="73">
        <f t="shared" si="77"/>
        <v>2044</v>
      </c>
      <c r="K271" s="78" t="str">
        <f t="shared" si="78"/>
        <v/>
      </c>
      <c r="M271" s="41">
        <f t="shared" si="80"/>
        <v>2.155E-2</v>
      </c>
      <c r="O271" s="170"/>
      <c r="P271" s="170"/>
    </row>
    <row r="272" spans="2:20" outlineLevel="1">
      <c r="B272" s="187">
        <f t="shared" si="70"/>
        <v>52810</v>
      </c>
      <c r="C272" s="172" t="e">
        <f t="shared" si="83"/>
        <v>#VALUE!</v>
      </c>
      <c r="D272" s="173">
        <f>IF(ISNUMBER($F272)*SUM(F272:F276)&lt;&gt;0,VLOOKUP($J272,'Table 1'!$B$13:$C$38,2,FALSE)/12*1000*Study_MW,0)</f>
        <v>0</v>
      </c>
      <c r="E272" s="173" t="e">
        <f t="shared" si="81"/>
        <v>#VALUE!</v>
      </c>
      <c r="F272" s="172">
        <v>0</v>
      </c>
      <c r="G272" s="174">
        <f t="shared" si="82"/>
        <v>0</v>
      </c>
      <c r="I272" s="77">
        <f t="shared" si="76"/>
        <v>21</v>
      </c>
      <c r="J272" s="73">
        <f t="shared" si="77"/>
        <v>2044</v>
      </c>
      <c r="K272" s="78" t="str">
        <f t="shared" si="78"/>
        <v/>
      </c>
      <c r="M272" s="41">
        <f t="shared" si="80"/>
        <v>2.155E-2</v>
      </c>
      <c r="O272" s="170"/>
      <c r="P272" s="170"/>
    </row>
    <row r="273" spans="2:16" outlineLevel="1">
      <c r="B273" s="187">
        <f t="shared" si="70"/>
        <v>52841</v>
      </c>
      <c r="C273" s="172" t="e">
        <f t="shared" si="83"/>
        <v>#VALUE!</v>
      </c>
      <c r="D273" s="173">
        <f>IF(ISNUMBER($F273)*SUM(F273:F276)&lt;&gt;0,VLOOKUP($J273,'Table 1'!$B$13:$C$38,2,FALSE)/12*1000*Study_MW,0)</f>
        <v>0</v>
      </c>
      <c r="E273" s="173" t="e">
        <f t="shared" si="81"/>
        <v>#VALUE!</v>
      </c>
      <c r="F273" s="172">
        <v>0</v>
      </c>
      <c r="G273" s="174">
        <f t="shared" si="82"/>
        <v>0</v>
      </c>
      <c r="I273" s="77">
        <f t="shared" si="76"/>
        <v>22</v>
      </c>
      <c r="J273" s="73">
        <f t="shared" si="77"/>
        <v>2044</v>
      </c>
      <c r="K273" s="78" t="str">
        <f t="shared" si="78"/>
        <v/>
      </c>
      <c r="M273" s="41">
        <f t="shared" si="80"/>
        <v>2.155E-2</v>
      </c>
      <c r="O273" s="170"/>
      <c r="P273" s="170"/>
    </row>
    <row r="274" spans="2:16" outlineLevel="1">
      <c r="B274" s="187">
        <f t="shared" si="70"/>
        <v>52871</v>
      </c>
      <c r="C274" s="172" t="e">
        <f t="shared" si="83"/>
        <v>#VALUE!</v>
      </c>
      <c r="D274" s="173">
        <f>IF(ISNUMBER($F274)*SUM(F274:F276)&lt;&gt;0,VLOOKUP($J274,'Table 1'!$B$13:$C$38,2,FALSE)/12*1000*Study_MW,0)</f>
        <v>0</v>
      </c>
      <c r="E274" s="173" t="e">
        <f t="shared" si="81"/>
        <v>#VALUE!</v>
      </c>
      <c r="F274" s="172">
        <v>0</v>
      </c>
      <c r="G274" s="174">
        <f t="shared" si="82"/>
        <v>0</v>
      </c>
      <c r="I274" s="77">
        <f t="shared" si="76"/>
        <v>23</v>
      </c>
      <c r="J274" s="73">
        <f t="shared" si="77"/>
        <v>2044</v>
      </c>
      <c r="K274" s="78" t="str">
        <f t="shared" si="78"/>
        <v/>
      </c>
      <c r="M274" s="41">
        <f t="shared" si="80"/>
        <v>2.155E-2</v>
      </c>
    </row>
    <row r="275" spans="2:16" outlineLevel="1">
      <c r="B275" s="187">
        <f t="shared" si="70"/>
        <v>52902</v>
      </c>
      <c r="C275" s="172" t="e">
        <f t="shared" si="83"/>
        <v>#VALUE!</v>
      </c>
      <c r="D275" s="173">
        <f>IF(ISNUMBER($F275)*SUM(F275:F276)&lt;&gt;0,VLOOKUP($J275,'Table 1'!$B$13:$C$38,2,FALSE)/12*1000*Study_MW,0)</f>
        <v>0</v>
      </c>
      <c r="E275" s="173" t="e">
        <f t="shared" si="81"/>
        <v>#VALUE!</v>
      </c>
      <c r="F275" s="172">
        <v>0</v>
      </c>
      <c r="G275" s="174">
        <f t="shared" si="82"/>
        <v>0</v>
      </c>
      <c r="I275" s="77">
        <f t="shared" si="76"/>
        <v>24</v>
      </c>
      <c r="J275" s="73">
        <f t="shared" si="77"/>
        <v>2044</v>
      </c>
      <c r="K275" s="78" t="str">
        <f t="shared" si="78"/>
        <v/>
      </c>
      <c r="M275" s="41">
        <f t="shared" si="80"/>
        <v>2.155E-2</v>
      </c>
    </row>
    <row r="276" spans="2:16" outlineLevel="1">
      <c r="B276" s="188">
        <f t="shared" si="70"/>
        <v>52932</v>
      </c>
      <c r="C276" s="175" t="e">
        <f t="shared" si="83"/>
        <v>#VALUE!</v>
      </c>
      <c r="D276" s="176">
        <f>IF(ISNUMBER($F276)*SUM(F276:F276)&lt;&gt;0,VLOOKUP($J276,'Table 1'!$B$13:$C$38,2,FALSE)/12*1000*Study_MW,0)</f>
        <v>0</v>
      </c>
      <c r="E276" s="176" t="e">
        <f t="shared" si="81"/>
        <v>#VALUE!</v>
      </c>
      <c r="F276" s="175">
        <v>0</v>
      </c>
      <c r="G276" s="177">
        <f t="shared" si="82"/>
        <v>0</v>
      </c>
      <c r="I276" s="64">
        <f t="shared" si="76"/>
        <v>25</v>
      </c>
      <c r="J276" s="73">
        <f t="shared" si="77"/>
        <v>2044</v>
      </c>
      <c r="K276" s="82" t="str">
        <f t="shared" si="78"/>
        <v/>
      </c>
      <c r="M276" s="41">
        <f t="shared" si="80"/>
        <v>2.155E-2</v>
      </c>
    </row>
  </sheetData>
  <printOptions horizontalCentered="1"/>
  <pageMargins left="0.25" right="0.25" top="0.75" bottom="0.75" header="0.3" footer="0.3"/>
  <pageSetup scale="19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93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8" customFormat="1" ht="18.95" customHeight="1">
      <c r="B4" s="418" t="s">
        <v>145</v>
      </c>
      <c r="C4" s="419"/>
      <c r="D4" s="419"/>
      <c r="E4" s="420"/>
      <c r="F4" s="117"/>
      <c r="G4" s="418" t="s">
        <v>158</v>
      </c>
      <c r="H4" s="419"/>
      <c r="I4" s="419"/>
      <c r="J4" s="420"/>
      <c r="K4" s="117"/>
      <c r="L4" s="413" t="s">
        <v>159</v>
      </c>
      <c r="M4" s="414"/>
      <c r="N4" s="414"/>
      <c r="O4" s="415"/>
      <c r="Q4" s="413" t="s">
        <v>161</v>
      </c>
      <c r="R4" s="414"/>
      <c r="S4" s="414"/>
      <c r="T4" s="415"/>
      <c r="U4" s="117"/>
      <c r="V4" s="418" t="s">
        <v>162</v>
      </c>
      <c r="W4" s="419"/>
      <c r="X4" s="419"/>
      <c r="Y4" s="420"/>
      <c r="Z4" s="117"/>
      <c r="AA4" s="418" t="s">
        <v>163</v>
      </c>
      <c r="AB4" s="419"/>
      <c r="AC4" s="419"/>
      <c r="AD4" s="420"/>
      <c r="AE4" s="117"/>
      <c r="AF4" s="418" t="s">
        <v>165</v>
      </c>
      <c r="AG4" s="419"/>
      <c r="AH4" s="419"/>
      <c r="AI4" s="420"/>
      <c r="AJ4" s="117"/>
      <c r="AK4" s="413" t="s">
        <v>166</v>
      </c>
      <c r="AL4" s="414"/>
      <c r="AM4" s="414"/>
      <c r="AN4" s="415"/>
      <c r="AO4" s="117"/>
      <c r="AP4" s="413" t="s">
        <v>168</v>
      </c>
      <c r="AQ4" s="414"/>
      <c r="AR4" s="414"/>
      <c r="AS4" s="415"/>
      <c r="AT4" s="117"/>
      <c r="AU4" s="413" t="s">
        <v>146</v>
      </c>
      <c r="AV4" s="414"/>
      <c r="AW4" s="414"/>
      <c r="AX4" s="415"/>
      <c r="AY4" s="117"/>
      <c r="AZ4" s="413" t="s">
        <v>171</v>
      </c>
      <c r="BA4" s="414"/>
      <c r="BB4" s="414"/>
      <c r="BC4" s="415"/>
      <c r="BD4" s="352"/>
      <c r="BE4" s="413" t="s">
        <v>172</v>
      </c>
      <c r="BF4" s="414"/>
      <c r="BG4" s="414"/>
      <c r="BH4" s="415"/>
      <c r="BJ4" s="413" t="s">
        <v>147</v>
      </c>
      <c r="BK4" s="414"/>
      <c r="BL4" s="414"/>
      <c r="BM4" s="415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51" t="str">
        <f>B4</f>
        <v>Aeolus_Wyoming - to - Utah S, Expansion</v>
      </c>
      <c r="D9" s="118"/>
      <c r="E9" s="118"/>
      <c r="G9" s="351" t="str">
        <f>G4</f>
        <v>Utah S - to - Utah N, Expansion</v>
      </c>
      <c r="I9" s="118"/>
      <c r="J9" s="118"/>
      <c r="L9" s="351" t="str">
        <f>L4</f>
        <v>Portland NC - Willamette V, Expansion</v>
      </c>
      <c r="N9" s="118"/>
      <c r="O9" s="118"/>
      <c r="Q9" s="351" t="str">
        <f>Q4</f>
        <v>Portland NC - to - Southern Oregon, Expansion</v>
      </c>
      <c r="S9" s="118"/>
      <c r="T9" s="118"/>
      <c r="V9" s="351" t="str">
        <f>V4</f>
        <v>Central OR - to - Willamette V, Expansion</v>
      </c>
      <c r="X9" s="118"/>
      <c r="Y9" s="118"/>
      <c r="AA9" s="351" t="str">
        <f>AA4</f>
        <v>B2H Borah - to - Hemingway, Expansion</v>
      </c>
      <c r="AC9" s="118"/>
      <c r="AD9" s="118"/>
      <c r="AF9" s="351" t="str">
        <f>AF4</f>
        <v>Central OR, Transmission Integration 2037</v>
      </c>
      <c r="AH9" s="118"/>
      <c r="AI9" s="118"/>
      <c r="AK9" s="351" t="str">
        <f>AK4</f>
        <v>Portland NC, Transmission Integration</v>
      </c>
      <c r="AM9" s="118"/>
      <c r="AN9" s="118"/>
      <c r="AP9" s="351" t="str">
        <f>AP4</f>
        <v>Southern OR, Transmission Integration 2028</v>
      </c>
      <c r="AR9" s="118"/>
      <c r="AS9" s="118"/>
      <c r="AU9" s="351" t="str">
        <f>AU4</f>
        <v>Utah N, Transmission Integration</v>
      </c>
      <c r="AW9" s="118"/>
      <c r="AX9" s="118"/>
      <c r="AZ9" s="351" t="str">
        <f>AZ4</f>
        <v>Utah S, Transmission Integration</v>
      </c>
      <c r="BB9" s="118"/>
      <c r="BC9" s="118"/>
      <c r="BE9" s="351" t="str">
        <f>BE4</f>
        <v>Willamette V, Transmission Integration</v>
      </c>
      <c r="BG9" s="118"/>
      <c r="BH9" s="118"/>
      <c r="BJ9" s="351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42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42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42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42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42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81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42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42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42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42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42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42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42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42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50">
        <v>2025</v>
      </c>
      <c r="H35" s="127" t="s">
        <v>98</v>
      </c>
      <c r="I35" s="350">
        <v>2033</v>
      </c>
      <c r="M35" s="127" t="s">
        <v>98</v>
      </c>
      <c r="N35" s="350">
        <v>2032</v>
      </c>
      <c r="R35" s="127" t="s">
        <v>98</v>
      </c>
      <c r="S35" s="350">
        <v>2037</v>
      </c>
      <c r="W35" s="127" t="s">
        <v>98</v>
      </c>
      <c r="X35" s="350">
        <v>2040</v>
      </c>
      <c r="AB35" s="127" t="s">
        <v>98</v>
      </c>
      <c r="AC35" s="350">
        <v>2026</v>
      </c>
      <c r="AG35" s="127" t="s">
        <v>98</v>
      </c>
      <c r="AH35" s="350">
        <v>2037</v>
      </c>
      <c r="AL35" s="127" t="s">
        <v>98</v>
      </c>
      <c r="AM35" s="350">
        <v>2026</v>
      </c>
      <c r="AQ35" s="127" t="s">
        <v>98</v>
      </c>
      <c r="AR35" s="350">
        <v>2028</v>
      </c>
      <c r="AV35" s="127" t="s">
        <v>98</v>
      </c>
      <c r="AW35" s="350">
        <v>2031</v>
      </c>
      <c r="BA35" s="127" t="s">
        <v>98</v>
      </c>
      <c r="BB35" s="350">
        <v>2024</v>
      </c>
      <c r="BF35" s="127" t="s">
        <v>98</v>
      </c>
      <c r="BG35" s="350">
        <v>2026</v>
      </c>
      <c r="BK35" s="127" t="s">
        <v>98</v>
      </c>
      <c r="BL35" s="350">
        <v>2029</v>
      </c>
    </row>
    <row r="36" spans="2:65">
      <c r="C36" s="182" t="s">
        <v>84</v>
      </c>
      <c r="D36" s="350">
        <v>1200</v>
      </c>
      <c r="H36" s="182" t="s">
        <v>84</v>
      </c>
      <c r="I36" s="350">
        <v>800</v>
      </c>
      <c r="M36" s="182" t="s">
        <v>84</v>
      </c>
      <c r="N36" s="350">
        <v>450</v>
      </c>
      <c r="R36" s="182" t="s">
        <v>84</v>
      </c>
      <c r="S36" s="350">
        <v>1500</v>
      </c>
      <c r="W36" s="182" t="s">
        <v>84</v>
      </c>
      <c r="X36" s="350">
        <v>1500</v>
      </c>
      <c r="AB36" s="182" t="s">
        <v>84</v>
      </c>
      <c r="AC36" s="350">
        <v>600</v>
      </c>
      <c r="AG36" s="182" t="s">
        <v>84</v>
      </c>
      <c r="AH36" s="350">
        <v>100</v>
      </c>
      <c r="AL36" s="182" t="s">
        <v>84</v>
      </c>
      <c r="AM36" s="350">
        <v>130</v>
      </c>
      <c r="AQ36" s="182" t="s">
        <v>84</v>
      </c>
      <c r="AR36" s="350">
        <v>460</v>
      </c>
      <c r="AV36" s="182" t="s">
        <v>84</v>
      </c>
      <c r="AW36" s="350">
        <v>1040</v>
      </c>
      <c r="BA36" s="182" t="s">
        <v>84</v>
      </c>
      <c r="BB36" s="350">
        <v>1</v>
      </c>
      <c r="BF36" s="182" t="s">
        <v>84</v>
      </c>
      <c r="BG36" s="350">
        <v>615</v>
      </c>
      <c r="BK36" s="182" t="s">
        <v>84</v>
      </c>
      <c r="BL36" s="350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48">
        <v>6.0831565943468884E-2</v>
      </c>
      <c r="G38" s="128"/>
      <c r="H38" s="127" t="s">
        <v>144</v>
      </c>
      <c r="I38" s="348">
        <v>6.0831565943468884E-2</v>
      </c>
      <c r="L38" s="128"/>
      <c r="M38" s="127" t="s">
        <v>144</v>
      </c>
      <c r="N38" s="348">
        <v>6.0831565943468884E-2</v>
      </c>
      <c r="Q38" s="128"/>
      <c r="R38" s="127" t="s">
        <v>144</v>
      </c>
      <c r="S38" s="348">
        <v>6.0831565943468884E-2</v>
      </c>
      <c r="V38" s="128"/>
      <c r="W38" s="127" t="s">
        <v>144</v>
      </c>
      <c r="X38" s="348">
        <v>6.0831565943468884E-2</v>
      </c>
      <c r="AA38" s="128"/>
      <c r="AB38" s="127" t="s">
        <v>144</v>
      </c>
      <c r="AC38" s="348">
        <v>6.0831565943468884E-2</v>
      </c>
      <c r="AF38" s="128"/>
      <c r="AG38" s="127" t="s">
        <v>144</v>
      </c>
      <c r="AH38" s="348">
        <v>6.0831565943468884E-2</v>
      </c>
      <c r="AK38" s="128"/>
      <c r="AL38" s="127" t="s">
        <v>144</v>
      </c>
      <c r="AM38" s="348">
        <v>6.0831565943468884E-2</v>
      </c>
      <c r="AP38" s="128"/>
      <c r="AQ38" s="127" t="s">
        <v>144</v>
      </c>
      <c r="AR38" s="348">
        <v>6.0831565943468884E-2</v>
      </c>
      <c r="AU38" s="128"/>
      <c r="AV38" s="127" t="s">
        <v>144</v>
      </c>
      <c r="AW38" s="348">
        <v>6.0831565943468884E-2</v>
      </c>
      <c r="AZ38" s="128"/>
      <c r="BA38" s="127" t="s">
        <v>144</v>
      </c>
      <c r="BB38" s="348">
        <v>6.0831565943468884E-2</v>
      </c>
      <c r="BE38" s="128"/>
      <c r="BF38" s="127" t="s">
        <v>144</v>
      </c>
      <c r="BG38" s="348">
        <v>6.0831565943468884E-2</v>
      </c>
      <c r="BJ38" s="128"/>
      <c r="BK38" s="127" t="s">
        <v>144</v>
      </c>
      <c r="BL38" s="348">
        <v>6.0831565943468884E-2</v>
      </c>
    </row>
    <row r="39" spans="2:65" ht="41.25" customHeight="1">
      <c r="B39" s="416" t="s">
        <v>157</v>
      </c>
      <c r="C39" s="417"/>
      <c r="D39" s="349">
        <f>D37*1000000*D38/(D36*1000)</f>
        <v>58.544856686682266</v>
      </c>
      <c r="G39" s="416" t="s">
        <v>148</v>
      </c>
      <c r="H39" s="417"/>
      <c r="I39" s="349">
        <f>I37*1000000*I38/(I36*1000)</f>
        <v>13.177008391297024</v>
      </c>
      <c r="L39" s="416" t="s">
        <v>160</v>
      </c>
      <c r="M39" s="417"/>
      <c r="N39" s="349">
        <f>N37*1000000*N38/(N36*1000)</f>
        <v>39.181880716207971</v>
      </c>
      <c r="Q39" s="417" t="s">
        <v>149</v>
      </c>
      <c r="R39" s="417"/>
      <c r="S39" s="349">
        <f>S37*1000000*S38/(S36*1000)</f>
        <v>0</v>
      </c>
      <c r="V39" s="417" t="s">
        <v>164</v>
      </c>
      <c r="W39" s="417"/>
      <c r="X39" s="349">
        <f>X37*1000000*X38/(X36*1000)</f>
        <v>17.574036807534558</v>
      </c>
      <c r="AA39" s="417" t="s">
        <v>167</v>
      </c>
      <c r="AB39" s="417"/>
      <c r="AC39" s="349">
        <f>AC37*1000000*AC38/(AC36*1000)</f>
        <v>54.441007169221002</v>
      </c>
      <c r="AF39" s="417" t="s">
        <v>149</v>
      </c>
      <c r="AG39" s="417"/>
      <c r="AH39" s="349">
        <f>AH37*1000000*AH38/(AH36*1000)</f>
        <v>31.427114949217941</v>
      </c>
      <c r="AK39" s="417" t="s">
        <v>167</v>
      </c>
      <c r="AL39" s="417"/>
      <c r="AM39" s="349">
        <f>AM37*1000000*AM38/(AM36*1000)</f>
        <v>24.740174248339812</v>
      </c>
      <c r="AP39" s="417" t="s">
        <v>169</v>
      </c>
      <c r="AQ39" s="417"/>
      <c r="AR39" s="349">
        <f>AR37*1000000*AR38/(AR36*1000)</f>
        <v>9.0939944302083777</v>
      </c>
      <c r="AU39" s="417" t="s">
        <v>170</v>
      </c>
      <c r="AV39" s="417"/>
      <c r="AW39" s="349">
        <f>AW37*1000000*AW38/(AW36*1000)</f>
        <v>12.45513744317196</v>
      </c>
      <c r="AZ39" s="417" t="s">
        <v>142</v>
      </c>
      <c r="BA39" s="417"/>
      <c r="BB39" s="349">
        <f>BB37*1000000*BB38/(BB36*1000)</f>
        <v>578.93401308399336</v>
      </c>
      <c r="BE39" s="417" t="s">
        <v>167</v>
      </c>
      <c r="BF39" s="417"/>
      <c r="BG39" s="349">
        <f>BG37*1000000*BG38/(BG36*1000)</f>
        <v>2.5355612781817829</v>
      </c>
      <c r="BJ39" s="416" t="s">
        <v>213</v>
      </c>
      <c r="BK39" s="417"/>
      <c r="BL39" s="349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90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90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94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97"/>
      <c r="D55" s="116" t="s">
        <v>65</v>
      </c>
      <c r="O55" s="274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156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94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5">
        <v>1006.571</v>
      </c>
      <c r="D55" s="116" t="s">
        <v>65</v>
      </c>
      <c r="O55" s="274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>
        <v>0</v>
      </c>
      <c r="C60" s="151"/>
      <c r="D60" s="116" t="s">
        <v>150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8.6758227818537134E-2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94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P23" s="116">
        <v>60.865259183673459</v>
      </c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P24" s="116">
        <v>65.265259183673464</v>
      </c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P25" s="116">
        <v>69.755259183673473</v>
      </c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P26" s="116">
        <v>74.345259183673477</v>
      </c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P27" s="116">
        <v>79.035259183673446</v>
      </c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P28" s="116">
        <v>83.835259183673458</v>
      </c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P29" s="116">
        <v>88.725259183673444</v>
      </c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P30" s="116">
        <v>93.725259183673472</v>
      </c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P31" s="116">
        <v>98.835259183673458</v>
      </c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P32" s="116">
        <v>104.05525918367346</v>
      </c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P33" s="116">
        <v>109.38525918367344</v>
      </c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P34" s="116">
        <v>114.8252591836735</v>
      </c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P35" s="116">
        <v>120.38525918367344</v>
      </c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P36" s="116">
        <v>126.06525918367345</v>
      </c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P37" s="116">
        <v>131.87525918367345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55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35</vt:i4>
      </vt:variant>
    </vt:vector>
  </HeadingPairs>
  <TitlesOfParts>
    <vt:vector size="57" baseType="lpstr"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2022-10-24T21:56:22Z</dcterms:modified>
</cp:coreProperties>
</file>