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52\"/>
    </mc:Choice>
  </mc:AlternateContent>
  <bookViews>
    <workbookView xWindow="28680" yWindow="1260" windowWidth="23280" windowHeight="12600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 3 TransCost" sheetId="47" state="hidden" r:id="rId6"/>
    <sheet name="Table 3 PV wS Borah_2026" sheetId="67" state="hidden" r:id="rId7"/>
    <sheet name="Table 3 StdBat  DJ_2029" sheetId="94" state="hidden" r:id="rId8"/>
    <sheet name="Table 3 PNC Wind_2026" sheetId="83" state="hidden" r:id="rId9"/>
    <sheet name="Table 3 PNC Wind_2038" sheetId="92" state="hidden" r:id="rId10"/>
    <sheet name="Table 3 WV Wind_2026" sheetId="84" state="hidden" r:id="rId11"/>
    <sheet name="Table 3 YK WindwS_2029" sheetId="95" state="hidden" r:id="rId12"/>
    <sheet name="Table 3 WYE Wind_2029" sheetId="43" state="hidden" r:id="rId13"/>
    <sheet name="Table 3 WYE_DJ Wind_2028" sheetId="82" state="hidden" r:id="rId14"/>
    <sheet name="Table 3 PV wS SOR_2028" sheetId="87" state="hidden" r:id="rId15"/>
    <sheet name="Table 3 PV wS SOR_2030" sheetId="88" state="hidden" r:id="rId16"/>
    <sheet name="Table 3 PV wS YK_2029" sheetId="89" state="hidden" r:id="rId17"/>
    <sheet name="Table 3 PV wS UTN_2031" sheetId="90" state="hidden" r:id="rId18"/>
    <sheet name="Table 3 PV wS UTS_2032" sheetId="91" state="hidden" r:id="rId19"/>
    <sheet name="Table 3 SmNuc 345MW (NTN) 2028" sheetId="86" state="hidden" r:id="rId20"/>
    <sheet name="Table 3 NonE 206MW (UTN) 2031" sheetId="68" state="hidden" r:id="rId21"/>
    <sheet name="Table 3 NonE 206MW (Hgtn)" sheetId="85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30_Geo_West">'[1]Table 1'!$I$17</definedName>
    <definedName name="_436_CCCT_WestMain">'[1]Table 1'!$I$18</definedName>
    <definedName name="_477_CCCT_WestMain">'[2]Table 1'!$I$18</definedName>
    <definedName name="_635_CCCT_UtahS">'[2]Table 1'!$I$19</definedName>
    <definedName name="_635_CCCT_WyoNE">'[2]Table 1'!$I$17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'[3]Table 1'!#REF!</definedName>
    <definedName name="dateTable">'[4]on off peak hours'!$C$15:$ED$15</definedName>
    <definedName name="Discount_Rate">'Table 1'!$I$43</definedName>
    <definedName name="Discount_Rate_2015_IRP">'[5]Table 7 to 8'!$AE$43</definedName>
    <definedName name="DispatchSum">"GRID Thermal Generation!R2C1:R4C2"</definedName>
    <definedName name="FixedSolar_Capacity_Contr">'[5]Exhibit 3- Std FixedSolar QF'!$G$53</definedName>
    <definedName name="HoursHoliday">'[4]on off peak hours'!$C$16:$ED$20</definedName>
    <definedName name="IRP21_Infl_Rate">'Table 1'!$K$47</definedName>
    <definedName name="Market">'[5]OFPC Source'!$J$8:$M$295</definedName>
    <definedName name="MidC_Flat">[6]Market_Price!#REF!</definedName>
    <definedName name="OR_AC_price">#REF!</definedName>
    <definedName name="_xlnm.Print_Area" localSheetId="0">'Table 1'!$A$1:$G$58</definedName>
    <definedName name="_xlnm.Print_Area" localSheetId="1">'Table 2'!$B$1:$P$36</definedName>
    <definedName name="_xlnm.Print_Area" localSheetId="21">'Table 3 NonE 206MW (Hgtn)'!$A$1:$M$74</definedName>
    <definedName name="_xlnm.Print_Area" localSheetId="20">'Table 3 NonE 206MW (UTN) 2031'!$A$1:$M$75</definedName>
    <definedName name="_xlnm.Print_Area" localSheetId="8">'Table 3 PNC Wind_2026'!$A$1:$Q$64</definedName>
    <definedName name="_xlnm.Print_Area" localSheetId="9">'Table 3 PNC Wind_2038'!$A$1:$Q$64</definedName>
    <definedName name="_xlnm.Print_Area" localSheetId="6">'Table 3 PV wS Borah_2026'!$A$1:$P$64</definedName>
    <definedName name="_xlnm.Print_Area" localSheetId="14">'Table 3 PV wS SOR_2028'!$A$1:$P$74</definedName>
    <definedName name="_xlnm.Print_Area" localSheetId="15">'Table 3 PV wS SOR_2030'!$A$1:$P$64</definedName>
    <definedName name="_xlnm.Print_Area" localSheetId="17">'Table 3 PV wS UTN_2031'!$A$1:$P$64</definedName>
    <definedName name="_xlnm.Print_Area" localSheetId="18">'Table 3 PV wS UTS_2032'!$A$1:$P$64</definedName>
    <definedName name="_xlnm.Print_Area" localSheetId="16">'Table 3 PV wS YK_2029'!$A$1:$P$64</definedName>
    <definedName name="_xlnm.Print_Area" localSheetId="19">'Table 3 SmNuc 345MW (NTN) 2028'!$A$1:$L$83</definedName>
    <definedName name="_xlnm.Print_Area" localSheetId="7">'Table 3 StdBat  DJ_2029'!$A$1:$P$64</definedName>
    <definedName name="_xlnm.Print_Area" localSheetId="5">'Table 3 TransCost'!$A$1:$BD$50</definedName>
    <definedName name="_xlnm.Print_Area" localSheetId="10">'Table 3 WV Wind_2026'!$A$1:$Q$64</definedName>
    <definedName name="_xlnm.Print_Area" localSheetId="12">'Table 3 WYE Wind_2029'!$A$1:$Q$64</definedName>
    <definedName name="_xlnm.Print_Area" localSheetId="13">'Table 3 WYE_DJ Wind_2028'!$A$1:$Q$64</definedName>
    <definedName name="_xlnm.Print_Area" localSheetId="11">'Table 3 YK WindwS_2029'!$A$1:$Q$64</definedName>
    <definedName name="_xlnm.Print_Area" localSheetId="2">'Table 4'!$A$1:$F$44</definedName>
    <definedName name="_xlnm.Print_Area" localSheetId="3">Table3ACsummary!$A$1:$M$50</definedName>
    <definedName name="_xlnm.Print_Titles" localSheetId="1">'Table 2'!$1:$9</definedName>
    <definedName name="_xlnm.Print_Titles" localSheetId="21">'Table 3 NonE 206MW (Hgtn)'!$1:$6</definedName>
    <definedName name="_xlnm.Print_Titles" localSheetId="20">'Table 3 NonE 206MW (UTN) 2031'!$1:$6</definedName>
    <definedName name="_xlnm.Print_Titles" localSheetId="19">'Table 3 SmNuc 345MW (NTN) 2028'!$1:$6</definedName>
    <definedName name="RenewableMarketShape">'[5]OFPC Source'!$P$5:$U$33</definedName>
    <definedName name="RevenueSum">"GRID Thermal Revenue!R2C1:R4C2"</definedName>
    <definedName name="Solar_Fixed_integr_cost">'[7]Table 10'!$B$46</definedName>
    <definedName name="Solar_HLH">'[5]OFPC Source'!$U$48</definedName>
    <definedName name="Solar_LLH">'[5]OFPC Source'!$V$48</definedName>
    <definedName name="Solar_Tracking_integr_cost">'[7]Table 10'!$B$45</definedName>
    <definedName name="Study_Cap_Adj" localSheetId="1">'Table 1'!$I$8</definedName>
    <definedName name="Study_Cap_Adj" localSheetId="21">'Table 1'!$I$8</definedName>
    <definedName name="Study_Cap_Adj" localSheetId="20">'Table 1'!$I$8</definedName>
    <definedName name="Study_Cap_Adj" localSheetId="19">'Table 1'!$I$8</definedName>
    <definedName name="Study_Cap_Adj" localSheetId="5">'Table 1'!$I$8</definedName>
    <definedName name="Study_Cap_Adj">'Table 1'!$I$8</definedName>
    <definedName name="Study_CF">'Table 5'!$M$7</definedName>
    <definedName name="Study_MW">'Table 5'!$M$6</definedName>
    <definedName name="ValuationDate">#REF!</definedName>
    <definedName name="Wind_Capacity_Contr">'[5]Exhibit 2- Std Wind QF '!$E$57</definedName>
    <definedName name="Wind_Integration_Charge">'[5]Exhibit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31" l="1"/>
  <c r="M14" i="31"/>
  <c r="L14" i="31" s="1"/>
  <c r="B13" i="31"/>
  <c r="O30" i="66"/>
  <c r="N30" i="66"/>
  <c r="M30" i="66"/>
  <c r="L30" i="66"/>
  <c r="K30" i="66"/>
  <c r="J30" i="66"/>
  <c r="I30" i="66"/>
  <c r="H30" i="66"/>
  <c r="G30" i="66"/>
  <c r="F30" i="66"/>
  <c r="E30" i="66"/>
  <c r="D30" i="66"/>
  <c r="C30" i="66"/>
  <c r="B30" i="66"/>
  <c r="O29" i="66"/>
  <c r="N29" i="66"/>
  <c r="M29" i="66"/>
  <c r="L29" i="66"/>
  <c r="K29" i="66"/>
  <c r="J29" i="66"/>
  <c r="I29" i="66"/>
  <c r="H29" i="66"/>
  <c r="G29" i="66"/>
  <c r="F29" i="66"/>
  <c r="E29" i="66"/>
  <c r="D29" i="66"/>
  <c r="C29" i="66"/>
  <c r="B29" i="66"/>
  <c r="O28" i="66"/>
  <c r="N28" i="66"/>
  <c r="M28" i="66"/>
  <c r="L28" i="66"/>
  <c r="K28" i="66"/>
  <c r="J28" i="66"/>
  <c r="I28" i="66"/>
  <c r="H28" i="66"/>
  <c r="G28" i="66"/>
  <c r="F28" i="66"/>
  <c r="E28" i="66"/>
  <c r="D28" i="66"/>
  <c r="C28" i="66"/>
  <c r="B28" i="66"/>
  <c r="O27" i="66"/>
  <c r="N27" i="66"/>
  <c r="M27" i="66"/>
  <c r="L27" i="66"/>
  <c r="K27" i="66"/>
  <c r="J27" i="66"/>
  <c r="I27" i="66"/>
  <c r="H27" i="66"/>
  <c r="G27" i="66"/>
  <c r="F27" i="66"/>
  <c r="E27" i="66"/>
  <c r="D27" i="66"/>
  <c r="C27" i="66"/>
  <c r="B27" i="66"/>
  <c r="O26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N25" i="66"/>
  <c r="M25" i="66"/>
  <c r="L25" i="66"/>
  <c r="K25" i="66"/>
  <c r="J25" i="66"/>
  <c r="I25" i="66"/>
  <c r="H25" i="66"/>
  <c r="G25" i="66"/>
  <c r="F25" i="66"/>
  <c r="E25" i="66"/>
  <c r="D25" i="66"/>
  <c r="C25" i="66"/>
  <c r="B25" i="66"/>
  <c r="O24" i="66"/>
  <c r="N24" i="66"/>
  <c r="M24" i="66"/>
  <c r="L24" i="66"/>
  <c r="K24" i="66"/>
  <c r="J24" i="66"/>
  <c r="I24" i="66"/>
  <c r="H24" i="66"/>
  <c r="G24" i="66"/>
  <c r="F24" i="66"/>
  <c r="E24" i="66"/>
  <c r="D24" i="66"/>
  <c r="C24" i="66"/>
  <c r="B24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B22" i="66"/>
  <c r="B21" i="66"/>
  <c r="B20" i="66"/>
  <c r="B19" i="66"/>
  <c r="B18" i="66"/>
  <c r="B17" i="66"/>
  <c r="B16" i="66"/>
  <c r="B15" i="66"/>
  <c r="B14" i="66"/>
  <c r="B13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S6" i="31"/>
  <c r="AA9" i="47" l="1"/>
  <c r="AF9" i="47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117" i="31"/>
  <c r="I95" i="31"/>
  <c r="I128" i="31"/>
  <c r="I192" i="31"/>
  <c r="I84" i="31"/>
  <c r="I106" i="31"/>
  <c r="I204" i="31" l="1"/>
  <c r="I237" i="31"/>
  <c r="I226" i="31"/>
  <c r="I215" i="31"/>
  <c r="I118" i="31"/>
  <c r="I107" i="31"/>
  <c r="I96" i="31"/>
  <c r="I129" i="31"/>
  <c r="I227" i="31" l="1"/>
  <c r="I238" i="31"/>
  <c r="I216" i="31"/>
  <c r="I119" i="31"/>
  <c r="I108" i="31"/>
  <c r="I130" i="31"/>
  <c r="I228" i="31" l="1"/>
  <c r="I239" i="31"/>
  <c r="I131" i="31"/>
  <c r="I120" i="31"/>
  <c r="I240" i="31" l="1"/>
  <c r="I132" i="3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Q31" i="25" l="1"/>
  <c r="AM31" i="25"/>
  <c r="AL31" i="25"/>
  <c r="AN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196" i="31" l="1"/>
  <c r="D196" i="31"/>
  <c r="D141" i="31"/>
  <c r="K141" i="31"/>
  <c r="D236" i="31"/>
  <c r="K236" i="31"/>
  <c r="K151" i="31"/>
  <c r="D151" i="31"/>
  <c r="D138" i="31"/>
  <c r="K138" i="31"/>
  <c r="D227" i="31"/>
  <c r="K227" i="31"/>
  <c r="D144" i="31"/>
  <c r="K144" i="31"/>
  <c r="K139" i="31"/>
  <c r="D139" i="31"/>
  <c r="K134" i="31"/>
  <c r="D134" i="31"/>
  <c r="D147" i="31"/>
  <c r="K147" i="31"/>
  <c r="D167" i="31"/>
  <c r="K167" i="31"/>
  <c r="K238" i="31"/>
  <c r="D238" i="31"/>
  <c r="D178" i="31"/>
  <c r="K178" i="31"/>
  <c r="K170" i="31"/>
  <c r="D170" i="31"/>
  <c r="D209" i="31"/>
  <c r="K209" i="31"/>
  <c r="D199" i="31"/>
  <c r="K199" i="31"/>
  <c r="K195" i="31"/>
  <c r="D195" i="31"/>
  <c r="O32" i="31"/>
  <c r="K205" i="31"/>
  <c r="D205" i="31"/>
  <c r="K162" i="31"/>
  <c r="D162" i="31"/>
  <c r="K219" i="31"/>
  <c r="D219" i="31"/>
  <c r="K135" i="31"/>
  <c r="D135" i="31"/>
  <c r="K188" i="31"/>
  <c r="D188" i="31"/>
  <c r="D212" i="31"/>
  <c r="K212" i="31"/>
  <c r="D137" i="31"/>
  <c r="K137" i="31"/>
  <c r="D204" i="31"/>
  <c r="K204" i="31"/>
  <c r="D175" i="31"/>
  <c r="K175" i="31"/>
  <c r="K159" i="31"/>
  <c r="D159" i="31"/>
  <c r="D152" i="31"/>
  <c r="K152" i="31"/>
  <c r="D142" i="31"/>
  <c r="K142" i="31"/>
  <c r="D200" i="31"/>
  <c r="K200" i="31"/>
  <c r="K210" i="31"/>
  <c r="D210" i="31"/>
  <c r="K153" i="31"/>
  <c r="D153" i="31"/>
  <c r="K213" i="31"/>
  <c r="D213" i="31"/>
  <c r="K224" i="31"/>
  <c r="D224" i="31"/>
  <c r="D232" i="31"/>
  <c r="K232" i="31"/>
  <c r="D140" i="31"/>
  <c r="K140" i="31"/>
  <c r="D173" i="31"/>
  <c r="K173" i="31"/>
  <c r="O29" i="31"/>
  <c r="D169" i="31"/>
  <c r="K169" i="31"/>
  <c r="D229" i="31"/>
  <c r="K229" i="31"/>
  <c r="O34" i="31"/>
  <c r="D225" i="31"/>
  <c r="K225" i="31"/>
  <c r="D218" i="31"/>
  <c r="K218" i="31"/>
  <c r="D206" i="31"/>
  <c r="K206" i="31"/>
  <c r="K146" i="31"/>
  <c r="D146" i="31"/>
  <c r="D211" i="31"/>
  <c r="K211" i="31"/>
  <c r="D154" i="31"/>
  <c r="K154" i="31"/>
  <c r="D183" i="31"/>
  <c r="K183" i="31"/>
  <c r="D193" i="31"/>
  <c r="O31" i="31"/>
  <c r="K193" i="31"/>
  <c r="K187" i="31"/>
  <c r="D187" i="31"/>
  <c r="D228" i="31"/>
  <c r="K228" i="31"/>
  <c r="K201" i="31"/>
  <c r="D201" i="31"/>
  <c r="K235" i="31"/>
  <c r="D235" i="31"/>
  <c r="D203" i="31"/>
  <c r="K203" i="31"/>
  <c r="D233" i="31"/>
  <c r="K233" i="31"/>
  <c r="D221" i="31"/>
  <c r="K221" i="31"/>
  <c r="K237" i="31"/>
  <c r="D237" i="31"/>
  <c r="D184" i="31"/>
  <c r="K184" i="31"/>
  <c r="K234" i="31"/>
  <c r="D234" i="31"/>
  <c r="D163" i="31"/>
  <c r="K163" i="31"/>
  <c r="K143" i="31"/>
  <c r="D143" i="31"/>
  <c r="K182" i="31"/>
  <c r="D182" i="31"/>
  <c r="K166" i="31"/>
  <c r="D166" i="31"/>
  <c r="K149" i="31"/>
  <c r="D149" i="31"/>
  <c r="K172" i="31"/>
  <c r="D172" i="31"/>
  <c r="K214" i="31"/>
  <c r="D214" i="31"/>
  <c r="D202" i="31"/>
  <c r="K202" i="31"/>
  <c r="K215" i="31"/>
  <c r="D215" i="31"/>
  <c r="K177" i="31"/>
  <c r="D177" i="31"/>
  <c r="D192" i="31"/>
  <c r="K192" i="31"/>
  <c r="D145" i="31"/>
  <c r="K145" i="31"/>
  <c r="O27" i="31"/>
  <c r="K148" i="31"/>
  <c r="D148" i="31"/>
  <c r="K207" i="31"/>
  <c r="D207" i="31"/>
  <c r="K150" i="31"/>
  <c r="D150" i="31"/>
  <c r="D185" i="31"/>
  <c r="K185" i="31"/>
  <c r="K239" i="31"/>
  <c r="D239" i="31"/>
  <c r="D179" i="31"/>
  <c r="K179" i="31"/>
  <c r="D220" i="31"/>
  <c r="K220" i="31"/>
  <c r="K217" i="31"/>
  <c r="D217" i="31"/>
  <c r="O33" i="31"/>
  <c r="K197" i="31"/>
  <c r="D197" i="31"/>
  <c r="K222" i="31"/>
  <c r="D222" i="31"/>
  <c r="D240" i="31"/>
  <c r="K240" i="31"/>
  <c r="D136" i="31"/>
  <c r="K136" i="31"/>
  <c r="K216" i="31"/>
  <c r="D216" i="31"/>
  <c r="D208" i="31"/>
  <c r="K208" i="31"/>
  <c r="D176" i="31"/>
  <c r="K176" i="31"/>
  <c r="K164" i="31"/>
  <c r="D164" i="31"/>
  <c r="D226" i="31"/>
  <c r="K226" i="31"/>
  <c r="D190" i="31"/>
  <c r="K190" i="31"/>
  <c r="D161" i="31"/>
  <c r="K161" i="31"/>
  <c r="K223" i="31"/>
  <c r="D223" i="31"/>
  <c r="K191" i="31"/>
  <c r="D191" i="31"/>
  <c r="K231" i="31"/>
  <c r="D231" i="31"/>
  <c r="K174" i="31"/>
  <c r="D174" i="31"/>
  <c r="K158" i="31"/>
  <c r="D158" i="31"/>
  <c r="D168" i="31"/>
  <c r="K168" i="31"/>
  <c r="K165" i="31"/>
  <c r="D165" i="31"/>
  <c r="O26" i="31"/>
  <c r="D133" i="31"/>
  <c r="K133" i="31"/>
  <c r="D155" i="31"/>
  <c r="K155" i="31"/>
  <c r="K230" i="31"/>
  <c r="D230" i="31"/>
  <c r="O30" i="31"/>
  <c r="D181" i="31"/>
  <c r="K181" i="31"/>
  <c r="D194" i="31"/>
  <c r="K194" i="31"/>
  <c r="K157" i="31"/>
  <c r="O28" i="31"/>
  <c r="D157" i="31"/>
  <c r="K156" i="31"/>
  <c r="D156" i="31"/>
  <c r="D198" i="31"/>
  <c r="K198" i="31"/>
  <c r="D160" i="31"/>
  <c r="K160" i="31"/>
  <c r="K189" i="31"/>
  <c r="D189" i="31"/>
  <c r="K180" i="31"/>
  <c r="D180" i="31"/>
  <c r="D171" i="31"/>
  <c r="K171" i="31"/>
  <c r="K186" i="31"/>
  <c r="D186" i="31"/>
  <c r="E239" i="31" l="1"/>
  <c r="G239" i="31" s="1"/>
  <c r="E207" i="31"/>
  <c r="G207" i="31" s="1"/>
  <c r="E215" i="31"/>
  <c r="G215" i="31" s="1"/>
  <c r="N28" i="31"/>
  <c r="E226" i="31"/>
  <c r="G226" i="31" s="1"/>
  <c r="E202" i="31"/>
  <c r="E204" i="31"/>
  <c r="G204" i="31" s="1"/>
  <c r="E219" i="31"/>
  <c r="G219" i="31" s="1"/>
  <c r="E235" i="31"/>
  <c r="G235" i="31" s="1"/>
  <c r="E213" i="31"/>
  <c r="G213" i="31" s="1"/>
  <c r="E238" i="31"/>
  <c r="G238" i="31" s="1"/>
  <c r="E218" i="31"/>
  <c r="G218" i="31" s="1"/>
  <c r="N30" i="31"/>
  <c r="N27" i="31"/>
  <c r="N31" i="31"/>
  <c r="N26" i="31"/>
  <c r="N29" i="31"/>
  <c r="E209" i="31"/>
  <c r="G209" i="31" s="1"/>
  <c r="E230" i="31"/>
  <c r="G230" i="31" s="1"/>
  <c r="E208" i="31"/>
  <c r="G208" i="31" s="1"/>
  <c r="N33" i="31"/>
  <c r="E210" i="31"/>
  <c r="G210" i="31" s="1"/>
  <c r="E214" i="31"/>
  <c r="G214" i="31" s="1"/>
  <c r="E234" i="31"/>
  <c r="G234" i="31" s="1"/>
  <c r="M34" i="31"/>
  <c r="E229" i="31"/>
  <c r="G229" i="31" s="1"/>
  <c r="E206" i="31"/>
  <c r="G206" i="31" s="1"/>
  <c r="O35" i="31"/>
  <c r="E232" i="31"/>
  <c r="G232" i="31" s="1"/>
  <c r="E224" i="31"/>
  <c r="G224" i="31" s="1"/>
  <c r="E212" i="31"/>
  <c r="G212" i="31" s="1"/>
  <c r="M32" i="31"/>
  <c r="E205" i="31"/>
  <c r="G205" i="31" s="1"/>
  <c r="E231" i="31"/>
  <c r="G231" i="31" s="1"/>
  <c r="E223" i="31"/>
  <c r="G223" i="31" s="1"/>
  <c r="E240" i="31"/>
  <c r="G240" i="31" s="1"/>
  <c r="E222" i="31"/>
  <c r="G222" i="31" s="1"/>
  <c r="E220" i="31"/>
  <c r="G220" i="31" s="1"/>
  <c r="E228" i="31"/>
  <c r="G228" i="31" s="1"/>
  <c r="R31" i="31"/>
  <c r="E211" i="31"/>
  <c r="G211" i="31" s="1"/>
  <c r="N32" i="31"/>
  <c r="E236" i="31"/>
  <c r="G236" i="31" s="1"/>
  <c r="E216" i="31"/>
  <c r="G216" i="31" s="1"/>
  <c r="E217" i="31"/>
  <c r="G217" i="31" s="1"/>
  <c r="M33" i="31"/>
  <c r="E237" i="31"/>
  <c r="G237" i="31" s="1"/>
  <c r="E221" i="31"/>
  <c r="G221" i="31" s="1"/>
  <c r="E233" i="31"/>
  <c r="G233" i="31" s="1"/>
  <c r="E203" i="31"/>
  <c r="E201" i="31"/>
  <c r="E225" i="31"/>
  <c r="G225" i="31" s="1"/>
  <c r="N34" i="31"/>
  <c r="E200" i="31"/>
  <c r="E227" i="31"/>
  <c r="G227" i="31" s="1"/>
  <c r="R26" i="31" l="1"/>
  <c r="R28" i="31"/>
  <c r="G201" i="31"/>
  <c r="R33" i="31"/>
  <c r="R27" i="31"/>
  <c r="G200" i="31"/>
  <c r="R29" i="31"/>
  <c r="R30" i="31"/>
  <c r="G202" i="31"/>
  <c r="R34" i="31"/>
  <c r="R32" i="31"/>
  <c r="G203" i="31"/>
  <c r="Q32" i="31"/>
  <c r="P32" i="31"/>
  <c r="M35" i="31"/>
  <c r="Q34" i="31"/>
  <c r="P34" i="31"/>
  <c r="Q33" i="31"/>
  <c r="P33" i="31"/>
  <c r="O36" i="31"/>
  <c r="N35" i="31" l="1"/>
  <c r="Q35" i="31"/>
  <c r="M36" i="31"/>
  <c r="O37" i="31"/>
  <c r="R35" i="31" l="1"/>
  <c r="N36" i="31"/>
  <c r="P35" i="31"/>
  <c r="Q36" i="31"/>
  <c r="M37" i="31"/>
  <c r="N37" i="31"/>
  <c r="R37" i="31" l="1"/>
  <c r="R36" i="31"/>
  <c r="P36" i="31"/>
  <c r="Q37" i="31"/>
  <c r="P37" i="31"/>
  <c r="E161" i="31" l="1"/>
  <c r="E152" i="31"/>
  <c r="E171" i="31"/>
  <c r="E147" i="31"/>
  <c r="E197" i="31"/>
  <c r="E183" i="31"/>
  <c r="E194" i="31"/>
  <c r="E170" i="31"/>
  <c r="E187" i="31"/>
  <c r="E188" i="31"/>
  <c r="E195" i="31"/>
  <c r="E150" i="31"/>
  <c r="E178" i="31"/>
  <c r="E172" i="31"/>
  <c r="E191" i="31"/>
  <c r="E158" i="31"/>
  <c r="E144" i="31"/>
  <c r="E186" i="31"/>
  <c r="E162" i="31"/>
  <c r="E198" i="31"/>
  <c r="E184" i="31"/>
  <c r="E156" i="31"/>
  <c r="E199" i="31"/>
  <c r="E177" i="31"/>
  <c r="E149" i="31"/>
  <c r="E173" i="31"/>
  <c r="E135" i="31"/>
  <c r="E163" i="31"/>
  <c r="E164" i="31"/>
  <c r="E166" i="31"/>
  <c r="E146" i="31"/>
  <c r="E139" i="31"/>
  <c r="E137" i="31"/>
  <c r="E140" i="31"/>
  <c r="E167" i="31"/>
  <c r="E159" i="31"/>
  <c r="E151" i="31"/>
  <c r="E165" i="31"/>
  <c r="E176" i="31"/>
  <c r="E160" i="31"/>
  <c r="E189" i="31"/>
  <c r="E182" i="31"/>
  <c r="E196" i="31"/>
  <c r="E148" i="31"/>
  <c r="E190" i="31"/>
  <c r="E179" i="31"/>
  <c r="E175" i="31"/>
  <c r="E153" i="31"/>
  <c r="E136" i="31"/>
  <c r="E174" i="31"/>
  <c r="E154" i="31"/>
  <c r="E134" i="31"/>
  <c r="E155" i="31"/>
  <c r="E185" i="31"/>
  <c r="G189" i="31" l="1"/>
  <c r="G165" i="31"/>
  <c r="G159" i="31"/>
  <c r="G140" i="31"/>
  <c r="G146" i="31"/>
  <c r="G164" i="31"/>
  <c r="G149" i="31"/>
  <c r="G156" i="31"/>
  <c r="G198" i="31"/>
  <c r="G186" i="31"/>
  <c r="G194" i="31"/>
  <c r="G183" i="31"/>
  <c r="G197" i="31"/>
  <c r="G185" i="31"/>
  <c r="G174" i="31"/>
  <c r="G190" i="31"/>
  <c r="G173" i="31"/>
  <c r="G177" i="31"/>
  <c r="G158" i="31"/>
  <c r="G195" i="31"/>
  <c r="G187" i="31"/>
  <c r="G171" i="31"/>
  <c r="G161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188" i="31"/>
  <c r="G152" i="31"/>
  <c r="E180" i="31"/>
  <c r="E168" i="31"/>
  <c r="E192" i="31"/>
  <c r="E141" i="31"/>
  <c r="E143" i="31"/>
  <c r="E142" i="31"/>
  <c r="E138" i="31"/>
  <c r="G180" i="31" l="1"/>
  <c r="G141" i="31"/>
  <c r="G142" i="31"/>
  <c r="G143" i="31"/>
  <c r="G192" i="31"/>
  <c r="G168" i="31"/>
  <c r="G138" i="31"/>
  <c r="M26" i="31" l="1"/>
  <c r="E133" i="31"/>
  <c r="M30" i="31"/>
  <c r="E181" i="31"/>
  <c r="G181" i="31" l="1"/>
  <c r="G133" i="31"/>
  <c r="E157" i="31"/>
  <c r="M28" i="31"/>
  <c r="E145" i="31"/>
  <c r="M27" i="31"/>
  <c r="E169" i="31"/>
  <c r="M29" i="31"/>
  <c r="P30" i="31"/>
  <c r="Q30" i="31"/>
  <c r="M31" i="31"/>
  <c r="E193" i="31"/>
  <c r="P26" i="31"/>
  <c r="Q26" i="31"/>
  <c r="G169" i="31" l="1"/>
  <c r="G157" i="31"/>
  <c r="G145" i="31"/>
  <c r="G193" i="31"/>
  <c r="P27" i="31"/>
  <c r="Q27" i="31"/>
  <c r="Q29" i="31"/>
  <c r="P29" i="31"/>
  <c r="P28" i="31"/>
  <c r="Q28" i="31"/>
  <c r="Q31" i="31"/>
  <c r="P31" i="31"/>
  <c r="F130" i="31" l="1"/>
  <c r="F100" i="31"/>
  <c r="F71" i="31"/>
  <c r="F34" i="31"/>
  <c r="F127" i="31"/>
  <c r="F68" i="31"/>
  <c r="F31" i="31"/>
  <c r="F28" i="31"/>
  <c r="F43" i="31"/>
  <c r="F58" i="31"/>
  <c r="F76" i="31"/>
  <c r="F91" i="31"/>
  <c r="F106" i="31"/>
  <c r="F124" i="31"/>
  <c r="F18" i="31"/>
  <c r="F33" i="31"/>
  <c r="F51" i="31"/>
  <c r="F66" i="31"/>
  <c r="F81" i="31"/>
  <c r="F99" i="31"/>
  <c r="F114" i="31"/>
  <c r="F129" i="31"/>
  <c r="F94" i="31"/>
  <c r="F64" i="31"/>
  <c r="F35" i="31"/>
  <c r="F23" i="31"/>
  <c r="F52" i="31"/>
  <c r="F82" i="31"/>
  <c r="F119" i="31"/>
  <c r="F122" i="31"/>
  <c r="F93" i="31"/>
  <c r="F63" i="31"/>
  <c r="F26" i="31"/>
  <c r="F120" i="31"/>
  <c r="F90" i="31"/>
  <c r="F53" i="31"/>
  <c r="F24" i="31"/>
  <c r="F32" i="31"/>
  <c r="F47" i="31"/>
  <c r="F80" i="31"/>
  <c r="F95" i="31"/>
  <c r="F128" i="31"/>
  <c r="F22" i="31"/>
  <c r="F40" i="31"/>
  <c r="F55" i="31"/>
  <c r="F70" i="31"/>
  <c r="F88" i="31"/>
  <c r="F103" i="31"/>
  <c r="F118" i="31"/>
  <c r="F123" i="31"/>
  <c r="F86" i="31"/>
  <c r="F57" i="31"/>
  <c r="F27" i="31"/>
  <c r="F30" i="31"/>
  <c r="F60" i="31"/>
  <c r="F89" i="31"/>
  <c r="F126" i="31"/>
  <c r="F115" i="31"/>
  <c r="F56" i="31"/>
  <c r="F19" i="31"/>
  <c r="F112" i="31"/>
  <c r="F83" i="31"/>
  <c r="F46" i="31"/>
  <c r="F16" i="31"/>
  <c r="F17" i="31"/>
  <c r="F36" i="31"/>
  <c r="F50" i="31"/>
  <c r="F65" i="31"/>
  <c r="F84" i="31"/>
  <c r="F98" i="31"/>
  <c r="F113" i="31"/>
  <c r="F132" i="31"/>
  <c r="F44" i="31"/>
  <c r="F59" i="31"/>
  <c r="F92" i="31"/>
  <c r="F107" i="31"/>
  <c r="F116" i="31"/>
  <c r="F79" i="31"/>
  <c r="F20" i="31"/>
  <c r="F67" i="31"/>
  <c r="F104" i="31"/>
  <c r="F108" i="31"/>
  <c r="F78" i="31"/>
  <c r="F41" i="31"/>
  <c r="F105" i="31"/>
  <c r="F75" i="31"/>
  <c r="F38" i="31"/>
  <c r="F21" i="31"/>
  <c r="F39" i="31"/>
  <c r="F54" i="31"/>
  <c r="F69" i="31"/>
  <c r="F87" i="31"/>
  <c r="F102" i="31"/>
  <c r="F117" i="31"/>
  <c r="F14" i="31"/>
  <c r="F29" i="31"/>
  <c r="F48" i="31"/>
  <c r="F62" i="31"/>
  <c r="F77" i="31"/>
  <c r="F96" i="31"/>
  <c r="F110" i="31"/>
  <c r="F125" i="31"/>
  <c r="F101" i="31"/>
  <c r="F72" i="31"/>
  <c r="F42" i="31"/>
  <c r="F15" i="31"/>
  <c r="F45" i="31"/>
  <c r="F74" i="31"/>
  <c r="F111" i="31"/>
  <c r="F131" i="31"/>
  <c r="F61" i="31"/>
  <c r="F109" i="31"/>
  <c r="F25" i="31"/>
  <c r="F73" i="31"/>
  <c r="F121" i="31"/>
  <c r="F49" i="31"/>
  <c r="F85" i="31"/>
  <c r="F97" i="31"/>
  <c r="F37" i="31"/>
  <c r="C85" i="31" l="1"/>
  <c r="K85" i="31"/>
  <c r="O22" i="31"/>
  <c r="D85" i="31"/>
  <c r="C109" i="31"/>
  <c r="K109" i="31"/>
  <c r="O24" i="31"/>
  <c r="D109" i="31"/>
  <c r="C119" i="31"/>
  <c r="D119" i="31"/>
  <c r="K119" i="31"/>
  <c r="C52" i="31"/>
  <c r="D52" i="31"/>
  <c r="K52" i="31"/>
  <c r="C64" i="31"/>
  <c r="D64" i="31"/>
  <c r="K64" i="31"/>
  <c r="C129" i="31"/>
  <c r="D129" i="31"/>
  <c r="K129" i="31"/>
  <c r="C99" i="31"/>
  <c r="K99" i="31"/>
  <c r="D99" i="31"/>
  <c r="C66" i="31"/>
  <c r="K66" i="31"/>
  <c r="D66" i="31"/>
  <c r="C33" i="31"/>
  <c r="K33" i="31"/>
  <c r="D33" i="31"/>
  <c r="C124" i="31"/>
  <c r="K124" i="31"/>
  <c r="D124" i="31"/>
  <c r="C91" i="31"/>
  <c r="K91" i="31"/>
  <c r="D91" i="31"/>
  <c r="C58" i="31"/>
  <c r="K58" i="31"/>
  <c r="D58" i="31"/>
  <c r="C28" i="31"/>
  <c r="D28" i="31"/>
  <c r="K28" i="31"/>
  <c r="C68" i="31"/>
  <c r="D68" i="31"/>
  <c r="K68" i="31"/>
  <c r="C71" i="31"/>
  <c r="K71" i="31"/>
  <c r="D71" i="31"/>
  <c r="C130" i="31"/>
  <c r="K130" i="31"/>
  <c r="D130" i="31"/>
  <c r="C49" i="31"/>
  <c r="K49" i="31"/>
  <c r="O19" i="31"/>
  <c r="D49" i="31"/>
  <c r="C121" i="31"/>
  <c r="D121" i="31"/>
  <c r="K121" i="31"/>
  <c r="O25" i="31"/>
  <c r="C61" i="31"/>
  <c r="D61" i="31"/>
  <c r="O20" i="31"/>
  <c r="K61" i="31"/>
  <c r="C111" i="31"/>
  <c r="K111" i="31"/>
  <c r="D111" i="31"/>
  <c r="C45" i="31"/>
  <c r="K45" i="31"/>
  <c r="D45" i="31"/>
  <c r="C42" i="31"/>
  <c r="K42" i="31"/>
  <c r="D42" i="31"/>
  <c r="C101" i="31"/>
  <c r="K101" i="31"/>
  <c r="D101" i="31"/>
  <c r="C125" i="31"/>
  <c r="D125" i="31"/>
  <c r="K125" i="31"/>
  <c r="C96" i="31"/>
  <c r="D96" i="31"/>
  <c r="K96" i="31"/>
  <c r="C62" i="31"/>
  <c r="D62" i="31"/>
  <c r="K62" i="31"/>
  <c r="C29" i="31"/>
  <c r="D29" i="31"/>
  <c r="K29" i="31"/>
  <c r="C117" i="31"/>
  <c r="K117" i="31"/>
  <c r="D117" i="31"/>
  <c r="C87" i="31"/>
  <c r="K87" i="31"/>
  <c r="D87" i="31"/>
  <c r="C54" i="31"/>
  <c r="D54" i="31"/>
  <c r="K54" i="31"/>
  <c r="K21" i="31"/>
  <c r="D21" i="31"/>
  <c r="C75" i="31"/>
  <c r="K75" i="31"/>
  <c r="D75" i="31"/>
  <c r="C78" i="31"/>
  <c r="K78" i="31"/>
  <c r="D78" i="31"/>
  <c r="C67" i="31"/>
  <c r="K67" i="31"/>
  <c r="D67" i="31"/>
  <c r="K20" i="31"/>
  <c r="D20" i="31"/>
  <c r="C116" i="31"/>
  <c r="K116" i="31"/>
  <c r="D116" i="31"/>
  <c r="C92" i="31"/>
  <c r="K92" i="31"/>
  <c r="D92" i="31"/>
  <c r="C44" i="31"/>
  <c r="D44" i="31"/>
  <c r="K44" i="31"/>
  <c r="C113" i="31"/>
  <c r="D113" i="31"/>
  <c r="K113" i="31"/>
  <c r="C84" i="31"/>
  <c r="D84" i="31"/>
  <c r="K84" i="31"/>
  <c r="C50" i="31"/>
  <c r="K50" i="31"/>
  <c r="D50" i="31"/>
  <c r="K17" i="31"/>
  <c r="D17" i="31"/>
  <c r="D16" i="31"/>
  <c r="K16" i="31"/>
  <c r="C83" i="31"/>
  <c r="D83" i="31"/>
  <c r="K83" i="31"/>
  <c r="K19" i="31"/>
  <c r="D19" i="31"/>
  <c r="C115" i="31"/>
  <c r="K115" i="31"/>
  <c r="D115" i="31"/>
  <c r="C126" i="31"/>
  <c r="D126" i="31"/>
  <c r="K126" i="31"/>
  <c r="C60" i="31"/>
  <c r="K60" i="31"/>
  <c r="D60" i="31"/>
  <c r="C27" i="31"/>
  <c r="K27" i="31"/>
  <c r="D27" i="31"/>
  <c r="C86" i="31"/>
  <c r="K86" i="31"/>
  <c r="D86" i="31"/>
  <c r="C103" i="31"/>
  <c r="D103" i="31"/>
  <c r="K103" i="31"/>
  <c r="C70" i="31"/>
  <c r="K70" i="31"/>
  <c r="D70" i="31"/>
  <c r="C40" i="31"/>
  <c r="K40" i="31"/>
  <c r="D40" i="31"/>
  <c r="C128" i="31"/>
  <c r="D128" i="31"/>
  <c r="K128" i="31"/>
  <c r="C80" i="31"/>
  <c r="D80" i="31"/>
  <c r="K80" i="31"/>
  <c r="C32" i="31"/>
  <c r="D32" i="31"/>
  <c r="K32" i="31"/>
  <c r="C53" i="31"/>
  <c r="K53" i="31"/>
  <c r="D53" i="31"/>
  <c r="C120" i="31"/>
  <c r="K120" i="31"/>
  <c r="D120" i="31"/>
  <c r="C63" i="31"/>
  <c r="K63" i="31"/>
  <c r="D63" i="31"/>
  <c r="C122" i="31"/>
  <c r="D122" i="31"/>
  <c r="K122" i="31"/>
  <c r="C73" i="31"/>
  <c r="O21" i="31"/>
  <c r="K73" i="31"/>
  <c r="D73" i="31"/>
  <c r="C131" i="31"/>
  <c r="K131" i="31"/>
  <c r="D131" i="31"/>
  <c r="C82" i="31"/>
  <c r="K82" i="31"/>
  <c r="D82" i="31"/>
  <c r="D23" i="31"/>
  <c r="K23" i="31"/>
  <c r="C35" i="31"/>
  <c r="D35" i="31"/>
  <c r="K35" i="31"/>
  <c r="C94" i="31"/>
  <c r="D94" i="31"/>
  <c r="K94" i="31"/>
  <c r="C114" i="31"/>
  <c r="D114" i="31"/>
  <c r="K114" i="31"/>
  <c r="C81" i="31"/>
  <c r="K81" i="31"/>
  <c r="D81" i="31"/>
  <c r="C51" i="31"/>
  <c r="D51" i="31"/>
  <c r="K51" i="31"/>
  <c r="K18" i="31"/>
  <c r="D18" i="31"/>
  <c r="C106" i="31"/>
  <c r="K106" i="31"/>
  <c r="D106" i="31"/>
  <c r="C76" i="31"/>
  <c r="K76" i="31"/>
  <c r="D76" i="31"/>
  <c r="C43" i="31"/>
  <c r="K43" i="31"/>
  <c r="D43" i="31"/>
  <c r="C31" i="31"/>
  <c r="K31" i="31"/>
  <c r="D31" i="31"/>
  <c r="C127" i="31"/>
  <c r="D127" i="31"/>
  <c r="K127" i="31"/>
  <c r="C34" i="31"/>
  <c r="D34" i="31"/>
  <c r="K34" i="31"/>
  <c r="C100" i="31"/>
  <c r="K100" i="31"/>
  <c r="D100" i="31"/>
  <c r="C37" i="31"/>
  <c r="K37" i="31"/>
  <c r="O18" i="31"/>
  <c r="D37" i="31"/>
  <c r="C97" i="31"/>
  <c r="D97" i="31"/>
  <c r="O23" i="31"/>
  <c r="K97" i="31"/>
  <c r="C25" i="31"/>
  <c r="O17" i="31"/>
  <c r="D12" i="31"/>
  <c r="G12" i="31" s="1"/>
  <c r="D25" i="31"/>
  <c r="K25" i="31"/>
  <c r="C74" i="31"/>
  <c r="D74" i="31"/>
  <c r="K74" i="31"/>
  <c r="K15" i="31"/>
  <c r="D15" i="31"/>
  <c r="C72" i="31"/>
  <c r="E72" i="31" s="1"/>
  <c r="D72" i="31"/>
  <c r="K72" i="31"/>
  <c r="C110" i="31"/>
  <c r="K110" i="31"/>
  <c r="D110" i="31"/>
  <c r="C77" i="31"/>
  <c r="K77" i="31"/>
  <c r="D77" i="31"/>
  <c r="C48" i="31"/>
  <c r="D48" i="31"/>
  <c r="K48" i="31"/>
  <c r="K14" i="31"/>
  <c r="D14" i="31"/>
  <c r="C102" i="31"/>
  <c r="D102" i="31"/>
  <c r="K102" i="31"/>
  <c r="C69" i="31"/>
  <c r="K69" i="31"/>
  <c r="D69" i="31"/>
  <c r="C39" i="31"/>
  <c r="D39" i="31"/>
  <c r="K39" i="31"/>
  <c r="C38" i="31"/>
  <c r="D38" i="31"/>
  <c r="K38" i="31"/>
  <c r="C105" i="31"/>
  <c r="K105" i="31"/>
  <c r="D105" i="31"/>
  <c r="C41" i="31"/>
  <c r="D41" i="31"/>
  <c r="K41" i="31"/>
  <c r="C108" i="31"/>
  <c r="E108" i="31" s="1"/>
  <c r="D108" i="31"/>
  <c r="K108" i="31"/>
  <c r="C104" i="31"/>
  <c r="K104" i="31"/>
  <c r="D104" i="31"/>
  <c r="C79" i="31"/>
  <c r="K79" i="31"/>
  <c r="D79" i="31"/>
  <c r="C107" i="31"/>
  <c r="K107" i="31"/>
  <c r="D107" i="31"/>
  <c r="C59" i="31"/>
  <c r="D59" i="31"/>
  <c r="K59" i="31"/>
  <c r="C132" i="31"/>
  <c r="D132" i="31"/>
  <c r="K132" i="31"/>
  <c r="C98" i="31"/>
  <c r="D98" i="31"/>
  <c r="K98" i="31"/>
  <c r="C65" i="31"/>
  <c r="K65" i="31"/>
  <c r="D65" i="31"/>
  <c r="C36" i="31"/>
  <c r="E36" i="31" s="1"/>
  <c r="D36" i="31"/>
  <c r="K36" i="31"/>
  <c r="C46" i="31"/>
  <c r="D46" i="31"/>
  <c r="K46" i="31"/>
  <c r="C112" i="31"/>
  <c r="K112" i="31"/>
  <c r="D112" i="31"/>
  <c r="C56" i="31"/>
  <c r="D56" i="31"/>
  <c r="K56" i="31"/>
  <c r="C89" i="31"/>
  <c r="D89" i="31"/>
  <c r="K89" i="31"/>
  <c r="C30" i="31"/>
  <c r="D30" i="31"/>
  <c r="K30" i="31"/>
  <c r="C57" i="31"/>
  <c r="K57" i="31"/>
  <c r="D57" i="31"/>
  <c r="C123" i="31"/>
  <c r="K123" i="31"/>
  <c r="D123" i="31"/>
  <c r="C118" i="31"/>
  <c r="K118" i="31"/>
  <c r="D118" i="31"/>
  <c r="C88" i="31"/>
  <c r="K88" i="31"/>
  <c r="D88" i="31"/>
  <c r="C55" i="31"/>
  <c r="K55" i="31"/>
  <c r="D55" i="31"/>
  <c r="K22" i="31"/>
  <c r="D22" i="31"/>
  <c r="C95" i="31"/>
  <c r="K95" i="31"/>
  <c r="D95" i="31"/>
  <c r="C47" i="31"/>
  <c r="D47" i="31"/>
  <c r="K47" i="31"/>
  <c r="D24" i="31"/>
  <c r="K24" i="31"/>
  <c r="C90" i="31"/>
  <c r="D90" i="31"/>
  <c r="K90" i="31"/>
  <c r="C26" i="31"/>
  <c r="D26" i="31"/>
  <c r="K26" i="31"/>
  <c r="C93" i="31"/>
  <c r="K93" i="31"/>
  <c r="D93" i="31"/>
  <c r="F13" i="31"/>
  <c r="F9" i="31"/>
  <c r="E89" i="31" l="1"/>
  <c r="E59" i="31"/>
  <c r="E39" i="31"/>
  <c r="E26" i="31"/>
  <c r="E47" i="31"/>
  <c r="E98" i="31"/>
  <c r="E102" i="31"/>
  <c r="E114" i="31"/>
  <c r="G114" i="31" s="1"/>
  <c r="E28" i="31"/>
  <c r="E33" i="31"/>
  <c r="E64" i="31"/>
  <c r="G64" i="31" s="1"/>
  <c r="E34" i="31"/>
  <c r="E51" i="31"/>
  <c r="E35" i="31"/>
  <c r="E93" i="31"/>
  <c r="G93" i="31" s="1"/>
  <c r="E123" i="31"/>
  <c r="E65" i="31"/>
  <c r="G65" i="31" s="1"/>
  <c r="E107" i="31"/>
  <c r="E69" i="31"/>
  <c r="E106" i="31"/>
  <c r="E81" i="31"/>
  <c r="G81" i="31" s="1"/>
  <c r="E118" i="31"/>
  <c r="G123" i="31"/>
  <c r="G106" i="31"/>
  <c r="G89" i="31"/>
  <c r="G36" i="31"/>
  <c r="G59" i="31"/>
  <c r="G108" i="31"/>
  <c r="G39" i="31"/>
  <c r="G72" i="31"/>
  <c r="G34" i="31"/>
  <c r="G51" i="31"/>
  <c r="E130" i="31"/>
  <c r="E58" i="31"/>
  <c r="E66" i="31"/>
  <c r="G26" i="31"/>
  <c r="G47" i="31"/>
  <c r="G98" i="31"/>
  <c r="G102" i="31"/>
  <c r="E31" i="31"/>
  <c r="G28" i="31"/>
  <c r="G33" i="31"/>
  <c r="E90" i="31"/>
  <c r="E95" i="31"/>
  <c r="E88" i="31"/>
  <c r="E30" i="31"/>
  <c r="E46" i="31"/>
  <c r="E132" i="31"/>
  <c r="E104" i="31"/>
  <c r="E38" i="31"/>
  <c r="E110" i="31"/>
  <c r="E74" i="31"/>
  <c r="E100" i="31"/>
  <c r="E43" i="31"/>
  <c r="E94" i="31"/>
  <c r="E82" i="31"/>
  <c r="E52" i="31"/>
  <c r="E55" i="31"/>
  <c r="E57" i="31"/>
  <c r="E112" i="31"/>
  <c r="E79" i="31"/>
  <c r="E105" i="31"/>
  <c r="E77" i="31"/>
  <c r="E56" i="31"/>
  <c r="E41" i="31"/>
  <c r="E48" i="31"/>
  <c r="E127" i="31"/>
  <c r="E68" i="31"/>
  <c r="E124" i="31"/>
  <c r="E129" i="31"/>
  <c r="E76" i="31"/>
  <c r="E131" i="31"/>
  <c r="E71" i="31"/>
  <c r="E91" i="31"/>
  <c r="E99" i="31"/>
  <c r="E119" i="31"/>
  <c r="N17" i="31"/>
  <c r="M23" i="31"/>
  <c r="E97" i="31"/>
  <c r="E121" i="31"/>
  <c r="M25" i="31"/>
  <c r="N22" i="31"/>
  <c r="M18" i="31"/>
  <c r="E37" i="31"/>
  <c r="M19" i="31"/>
  <c r="E49" i="31"/>
  <c r="N18" i="31"/>
  <c r="M21" i="31"/>
  <c r="E73" i="31"/>
  <c r="E122" i="31"/>
  <c r="E63" i="31"/>
  <c r="E120" i="31"/>
  <c r="E53" i="31"/>
  <c r="E32" i="31"/>
  <c r="E80" i="31"/>
  <c r="E128" i="31"/>
  <c r="E40" i="31"/>
  <c r="E70" i="31"/>
  <c r="E103" i="31"/>
  <c r="E86" i="31"/>
  <c r="E27" i="31"/>
  <c r="E60" i="31"/>
  <c r="E126" i="31"/>
  <c r="E115" i="31"/>
  <c r="E83" i="31"/>
  <c r="E50" i="31"/>
  <c r="E84" i="31"/>
  <c r="E113" i="31"/>
  <c r="E44" i="31"/>
  <c r="E92" i="31"/>
  <c r="E116" i="31"/>
  <c r="E67" i="31"/>
  <c r="E78" i="31"/>
  <c r="E75" i="31"/>
  <c r="E54" i="31"/>
  <c r="E87" i="31"/>
  <c r="E117" i="31"/>
  <c r="E29" i="31"/>
  <c r="E62" i="31"/>
  <c r="E96" i="31"/>
  <c r="E125" i="31"/>
  <c r="E101" i="31"/>
  <c r="E42" i="31"/>
  <c r="E45" i="31"/>
  <c r="E111" i="31"/>
  <c r="N20" i="31"/>
  <c r="N19" i="31"/>
  <c r="M24" i="31"/>
  <c r="E109" i="31"/>
  <c r="O16" i="31"/>
  <c r="K13" i="31"/>
  <c r="D13" i="31"/>
  <c r="M17" i="31"/>
  <c r="E25" i="31"/>
  <c r="N23" i="31"/>
  <c r="N21" i="31"/>
  <c r="M20" i="31"/>
  <c r="E61" i="31"/>
  <c r="N25" i="31"/>
  <c r="N24" i="31"/>
  <c r="M22" i="31"/>
  <c r="E85" i="31"/>
  <c r="D9" i="31"/>
  <c r="G69" i="31" l="1"/>
  <c r="G35" i="31"/>
  <c r="G107" i="31"/>
  <c r="G118" i="31"/>
  <c r="G109" i="31"/>
  <c r="G111" i="31"/>
  <c r="G125" i="31"/>
  <c r="G117" i="31"/>
  <c r="G78" i="31"/>
  <c r="G44" i="31"/>
  <c r="G83" i="31"/>
  <c r="G27" i="31"/>
  <c r="G40" i="31"/>
  <c r="G53" i="31"/>
  <c r="G73" i="31"/>
  <c r="R17" i="31"/>
  <c r="G71" i="31"/>
  <c r="G124" i="31"/>
  <c r="G41" i="31"/>
  <c r="G79" i="31"/>
  <c r="G52" i="31"/>
  <c r="G100" i="31"/>
  <c r="G104" i="31"/>
  <c r="G88" i="31"/>
  <c r="G130" i="31"/>
  <c r="R24" i="31"/>
  <c r="R21" i="31"/>
  <c r="G45" i="31"/>
  <c r="G96" i="31"/>
  <c r="G87" i="31"/>
  <c r="G67" i="31"/>
  <c r="G113" i="31"/>
  <c r="G115" i="31"/>
  <c r="G86" i="31"/>
  <c r="G128" i="31"/>
  <c r="G120" i="31"/>
  <c r="G37" i="31"/>
  <c r="G121" i="31"/>
  <c r="G119" i="31"/>
  <c r="G131" i="31"/>
  <c r="G68" i="31"/>
  <c r="G56" i="31"/>
  <c r="G112" i="31"/>
  <c r="G82" i="31"/>
  <c r="G74" i="31"/>
  <c r="G132" i="31"/>
  <c r="G95" i="31"/>
  <c r="R25" i="31"/>
  <c r="R23" i="31"/>
  <c r="R19" i="31"/>
  <c r="G42" i="31"/>
  <c r="G62" i="31"/>
  <c r="G54" i="31"/>
  <c r="G116" i="31"/>
  <c r="G84" i="31"/>
  <c r="G126" i="31"/>
  <c r="G103" i="31"/>
  <c r="G80" i="31"/>
  <c r="G63" i="31"/>
  <c r="R18" i="31"/>
  <c r="G97" i="31"/>
  <c r="G99" i="31"/>
  <c r="G76" i="31"/>
  <c r="G127" i="31"/>
  <c r="G77" i="31"/>
  <c r="G57" i="31"/>
  <c r="G94" i="31"/>
  <c r="G110" i="31"/>
  <c r="G46" i="31"/>
  <c r="G90" i="31"/>
  <c r="G66" i="31"/>
  <c r="G85" i="31"/>
  <c r="G61" i="31"/>
  <c r="G25" i="31"/>
  <c r="R20" i="31"/>
  <c r="G101" i="31"/>
  <c r="G29" i="31"/>
  <c r="G75" i="31"/>
  <c r="G92" i="31"/>
  <c r="G50" i="31"/>
  <c r="G60" i="31"/>
  <c r="G70" i="31"/>
  <c r="G32" i="31"/>
  <c r="G122" i="31"/>
  <c r="G49" i="31"/>
  <c r="R22" i="31"/>
  <c r="G91" i="31"/>
  <c r="G129" i="31"/>
  <c r="G48" i="31"/>
  <c r="G105" i="31"/>
  <c r="G55" i="31"/>
  <c r="G43" i="31"/>
  <c r="G38" i="31"/>
  <c r="G30" i="31"/>
  <c r="G31" i="31"/>
  <c r="G58" i="31"/>
  <c r="K5" i="31"/>
  <c r="K4" i="31"/>
  <c r="P24" i="31"/>
  <c r="Q24" i="31"/>
  <c r="P21" i="31"/>
  <c r="Q21" i="31"/>
  <c r="Q22" i="31"/>
  <c r="P22" i="31"/>
  <c r="Q20" i="31"/>
  <c r="P20" i="31"/>
  <c r="Q17" i="31"/>
  <c r="P17" i="31"/>
  <c r="P18" i="31"/>
  <c r="Q18" i="31"/>
  <c r="P23" i="31"/>
  <c r="Q23" i="31"/>
  <c r="N16" i="31"/>
  <c r="Q19" i="31"/>
  <c r="P19" i="31"/>
  <c r="Q25" i="31"/>
  <c r="P25" i="31"/>
  <c r="R16" i="31" l="1"/>
  <c r="K3" i="25"/>
  <c r="K6" i="31"/>
  <c r="B5" i="31" s="1"/>
  <c r="M7" i="31"/>
  <c r="G21" i="25"/>
  <c r="C57" i="25" l="1"/>
  <c r="B5" i="25"/>
  <c r="C53" i="25"/>
  <c r="G9" i="25"/>
  <c r="C49" i="25"/>
  <c r="E34" i="25"/>
  <c r="G25" i="25"/>
  <c r="E18" i="25"/>
  <c r="E31" i="25"/>
  <c r="E27" i="25"/>
  <c r="E23" i="25"/>
  <c r="E15" i="25"/>
  <c r="G27" i="25"/>
  <c r="G22" i="25"/>
  <c r="E28" i="25"/>
  <c r="G18" i="25"/>
  <c r="G34" i="25"/>
  <c r="G19" i="25"/>
  <c r="G28" i="25"/>
  <c r="G24" i="25"/>
  <c r="G23" i="25"/>
  <c r="G29" i="25"/>
  <c r="G14" i="25"/>
  <c r="E21" i="25"/>
  <c r="E17" i="25"/>
  <c r="E24" i="25"/>
  <c r="E20" i="25"/>
  <c r="E14" i="25"/>
  <c r="G17" i="25"/>
  <c r="E19" i="25"/>
  <c r="E30" i="25"/>
  <c r="E33" i="25"/>
  <c r="G30" i="25"/>
  <c r="G16" i="25"/>
  <c r="E29" i="25"/>
  <c r="G20" i="25"/>
  <c r="G26" i="25"/>
  <c r="E26" i="25"/>
  <c r="E22" i="25"/>
  <c r="E25" i="25"/>
  <c r="E16" i="25"/>
  <c r="G31" i="25"/>
  <c r="G32" i="25"/>
  <c r="E32" i="25"/>
  <c r="G15" i="25"/>
  <c r="G33" i="25"/>
  <c r="B4" i="31" l="1"/>
  <c r="B5" i="66"/>
  <c r="B5" i="28"/>
  <c r="C13" i="31" l="1"/>
  <c r="E13" i="31" l="1"/>
  <c r="G13" i="31" l="1"/>
  <c r="C22" i="31"/>
  <c r="E22" i="31" s="1"/>
  <c r="C18" i="31"/>
  <c r="E18" i="31" s="1"/>
  <c r="C21" i="31"/>
  <c r="E21" i="31" s="1"/>
  <c r="C20" i="31"/>
  <c r="E20" i="31" s="1"/>
  <c r="C14" i="31"/>
  <c r="C23" i="31"/>
  <c r="E23" i="31" s="1"/>
  <c r="C19" i="31"/>
  <c r="E19" i="31" s="1"/>
  <c r="C15" i="31"/>
  <c r="E15" i="31" s="1"/>
  <c r="C17" i="31"/>
  <c r="E17" i="31" s="1"/>
  <c r="C24" i="31"/>
  <c r="E24" i="31" s="1"/>
  <c r="C16" i="31"/>
  <c r="E16" i="31" s="1"/>
  <c r="C9" i="31"/>
  <c r="E13" i="25"/>
  <c r="G24" i="31" l="1"/>
  <c r="G23" i="31"/>
  <c r="G18" i="31"/>
  <c r="G17" i="31"/>
  <c r="G21" i="31"/>
  <c r="G16" i="31"/>
  <c r="G19" i="31"/>
  <c r="G22" i="31"/>
  <c r="G15" i="31"/>
  <c r="G20" i="31"/>
  <c r="E50" i="25"/>
  <c r="G9" i="31"/>
  <c r="G50" i="25" s="1"/>
  <c r="E14" i="31"/>
  <c r="M16" i="31"/>
  <c r="G13" i="25"/>
  <c r="E9" i="31"/>
  <c r="I75" i="25" l="1"/>
  <c r="P16" i="31"/>
  <c r="Q16" i="31"/>
  <c r="G14" i="31"/>
  <c r="D14" i="66" l="1"/>
  <c r="E14" i="66" l="1"/>
  <c r="G14" i="66" l="1"/>
  <c r="F14" i="66" l="1"/>
  <c r="H14" i="66" l="1"/>
  <c r="I14" i="66" l="1"/>
  <c r="J14" i="66" l="1"/>
  <c r="K14" i="66" l="1"/>
  <c r="L14" i="66" l="1"/>
  <c r="M14" i="66" l="1"/>
  <c r="N14" i="66"/>
  <c r="O14" i="66" l="1"/>
  <c r="D15" i="66" l="1"/>
  <c r="C14" i="66"/>
  <c r="E15" i="66" l="1"/>
  <c r="F15" i="66"/>
  <c r="H15" i="66" l="1"/>
  <c r="G15" i="66"/>
  <c r="J15" i="66" l="1"/>
  <c r="I15" i="66"/>
  <c r="K15" i="66" l="1"/>
  <c r="L15" i="66" l="1"/>
  <c r="M15" i="66" l="1"/>
  <c r="N15" i="66" l="1"/>
  <c r="O15" i="66" l="1"/>
  <c r="D16" i="66" l="1"/>
  <c r="C15" i="66"/>
  <c r="F16" i="66" l="1"/>
  <c r="E16" i="66"/>
  <c r="G16" i="66" l="1"/>
  <c r="H16" i="66" l="1"/>
  <c r="I16" i="66"/>
  <c r="K16" i="66" l="1"/>
  <c r="J16" i="66"/>
  <c r="L16" i="66" l="1"/>
  <c r="M16" i="66" l="1"/>
  <c r="N16" i="66" l="1"/>
  <c r="O16" i="66" l="1"/>
  <c r="C16" i="66"/>
  <c r="D17" i="66" l="1"/>
  <c r="F17" i="66" l="1"/>
  <c r="E17" i="66"/>
  <c r="G17" i="66" l="1"/>
  <c r="H17" i="66" l="1"/>
  <c r="I17" i="66" l="1"/>
  <c r="J17" i="66"/>
  <c r="K17" i="66" l="1"/>
  <c r="L17" i="66"/>
  <c r="N17" i="66" l="1"/>
  <c r="M17" i="66"/>
  <c r="O17" i="66" l="1"/>
  <c r="C17" i="66" l="1"/>
  <c r="D18" i="66"/>
  <c r="F18" i="66" l="1"/>
  <c r="E18" i="66"/>
  <c r="H18" i="66" l="1"/>
  <c r="G18" i="66"/>
  <c r="I18" i="66" l="1"/>
  <c r="J18" i="66" l="1"/>
  <c r="K18" i="66" l="1"/>
  <c r="L18" i="66"/>
  <c r="M18" i="66" l="1"/>
  <c r="N18" i="66" l="1"/>
  <c r="O18" i="66"/>
  <c r="C18" i="66" l="1"/>
  <c r="D19" i="66"/>
  <c r="F19" i="66"/>
  <c r="E19" i="66" l="1"/>
  <c r="G19" i="66"/>
  <c r="H19" i="66"/>
  <c r="I19" i="66" l="1"/>
  <c r="J19" i="66" l="1"/>
  <c r="L19" i="66"/>
  <c r="K19" i="66" l="1"/>
  <c r="M19" i="66" l="1"/>
  <c r="N19" i="66" l="1"/>
  <c r="O19" i="66" l="1"/>
  <c r="D20" i="66" l="1"/>
  <c r="C19" i="66"/>
  <c r="E20" i="66" l="1"/>
  <c r="G20" i="66"/>
  <c r="F20" i="66" l="1"/>
  <c r="H20" i="66" l="1"/>
  <c r="J20" i="66" l="1"/>
  <c r="I20" i="66"/>
  <c r="K20" i="66" l="1"/>
  <c r="L20" i="66"/>
  <c r="N20" i="66"/>
  <c r="M20" i="66" l="1"/>
  <c r="C20" i="66"/>
  <c r="O20" i="66" l="1"/>
  <c r="D21" i="66" l="1"/>
  <c r="F21" i="66"/>
  <c r="E21" i="66" l="1"/>
  <c r="G21" i="66"/>
  <c r="H21" i="66" l="1"/>
  <c r="I21" i="66" l="1"/>
  <c r="J21" i="66"/>
  <c r="L21" i="66" l="1"/>
  <c r="K21" i="66" l="1"/>
  <c r="M21" i="66"/>
  <c r="N21" i="66" l="1"/>
  <c r="C21" i="66"/>
  <c r="O21" i="66" l="1"/>
  <c r="D22" i="66" l="1"/>
  <c r="E22" i="66" l="1"/>
  <c r="F22" i="66"/>
  <c r="H22" i="66" l="1"/>
  <c r="G22" i="66"/>
  <c r="I22" i="66" l="1"/>
  <c r="J22" i="66"/>
  <c r="L22" i="66" l="1"/>
  <c r="K22" i="66"/>
  <c r="N22" i="66"/>
  <c r="M22" i="66" l="1"/>
  <c r="O22" i="66"/>
  <c r="C22" i="66" l="1"/>
  <c r="J13" i="66" l="1"/>
  <c r="K13" i="66"/>
  <c r="N13" i="66"/>
  <c r="L13" i="66"/>
  <c r="H13" i="66"/>
  <c r="O13" i="66"/>
  <c r="M13" i="66"/>
  <c r="G13" i="66"/>
  <c r="E13" i="66"/>
  <c r="I13" i="66"/>
  <c r="F13" i="66"/>
  <c r="D13" i="66" l="1"/>
  <c r="C13" i="66" l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<sst xmlns="http://schemas.openxmlformats.org/spreadsheetml/2006/main" count="1338" uniqueCount="231">
  <si>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</si>
  <si>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</si>
  <si>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</si>
  <si>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</si>
  <si>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</si>
  <si>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</si>
  <si>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</si>
  <si>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</si>
  <si>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</si>
  <si>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</si>
  <si>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</si>
  <si>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</si>
  <si>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</si>
  <si>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</si>
  <si>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</si>
  <si>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</si>
  <si>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</si>
  <si>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</si>
  <si>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</si>
  <si>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</si>
  <si>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</si>
  <si>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</si>
  <si>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</si>
  <si>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</si>
  <si>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</si>
  <si>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</si>
  <si>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</si>
  <si>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</si>
  <si>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</si>
  <si>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</si>
  <si>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</si>
  <si>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</si>
  <si>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</si>
  <si>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</si>
  <si>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</si>
  <si>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</si>
  <si>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</si>
  <si>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</si>
  <si>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</si>
  <si>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</si>
  <si>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</si>
  <si>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</si>
  <si>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</si>
  <si>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</si>
  <si>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</si>
  <si>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</si>
  <si>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</si>
  <si>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</si>
  <si>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</si>
  <si>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</si>
  <si>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</si>
  <si>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</si>
  <si>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</si>
  <si>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</si>
  <si>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</si>
  <si>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</si>
  <si>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</si>
  <si>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</si>
  <si>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</si>
  <si>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</si>
  <si>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</si>
  <si>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</si>
  <si>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</si>
  <si>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</si>
  <si>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</si>
  <si>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</si>
  <si>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</si>
  <si>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</si>
  <si>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</si>
  <si>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</si>
  <si>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</si>
  <si>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</si>
  <si>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</si>
  <si>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</si>
  <si>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</si>
  <si>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</si>
  <si>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</si>
  <si>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</si>
  <si>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</si>
  <si>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</si>
  <si>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</si>
  <si>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</si>
  <si>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</si>
  <si>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</si>
  <si>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</si>
  <si>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</si>
  <si>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</si>
  <si>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</si>
  <si>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</si>
  <si>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</si>
  <si>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</si>
  <si>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</si>
  <si>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</si>
  <si>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</si>
  <si>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</si>
  <si>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</si>
  <si>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</si>
  <si>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</si>
  <si>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</si>
  <si>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</si>
  <si>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</si>
  <si>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</si>
  <si>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</si>
  <si>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</si>
  <si>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</si>
  <si>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</si>
  <si>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</si>
  <si>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</si>
  <si>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</si>
  <si>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</si>
  <si>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</si>
  <si>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</si>
  <si>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</si>
  <si>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</si>
  <si>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</si>
  <si>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</si>
  <si>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</si>
  <si>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</si>
  <si>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</si>
  <si>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</si>
  <si>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</si>
  <si>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</si>
  <si>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</si>
  <si>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</si>
  <si>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</si>
  <si>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</si>
  <si>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</si>
  <si>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</si>
  <si>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</si>
  <si>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</si>
  <si>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</si>
  <si>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</si>
  <si>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</si>
  <si>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</si>
  <si>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</si>
  <si>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</si>
  <si>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</si>
  <si>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</si>
  <si>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</si>
  <si>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</si>
  <si>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</si>
  <si>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</si>
  <si>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</si>
  <si>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</si>
  <si>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</si>
  <si>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</si>
  <si>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</si>
  <si>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</si>
  <si>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</si>
  <si>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</si>
  <si>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</si>
  <si>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</si>
  <si>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</si>
  <si>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</si>
  <si>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</si>
  <si>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</si>
  <si>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</si>
  <si>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</si>
  <si>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</si>
  <si>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</si>
  <si>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</si>
  <si>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</si>
  <si>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</si>
  <si>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</si>
  <si>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</si>
  <si>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</si>
  <si>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</si>
  <si>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</si>
  <si>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</si>
  <si>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</si>
  <si>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</si>
  <si>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</si>
  <si>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</si>
  <si>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</si>
  <si>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</si>
  <si>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</si>
  <si>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</si>
  <si>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</si>
  <si>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</si>
  <si>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</si>
  <si>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</si>
  <si>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</si>
  <si>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</si>
  <si>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</si>
  <si>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</si>
  <si>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</si>
  <si>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</si>
  <si>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</si>
  <si>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</si>
  <si>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</si>
  <si>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</si>
  <si>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</si>
  <si>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</si>
  <si>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</si>
  <si>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</si>
  <si>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</si>
  <si>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</si>
  <si>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</si>
  <si>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</si>
  <si>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</si>
  <si>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</si>
  <si>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</si>
  <si>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</si>
  <si>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</si>
  <si>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</si>
  <si>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</si>
  <si>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</si>
  <si>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</si>
  <si>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</si>
  <si>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</si>
  <si>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</si>
  <si>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</si>
  <si>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</si>
  <si>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</si>
  <si>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</si>
  <si>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</si>
  <si>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</si>
  <si>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</si>
  <si>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</si>
  <si>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</si>
  <si>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</si>
  <si>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</si>
  <si>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</si>
  <si>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</si>
  <si>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</si>
  <si>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</si>
  <si>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</si>
  <si>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</si>
  <si>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</si>
  <si>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</si>
  <si>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Tesoro Non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</si>
</sst>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</cellStyleXfs>
  <cellXfs count="400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04%20-%20Tesoro%20-%20UT%20-%202022%20-%20Sep\Workpaper%20for%20filing\DR%20104%20-%20Tesoro%20-%201a%20-%20GRID%20AC%20Study%20CONF%20_2022%2009%2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oided Costs"/>
      <sheetName val="Delta"/>
      <sheetName val="NPC"/>
      <sheetName val="BASE"/>
    </sheetNames>
    <sheetDataSet>
      <sheetData sheetId="0"/>
      <sheetData sheetId="1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2023</v>
          </cell>
          <cell r="C7">
            <v>36.069508550016593</v>
          </cell>
          <cell r="D7">
            <v>22.113457652705897</v>
          </cell>
          <cell r="E7">
            <v>33.450422021808201</v>
          </cell>
          <cell r="F7">
            <v>29.08143787494873</v>
          </cell>
          <cell r="G7">
            <v>25.163704974061133</v>
          </cell>
          <cell r="H7">
            <v>21.949730153968069</v>
          </cell>
          <cell r="I7">
            <v>28.989828872963106</v>
          </cell>
          <cell r="J7">
            <v>58.785986209596203</v>
          </cell>
          <cell r="K7">
            <v>63.110257543339749</v>
          </cell>
          <cell r="L7">
            <v>48.799005254434995</v>
          </cell>
          <cell r="M7">
            <v>29.312358475911473</v>
          </cell>
          <cell r="N7">
            <v>30.229547355463303</v>
          </cell>
          <cell r="O7">
            <v>41.236972426244684</v>
          </cell>
        </row>
        <row r="8">
          <cell r="B8">
            <v>2024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2025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>
            <v>2026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2027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2028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2029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2030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2031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2032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</sheetData>
      <sheetData sheetId="2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2023-2032</v>
          </cell>
          <cell r="F3">
            <v>44927</v>
          </cell>
          <cell r="G3">
            <v>44958</v>
          </cell>
          <cell r="H3">
            <v>44986</v>
          </cell>
          <cell r="I3">
            <v>45017</v>
          </cell>
          <cell r="J3">
            <v>45047</v>
          </cell>
          <cell r="K3">
            <v>45078</v>
          </cell>
          <cell r="L3">
            <v>45108</v>
          </cell>
          <cell r="M3">
            <v>45139</v>
          </cell>
          <cell r="N3">
            <v>45170</v>
          </cell>
          <cell r="O3">
            <v>45200</v>
          </cell>
          <cell r="P3">
            <v>45231</v>
          </cell>
          <cell r="Q3">
            <v>45261</v>
          </cell>
          <cell r="R3">
            <v>2024</v>
          </cell>
          <cell r="S3">
            <v>45292</v>
          </cell>
          <cell r="T3">
            <v>45323</v>
          </cell>
          <cell r="U3">
            <v>45352</v>
          </cell>
          <cell r="V3">
            <v>45383</v>
          </cell>
          <cell r="W3">
            <v>45413</v>
          </cell>
          <cell r="X3">
            <v>45444</v>
          </cell>
          <cell r="Y3">
            <v>45474</v>
          </cell>
          <cell r="Z3">
            <v>45505</v>
          </cell>
          <cell r="AA3">
            <v>45536</v>
          </cell>
          <cell r="AB3">
            <v>45566</v>
          </cell>
          <cell r="AC3">
            <v>45597</v>
          </cell>
          <cell r="AD3">
            <v>45627</v>
          </cell>
          <cell r="AE3">
            <v>2025</v>
          </cell>
          <cell r="AF3">
            <v>45658</v>
          </cell>
          <cell r="AG3">
            <v>45689</v>
          </cell>
          <cell r="AH3">
            <v>45717</v>
          </cell>
          <cell r="AI3">
            <v>45748</v>
          </cell>
          <cell r="AJ3">
            <v>45778</v>
          </cell>
          <cell r="AK3">
            <v>45809</v>
          </cell>
          <cell r="AL3">
            <v>45839</v>
          </cell>
          <cell r="AM3">
            <v>45870</v>
          </cell>
          <cell r="AN3">
            <v>45901</v>
          </cell>
          <cell r="AO3">
            <v>45931</v>
          </cell>
          <cell r="AP3">
            <v>45962</v>
          </cell>
          <cell r="AQ3">
            <v>45992</v>
          </cell>
          <cell r="AR3">
            <v>2026</v>
          </cell>
          <cell r="AS3">
            <v>46023</v>
          </cell>
          <cell r="AT3">
            <v>46054</v>
          </cell>
          <cell r="AU3">
            <v>46082</v>
          </cell>
          <cell r="AV3">
            <v>46113</v>
          </cell>
          <cell r="AW3">
            <v>46143</v>
          </cell>
          <cell r="AX3">
            <v>46174</v>
          </cell>
          <cell r="AY3">
            <v>46204</v>
          </cell>
          <cell r="AZ3">
            <v>46235</v>
          </cell>
          <cell r="BA3">
            <v>46266</v>
          </cell>
          <cell r="BB3">
            <v>46296</v>
          </cell>
          <cell r="BC3">
            <v>46327</v>
          </cell>
          <cell r="BD3">
            <v>46357</v>
          </cell>
          <cell r="BE3">
            <v>2027</v>
          </cell>
          <cell r="BF3">
            <v>46388</v>
          </cell>
          <cell r="BG3">
            <v>46419</v>
          </cell>
          <cell r="BH3">
            <v>46447</v>
          </cell>
          <cell r="BI3">
            <v>46478</v>
          </cell>
          <cell r="BJ3">
            <v>46508</v>
          </cell>
          <cell r="BK3">
            <v>46539</v>
          </cell>
          <cell r="BL3">
            <v>46569</v>
          </cell>
          <cell r="BM3">
            <v>46600</v>
          </cell>
          <cell r="BN3">
            <v>46631</v>
          </cell>
          <cell r="BO3">
            <v>46661</v>
          </cell>
          <cell r="BP3">
            <v>46692</v>
          </cell>
          <cell r="BQ3">
            <v>46722</v>
          </cell>
          <cell r="BR3">
            <v>2028</v>
          </cell>
          <cell r="BS3">
            <v>46753</v>
          </cell>
          <cell r="BT3">
            <v>46784</v>
          </cell>
          <cell r="BU3">
            <v>46813</v>
          </cell>
          <cell r="BV3">
            <v>46844</v>
          </cell>
          <cell r="BW3">
            <v>46874</v>
          </cell>
          <cell r="BX3">
            <v>46905</v>
          </cell>
          <cell r="BY3">
            <v>46935</v>
          </cell>
          <cell r="BZ3">
            <v>46966</v>
          </cell>
          <cell r="CA3">
            <v>46997</v>
          </cell>
          <cell r="CB3">
            <v>47027</v>
          </cell>
          <cell r="CC3">
            <v>47058</v>
          </cell>
          <cell r="CD3">
            <v>47088</v>
          </cell>
          <cell r="CE3">
            <v>2029</v>
          </cell>
          <cell r="CF3">
            <v>47119</v>
          </cell>
          <cell r="CG3">
            <v>47150</v>
          </cell>
          <cell r="CH3">
            <v>47178</v>
          </cell>
          <cell r="CI3">
            <v>47209</v>
          </cell>
          <cell r="CJ3">
            <v>47239</v>
          </cell>
          <cell r="CK3">
            <v>47270</v>
          </cell>
          <cell r="CL3">
            <v>47300</v>
          </cell>
          <cell r="CM3">
            <v>47331</v>
          </cell>
          <cell r="CN3">
            <v>47362</v>
          </cell>
          <cell r="CO3">
            <v>47392</v>
          </cell>
          <cell r="CP3">
            <v>47423</v>
          </cell>
          <cell r="CQ3">
            <v>47453</v>
          </cell>
          <cell r="CR3">
            <v>2030</v>
          </cell>
          <cell r="CS3">
            <v>47484</v>
          </cell>
          <cell r="CT3">
            <v>47515</v>
          </cell>
          <cell r="CU3">
            <v>47543</v>
          </cell>
          <cell r="CV3">
            <v>47574</v>
          </cell>
          <cell r="CW3">
            <v>47604</v>
          </cell>
          <cell r="CX3">
            <v>47635</v>
          </cell>
          <cell r="CY3">
            <v>47665</v>
          </cell>
          <cell r="CZ3">
            <v>47696</v>
          </cell>
          <cell r="DA3">
            <v>47727</v>
          </cell>
          <cell r="DB3">
            <v>47757</v>
          </cell>
          <cell r="DC3">
            <v>47788</v>
          </cell>
          <cell r="DD3">
            <v>47818</v>
          </cell>
          <cell r="DE3">
            <v>2031</v>
          </cell>
          <cell r="DF3">
            <v>47849</v>
          </cell>
          <cell r="DG3">
            <v>47880</v>
          </cell>
          <cell r="DH3">
            <v>47908</v>
          </cell>
          <cell r="DI3">
            <v>47939</v>
          </cell>
          <cell r="DJ3">
            <v>47969</v>
          </cell>
          <cell r="DK3">
            <v>48000</v>
          </cell>
          <cell r="DL3">
            <v>48030</v>
          </cell>
          <cell r="DM3">
            <v>48061</v>
          </cell>
          <cell r="DN3">
            <v>48092</v>
          </cell>
          <cell r="DO3">
            <v>48122</v>
          </cell>
          <cell r="DP3">
            <v>48153</v>
          </cell>
          <cell r="DQ3">
            <v>48183</v>
          </cell>
          <cell r="DR3">
            <v>2032</v>
          </cell>
          <cell r="DS3">
            <v>48214</v>
          </cell>
          <cell r="DT3">
            <v>48245</v>
          </cell>
          <cell r="DU3">
            <v>48274</v>
          </cell>
          <cell r="DV3">
            <v>48305</v>
          </cell>
          <cell r="DW3">
            <v>48335</v>
          </cell>
          <cell r="DX3">
            <v>48366</v>
          </cell>
          <cell r="DY3">
            <v>48396</v>
          </cell>
          <cell r="DZ3">
            <v>48427</v>
          </cell>
          <cell r="EA3">
            <v>48458</v>
          </cell>
          <cell r="EB3">
            <v>48488</v>
          </cell>
          <cell r="EC3">
            <v>48519</v>
          </cell>
          <cell r="ED3">
            <v>48549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0</v>
          </cell>
          <cell r="H32">
            <v>518</v>
          </cell>
          <cell r="I32">
            <v>0</v>
          </cell>
          <cell r="J32">
            <v>0</v>
          </cell>
          <cell r="K32">
            <v>0</v>
          </cell>
          <cell r="L32">
            <v>474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23080</v>
          </cell>
          <cell r="G33">
            <v>48430.5</v>
          </cell>
          <cell r="H33">
            <v>32092</v>
          </cell>
          <cell r="I33">
            <v>11162</v>
          </cell>
          <cell r="J33">
            <v>5475</v>
          </cell>
          <cell r="K33">
            <v>0</v>
          </cell>
          <cell r="L33">
            <v>7102</v>
          </cell>
          <cell r="M33">
            <v>1981</v>
          </cell>
          <cell r="N33">
            <v>2579</v>
          </cell>
          <cell r="O33">
            <v>3760</v>
          </cell>
          <cell r="P33">
            <v>101855</v>
          </cell>
          <cell r="Q33">
            <v>110345.5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0</v>
          </cell>
          <cell r="G34">
            <v>8332</v>
          </cell>
          <cell r="H34">
            <v>38554</v>
          </cell>
          <cell r="I34">
            <v>67674.5</v>
          </cell>
          <cell r="J34">
            <v>56596.5</v>
          </cell>
          <cell r="K34">
            <v>65661.5</v>
          </cell>
          <cell r="L34">
            <v>514628</v>
          </cell>
          <cell r="M34">
            <v>148630</v>
          </cell>
          <cell r="N34">
            <v>144674</v>
          </cell>
          <cell r="O34">
            <v>45744</v>
          </cell>
          <cell r="P34">
            <v>2684</v>
          </cell>
          <cell r="Q34">
            <v>4644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19104</v>
          </cell>
          <cell r="G35">
            <v>53211.199999999255</v>
          </cell>
          <cell r="H35">
            <v>12758.099999999627</v>
          </cell>
          <cell r="I35">
            <v>2710.8000000002794</v>
          </cell>
          <cell r="J35">
            <v>3219.6999999997206</v>
          </cell>
          <cell r="K35">
            <v>0</v>
          </cell>
          <cell r="L35">
            <v>0</v>
          </cell>
          <cell r="M35">
            <v>0</v>
          </cell>
          <cell r="N35">
            <v>8158</v>
          </cell>
          <cell r="O35">
            <v>6325</v>
          </cell>
          <cell r="P35">
            <v>28772.39999999851</v>
          </cell>
          <cell r="Q35">
            <v>67164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486</v>
          </cell>
          <cell r="G36">
            <v>7036</v>
          </cell>
          <cell r="H36">
            <v>15105.400000000373</v>
          </cell>
          <cell r="I36">
            <v>4768.5</v>
          </cell>
          <cell r="J36">
            <v>5488</v>
          </cell>
          <cell r="K36">
            <v>0</v>
          </cell>
          <cell r="L36">
            <v>10742</v>
          </cell>
          <cell r="M36">
            <v>4077</v>
          </cell>
          <cell r="N36">
            <v>0</v>
          </cell>
          <cell r="O36">
            <v>0</v>
          </cell>
          <cell r="P36">
            <v>7614</v>
          </cell>
          <cell r="Q36">
            <v>18263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0</v>
          </cell>
          <cell r="H38">
            <v>-59.010379999992438</v>
          </cell>
          <cell r="I38">
            <v>0</v>
          </cell>
          <cell r="J38">
            <v>0</v>
          </cell>
          <cell r="K38">
            <v>0</v>
          </cell>
          <cell r="L38">
            <v>-13.788500000024214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42670</v>
          </cell>
          <cell r="G41">
            <v>117009.70000000298</v>
          </cell>
          <cell r="H41">
            <v>98968.489619996399</v>
          </cell>
          <cell r="I41">
            <v>86315.800000000745</v>
          </cell>
          <cell r="J41">
            <v>70779.20000000298</v>
          </cell>
          <cell r="K41">
            <v>65661.5</v>
          </cell>
          <cell r="L41">
            <v>532932.21150000393</v>
          </cell>
          <cell r="M41">
            <v>154688</v>
          </cell>
          <cell r="N41">
            <v>155411</v>
          </cell>
          <cell r="O41">
            <v>55829</v>
          </cell>
          <cell r="P41">
            <v>140925.40000000596</v>
          </cell>
          <cell r="Q41">
            <v>200416.5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42670</v>
          </cell>
          <cell r="G43">
            <v>117009.70000000298</v>
          </cell>
          <cell r="H43">
            <v>98968.489619996399</v>
          </cell>
          <cell r="I43">
            <v>86315.800000000745</v>
          </cell>
          <cell r="J43">
            <v>70779.20000000298</v>
          </cell>
          <cell r="K43">
            <v>65661.5</v>
          </cell>
          <cell r="L43">
            <v>532932.21150000393</v>
          </cell>
          <cell r="M43">
            <v>154688</v>
          </cell>
          <cell r="N43">
            <v>155411</v>
          </cell>
          <cell r="O43">
            <v>55829</v>
          </cell>
          <cell r="P43">
            <v>140925.40000000596</v>
          </cell>
          <cell r="Q43">
            <v>200416.5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550.3589792996645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550.3589792996645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</row>
        <row r="212">
          <cell r="F212">
            <v>0</v>
          </cell>
          <cell r="G212">
            <v>0</v>
          </cell>
          <cell r="H212">
            <v>-4742.960000000021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-34610.5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</row>
        <row r="213">
          <cell r="F213">
            <v>-27315.039999999994</v>
          </cell>
          <cell r="G213">
            <v>-36196.560000000056</v>
          </cell>
          <cell r="H213">
            <v>-45362.5</v>
          </cell>
          <cell r="I213">
            <v>-8612.8100000000559</v>
          </cell>
          <cell r="J213">
            <v>-6751.0299999999988</v>
          </cell>
          <cell r="K213">
            <v>0</v>
          </cell>
          <cell r="L213">
            <v>-8344.859999999986</v>
          </cell>
          <cell r="M213">
            <v>-5861.2903000000006</v>
          </cell>
          <cell r="N213">
            <v>-5971.976999999999</v>
          </cell>
          <cell r="O213">
            <v>-4081.3600000000006</v>
          </cell>
          <cell r="P213">
            <v>-46349.75</v>
          </cell>
          <cell r="Q213">
            <v>-55593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</row>
        <row r="214">
          <cell r="F214">
            <v>0</v>
          </cell>
          <cell r="G214">
            <v>-9569.1999999999534</v>
          </cell>
          <cell r="H214">
            <v>-96991.599999999627</v>
          </cell>
          <cell r="I214">
            <v>-103554.29999999981</v>
          </cell>
          <cell r="J214">
            <v>-56499</v>
          </cell>
          <cell r="K214">
            <v>-137655.20000000019</v>
          </cell>
          <cell r="L214">
            <v>-123269.5</v>
          </cell>
          <cell r="M214">
            <v>-521179</v>
          </cell>
          <cell r="N214">
            <v>-327659</v>
          </cell>
          <cell r="O214">
            <v>-150034.29999999981</v>
          </cell>
          <cell r="P214">
            <v>0</v>
          </cell>
          <cell r="Q214">
            <v>-76506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</row>
        <row r="215">
          <cell r="F215">
            <v>8061.4630000000034</v>
          </cell>
          <cell r="G215">
            <v>-77188.600000000093</v>
          </cell>
          <cell r="H215">
            <v>-1340.2399999999907</v>
          </cell>
          <cell r="I215">
            <v>-791.31999999999243</v>
          </cell>
          <cell r="J215">
            <v>-2125.8760000000038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-17631.460000000021</v>
          </cell>
          <cell r="P215">
            <v>-24369.24000000002</v>
          </cell>
          <cell r="Q215">
            <v>-105449.59999999986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0</v>
          </cell>
          <cell r="G216">
            <v>0</v>
          </cell>
          <cell r="H216">
            <v>-502.09400000000096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</row>
        <row r="221">
          <cell r="F221">
            <v>-19253.576999999583</v>
          </cell>
          <cell r="G221">
            <v>-122954.36000000127</v>
          </cell>
          <cell r="H221">
            <v>-148939.39399999939</v>
          </cell>
          <cell r="I221">
            <v>-112958.43000000063</v>
          </cell>
          <cell r="J221">
            <v>-65375.905999999959</v>
          </cell>
          <cell r="K221">
            <v>-137655.20000000019</v>
          </cell>
          <cell r="L221">
            <v>-131614.36000000034</v>
          </cell>
          <cell r="M221">
            <v>-561650.79030000046</v>
          </cell>
          <cell r="N221">
            <v>-333630.97699999996</v>
          </cell>
          <cell r="O221">
            <v>-171747.12000000011</v>
          </cell>
          <cell r="P221">
            <v>-70718.990000000224</v>
          </cell>
          <cell r="Q221">
            <v>-237548.59999999963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3">
          <cell r="A223" t="str">
            <v>Total Purchased Power &amp; Net Interchange</v>
          </cell>
          <cell r="F223">
            <v>-19253.576999999583</v>
          </cell>
          <cell r="G223">
            <v>-122954.3599999994</v>
          </cell>
          <cell r="H223">
            <v>-148939.3939999938</v>
          </cell>
          <cell r="I223">
            <v>-112408.07102070749</v>
          </cell>
          <cell r="J223">
            <v>-65375.905999995768</v>
          </cell>
          <cell r="K223">
            <v>-137655.20000000298</v>
          </cell>
          <cell r="L223">
            <v>-131614.3599999994</v>
          </cell>
          <cell r="M223">
            <v>-561650.79029999673</v>
          </cell>
          <cell r="N223">
            <v>-333630.97700000554</v>
          </cell>
          <cell r="O223">
            <v>-171747.12000000477</v>
          </cell>
          <cell r="P223">
            <v>-70718.990000002086</v>
          </cell>
          <cell r="Q223">
            <v>-237548.60000000149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CE224" t="e">
            <v>#DIV/0!</v>
          </cell>
          <cell r="CF224" t="e">
            <v>#DIV/0!</v>
          </cell>
          <cell r="CG224" t="e">
            <v>#DIV/0!</v>
          </cell>
          <cell r="CH224" t="e">
            <v>#DIV/0!</v>
          </cell>
          <cell r="CI224" t="e">
            <v>#DIV/0!</v>
          </cell>
          <cell r="CJ224" t="e">
            <v>#DIV/0!</v>
          </cell>
          <cell r="CK224" t="e">
            <v>#DIV/0!</v>
          </cell>
          <cell r="CL224" t="e">
            <v>#DIV/0!</v>
          </cell>
          <cell r="CM224" t="e">
            <v>#DIV/0!</v>
          </cell>
          <cell r="CN224" t="e">
            <v>#DIV/0!</v>
          </cell>
        </row>
        <row r="225">
          <cell r="A225" t="str">
            <v>Wheeling &amp; U. of F. Expense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 t="e">
            <v>#N/A</v>
          </cell>
          <cell r="AA227" t="e">
            <v>#N/A</v>
          </cell>
          <cell r="AB227" t="e">
            <v>#N/A</v>
          </cell>
          <cell r="AC227" t="e">
            <v>#N/A</v>
          </cell>
          <cell r="AD227" t="e">
            <v>#N/A</v>
          </cell>
          <cell r="AE227" t="e">
            <v>#N/A</v>
          </cell>
          <cell r="AF227" t="e">
            <v>#N/A</v>
          </cell>
          <cell r="AG227" t="e">
            <v>#N/A</v>
          </cell>
          <cell r="AH227" t="e">
            <v>#N/A</v>
          </cell>
          <cell r="AI227" t="e">
            <v>#N/A</v>
          </cell>
          <cell r="AJ227" t="e">
            <v>#N/A</v>
          </cell>
          <cell r="AK227" t="e">
            <v>#N/A</v>
          </cell>
          <cell r="AL227" t="e">
            <v>#N/A</v>
          </cell>
          <cell r="AM227" t="e">
            <v>#N/A</v>
          </cell>
          <cell r="AN227" t="e">
            <v>#N/A</v>
          </cell>
          <cell r="AO227" t="e">
            <v>#N/A</v>
          </cell>
          <cell r="AP227" t="e">
            <v>#N/A</v>
          </cell>
          <cell r="AQ227" t="e">
            <v>#N/A</v>
          </cell>
          <cell r="AR227" t="e">
            <v>#N/A</v>
          </cell>
          <cell r="AS227" t="e">
            <v>#N/A</v>
          </cell>
          <cell r="AT227" t="e">
            <v>#N/A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  <cell r="BN227" t="e">
            <v>#N/A</v>
          </cell>
          <cell r="BO227" t="e">
            <v>#N/A</v>
          </cell>
          <cell r="BP227" t="e">
            <v>#N/A</v>
          </cell>
          <cell r="BQ227" t="e">
            <v>#N/A</v>
          </cell>
          <cell r="BR227" t="e">
            <v>#N/A</v>
          </cell>
          <cell r="BS227" t="e">
            <v>#N/A</v>
          </cell>
          <cell r="BT227" t="e">
            <v>#N/A</v>
          </cell>
          <cell r="BU227" t="e">
            <v>#N/A</v>
          </cell>
          <cell r="BV227" t="e">
            <v>#N/A</v>
          </cell>
          <cell r="BW227" t="e">
            <v>#N/A</v>
          </cell>
          <cell r="BX227" t="e">
            <v>#N/A</v>
          </cell>
          <cell r="BY227" t="e">
            <v>#N/A</v>
          </cell>
          <cell r="BZ227" t="e">
            <v>#N/A</v>
          </cell>
          <cell r="CA227" t="e">
            <v>#N/A</v>
          </cell>
          <cell r="CB227" t="e">
            <v>#N/A</v>
          </cell>
          <cell r="CC227" t="e">
            <v>#N/A</v>
          </cell>
          <cell r="CD227" t="e">
            <v>#N/A</v>
          </cell>
          <cell r="CE227" t="e">
            <v>#N/A</v>
          </cell>
          <cell r="CF227" t="e">
            <v>#N/A</v>
          </cell>
          <cell r="CG227" t="e">
            <v>#N/A</v>
          </cell>
          <cell r="CH227" t="e">
            <v>#N/A</v>
          </cell>
          <cell r="CI227" t="e">
            <v>#N/A</v>
          </cell>
          <cell r="CJ227" t="e">
            <v>#N/A</v>
          </cell>
          <cell r="CK227" t="e">
            <v>#N/A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R227" t="e">
            <v>#N/A</v>
          </cell>
          <cell r="CS227" t="e">
            <v>#N/A</v>
          </cell>
          <cell r="CT227" t="e">
            <v>#N/A</v>
          </cell>
          <cell r="CU227" t="e">
            <v>#N/A</v>
          </cell>
          <cell r="CV227" t="e">
            <v>#N/A</v>
          </cell>
          <cell r="CW227" t="e">
            <v>#N/A</v>
          </cell>
          <cell r="CX227" t="e">
            <v>#N/A</v>
          </cell>
          <cell r="CY227" t="e">
            <v>#N/A</v>
          </cell>
          <cell r="CZ227" t="e">
            <v>#N/A</v>
          </cell>
          <cell r="DA227" t="e">
            <v>#N/A</v>
          </cell>
          <cell r="DB227" t="e">
            <v>#N/A</v>
          </cell>
          <cell r="DC227" t="e">
            <v>#N/A</v>
          </cell>
          <cell r="DD227" t="e">
            <v>#N/A</v>
          </cell>
          <cell r="DE227" t="e">
            <v>#N/A</v>
          </cell>
          <cell r="DF227" t="e">
            <v>#N/A</v>
          </cell>
          <cell r="DG227" t="e">
            <v>#N/A</v>
          </cell>
          <cell r="DH227" t="e">
            <v>#N/A</v>
          </cell>
          <cell r="DI227" t="e">
            <v>#N/A</v>
          </cell>
          <cell r="DJ227" t="e">
            <v>#N/A</v>
          </cell>
          <cell r="DK227" t="e">
            <v>#N/A</v>
          </cell>
          <cell r="DL227" t="e">
            <v>#N/A</v>
          </cell>
          <cell r="DM227" t="e">
            <v>#N/A</v>
          </cell>
          <cell r="DN227" t="e">
            <v>#N/A</v>
          </cell>
          <cell r="DO227" t="e">
            <v>#N/A</v>
          </cell>
          <cell r="DP227" t="e">
            <v>#N/A</v>
          </cell>
          <cell r="DQ227" t="e">
            <v>#N/A</v>
          </cell>
          <cell r="DR227" t="e">
            <v>#N/A</v>
          </cell>
          <cell r="DS227" t="e">
            <v>#N/A</v>
          </cell>
          <cell r="DT227" t="e">
            <v>#N/A</v>
          </cell>
          <cell r="DU227" t="e">
            <v>#N/A</v>
          </cell>
          <cell r="DV227" t="e">
            <v>#N/A</v>
          </cell>
          <cell r="DW227" t="e">
            <v>#N/A</v>
          </cell>
          <cell r="DX227" t="e">
            <v>#N/A</v>
          </cell>
          <cell r="DY227" t="e">
            <v>#N/A</v>
          </cell>
          <cell r="DZ227" t="e">
            <v>#N/A</v>
          </cell>
          <cell r="EA227" t="e">
            <v>#N/A</v>
          </cell>
          <cell r="EB227" t="e">
            <v>#N/A</v>
          </cell>
          <cell r="EC227" t="e">
            <v>#N/A</v>
          </cell>
          <cell r="ED227" t="e">
            <v>#N/A</v>
          </cell>
        </row>
        <row r="228">
          <cell r="F228">
            <v>-57.131800000090152</v>
          </cell>
          <cell r="G228">
            <v>446.85469999996712</v>
          </cell>
          <cell r="H228">
            <v>532.96980000002077</v>
          </cell>
          <cell r="I228">
            <v>218.89100999996299</v>
          </cell>
          <cell r="J228">
            <v>279.80984099998022</v>
          </cell>
          <cell r="K228">
            <v>15.20519999996759</v>
          </cell>
          <cell r="L228">
            <v>-431.99966999993194</v>
          </cell>
          <cell r="M228">
            <v>6.6835000001592562</v>
          </cell>
          <cell r="N228">
            <v>-60.002099999925122</v>
          </cell>
          <cell r="O228">
            <v>-81.445399999967776</v>
          </cell>
          <cell r="P228">
            <v>369.92399999999907</v>
          </cell>
          <cell r="Q228">
            <v>304.61119999998482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</row>
        <row r="230">
          <cell r="A230" t="str">
            <v>Total Wheeling &amp; U. of F. Expense</v>
          </cell>
          <cell r="F230">
            <v>-57.131799999624491</v>
          </cell>
          <cell r="G230">
            <v>446.85469999909401</v>
          </cell>
          <cell r="H230">
            <v>532.9698000010103</v>
          </cell>
          <cell r="I230">
            <v>218.89101000130177</v>
          </cell>
          <cell r="J230">
            <v>279.80984100140631</v>
          </cell>
          <cell r="K230">
            <v>15.205199999734759</v>
          </cell>
          <cell r="L230">
            <v>-431.99967000074685</v>
          </cell>
          <cell r="M230">
            <v>6.6834999993443489</v>
          </cell>
          <cell r="N230">
            <v>-60.002100000157952</v>
          </cell>
          <cell r="O230">
            <v>-81.44539999961853</v>
          </cell>
          <cell r="P230">
            <v>369.92400000058115</v>
          </cell>
          <cell r="Q230">
            <v>304.61119999922812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  <cell r="BN230" t="e">
            <v>#N/A</v>
          </cell>
          <cell r="BO230" t="e">
            <v>#N/A</v>
          </cell>
          <cell r="BP230" t="e">
            <v>#N/A</v>
          </cell>
          <cell r="BQ230" t="e">
            <v>#N/A</v>
          </cell>
          <cell r="BR230" t="e">
            <v>#N/A</v>
          </cell>
          <cell r="BS230" t="e">
            <v>#N/A</v>
          </cell>
          <cell r="BT230" t="e">
            <v>#N/A</v>
          </cell>
          <cell r="BU230" t="e">
            <v>#N/A</v>
          </cell>
          <cell r="BV230" t="e">
            <v>#N/A</v>
          </cell>
          <cell r="BW230" t="e">
            <v>#N/A</v>
          </cell>
          <cell r="BX230" t="e">
            <v>#N/A</v>
          </cell>
          <cell r="BY230" t="e">
            <v>#N/A</v>
          </cell>
          <cell r="BZ230" t="e">
            <v>#N/A</v>
          </cell>
          <cell r="CA230" t="e">
            <v>#N/A</v>
          </cell>
          <cell r="CB230" t="e">
            <v>#N/A</v>
          </cell>
          <cell r="CC230" t="e">
            <v>#N/A</v>
          </cell>
          <cell r="CD230" t="e">
            <v>#N/A</v>
          </cell>
          <cell r="CE230" t="e">
            <v>#N/A</v>
          </cell>
          <cell r="CF230" t="e">
            <v>#N/A</v>
          </cell>
          <cell r="CG230" t="e">
            <v>#N/A</v>
          </cell>
          <cell r="CH230" t="e">
            <v>#N/A</v>
          </cell>
          <cell r="CI230" t="e">
            <v>#N/A</v>
          </cell>
          <cell r="CJ230" t="e">
            <v>#N/A</v>
          </cell>
          <cell r="CK230" t="e">
            <v>#N/A</v>
          </cell>
          <cell r="CL230" t="e">
            <v>#N/A</v>
          </cell>
          <cell r="CM230" t="e">
            <v>#N/A</v>
          </cell>
          <cell r="CN230" t="e">
            <v>#N/A</v>
          </cell>
          <cell r="CO230" t="e">
            <v>#N/A</v>
          </cell>
          <cell r="CP230" t="e">
            <v>#N/A</v>
          </cell>
          <cell r="CQ230" t="e">
            <v>#N/A</v>
          </cell>
          <cell r="CR230" t="e">
            <v>#N/A</v>
          </cell>
          <cell r="CS230" t="e">
            <v>#N/A</v>
          </cell>
          <cell r="CT230" t="e">
            <v>#N/A</v>
          </cell>
          <cell r="CU230" t="e">
            <v>#N/A</v>
          </cell>
          <cell r="CV230" t="e">
            <v>#N/A</v>
          </cell>
          <cell r="CW230" t="e">
            <v>#N/A</v>
          </cell>
          <cell r="CX230" t="e">
            <v>#N/A</v>
          </cell>
          <cell r="CY230" t="e">
            <v>#N/A</v>
          </cell>
          <cell r="CZ230" t="e">
            <v>#N/A</v>
          </cell>
          <cell r="DA230" t="e">
            <v>#N/A</v>
          </cell>
          <cell r="DB230" t="e">
            <v>#N/A</v>
          </cell>
          <cell r="DC230" t="e">
            <v>#N/A</v>
          </cell>
          <cell r="DD230" t="e">
            <v>#N/A</v>
          </cell>
          <cell r="DE230" t="e">
            <v>#N/A</v>
          </cell>
          <cell r="DF230" t="e">
            <v>#N/A</v>
          </cell>
          <cell r="DG230" t="e">
            <v>#N/A</v>
          </cell>
          <cell r="DH230" t="e">
            <v>#N/A</v>
          </cell>
          <cell r="DI230" t="e">
            <v>#N/A</v>
          </cell>
          <cell r="DJ230" t="e">
            <v>#N/A</v>
          </cell>
          <cell r="DK230" t="e">
            <v>#N/A</v>
          </cell>
          <cell r="DL230" t="e">
            <v>#N/A</v>
          </cell>
          <cell r="DM230" t="e">
            <v>#N/A</v>
          </cell>
          <cell r="DN230" t="e">
            <v>#N/A</v>
          </cell>
          <cell r="DO230" t="e">
            <v>#N/A</v>
          </cell>
          <cell r="DP230" t="e">
            <v>#N/A</v>
          </cell>
          <cell r="DQ230" t="e">
            <v>#N/A</v>
          </cell>
          <cell r="DR230" t="e">
            <v>#N/A</v>
          </cell>
          <cell r="DS230" t="e">
            <v>#N/A</v>
          </cell>
          <cell r="DT230" t="e">
            <v>#N/A</v>
          </cell>
          <cell r="DU230" t="e">
            <v>#N/A</v>
          </cell>
          <cell r="DV230" t="e">
            <v>#N/A</v>
          </cell>
          <cell r="DW230" t="e">
            <v>#N/A</v>
          </cell>
          <cell r="DX230" t="e">
            <v>#N/A</v>
          </cell>
          <cell r="DY230" t="e">
            <v>#N/A</v>
          </cell>
          <cell r="DZ230" t="e">
            <v>#N/A</v>
          </cell>
          <cell r="EA230" t="e">
            <v>#N/A</v>
          </cell>
          <cell r="EB230" t="e">
            <v>#N/A</v>
          </cell>
          <cell r="EC230" t="e">
            <v>#N/A</v>
          </cell>
          <cell r="ED230" t="e">
            <v>#N/A</v>
          </cell>
          <cell r="EE230">
            <v>0</v>
          </cell>
        </row>
        <row r="232">
          <cell r="A232" t="str">
            <v>Coal Fuel Burn Expense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-245.89619279908948</v>
          </cell>
          <cell r="H234">
            <v>-270.69491181778722</v>
          </cell>
          <cell r="I234">
            <v>-503.96862038667314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</row>
        <row r="236">
          <cell r="F236">
            <v>0</v>
          </cell>
          <cell r="G236">
            <v>0</v>
          </cell>
          <cell r="H236">
            <v>-671.38077416317537</v>
          </cell>
          <cell r="I236">
            <v>-460.61575878132135</v>
          </cell>
          <cell r="J236">
            <v>-2289.5466980524361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7">
          <cell r="F237">
            <v>-6013.3797795688733</v>
          </cell>
          <cell r="G237">
            <v>-4553.3718276557047</v>
          </cell>
          <cell r="H237">
            <v>-2087.604202645598</v>
          </cell>
          <cell r="I237">
            <v>-1167.745670542703</v>
          </cell>
          <cell r="J237">
            <v>-1684.4329014471732</v>
          </cell>
          <cell r="K237">
            <v>-3076.4074265332893</v>
          </cell>
          <cell r="L237">
            <v>-3529.5944853990804</v>
          </cell>
          <cell r="M237">
            <v>-6081.8746063746512</v>
          </cell>
          <cell r="N237">
            <v>-3630.5488006909145</v>
          </cell>
          <cell r="O237">
            <v>-5500.6352114804322</v>
          </cell>
          <cell r="P237">
            <v>-6439.0212597195059</v>
          </cell>
          <cell r="Q237">
            <v>-5705.256873938255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</row>
        <row r="238">
          <cell r="F238">
            <v>-59385.490782830864</v>
          </cell>
          <cell r="G238">
            <v>-33050.299879137427</v>
          </cell>
          <cell r="H238">
            <v>-31041.979386480525</v>
          </cell>
          <cell r="I238">
            <v>-34602.826373460703</v>
          </cell>
          <cell r="J238">
            <v>-62256.713772330433</v>
          </cell>
          <cell r="K238">
            <v>-32984.862379377708</v>
          </cell>
          <cell r="L238">
            <v>-16377.348440106958</v>
          </cell>
          <cell r="M238">
            <v>-20346.350925594568</v>
          </cell>
          <cell r="N238">
            <v>-29514.057392068207</v>
          </cell>
          <cell r="O238">
            <v>-77183.443717742339</v>
          </cell>
          <cell r="P238">
            <v>-50648.799314780161</v>
          </cell>
          <cell r="Q238">
            <v>-29779.99539109692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</row>
        <row r="239">
          <cell r="F239">
            <v>-144272.01691825874</v>
          </cell>
          <cell r="G239">
            <v>-98265.527808101848</v>
          </cell>
          <cell r="H239">
            <v>-82276.792639328167</v>
          </cell>
          <cell r="I239">
            <v>-70269.29986277502</v>
          </cell>
          <cell r="J239">
            <v>-88937.755026319996</v>
          </cell>
          <cell r="K239">
            <v>-67804.348667588085</v>
          </cell>
          <cell r="L239">
            <v>-76527.326250556856</v>
          </cell>
          <cell r="M239">
            <v>-65190.937072692439</v>
          </cell>
          <cell r="N239">
            <v>-76338.767850922421</v>
          </cell>
          <cell r="O239">
            <v>-71182.360660992563</v>
          </cell>
          <cell r="P239">
            <v>-84274.651035427116</v>
          </cell>
          <cell r="Q239">
            <v>-76273.828651050106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</row>
        <row r="240">
          <cell r="F240">
            <v>-4337.891928974539</v>
          </cell>
          <cell r="G240">
            <v>-5078.8919168412685</v>
          </cell>
          <cell r="H240">
            <v>-20957.819656841457</v>
          </cell>
          <cell r="I240">
            <v>-15758.027741983533</v>
          </cell>
          <cell r="J240">
            <v>-7702.6558738779277</v>
          </cell>
          <cell r="K240">
            <v>-8790.7558560669422</v>
          </cell>
          <cell r="L240">
            <v>-3286.295946188271</v>
          </cell>
          <cell r="M240">
            <v>-624.31198978051543</v>
          </cell>
          <cell r="N240">
            <v>-7305.6358803808689</v>
          </cell>
          <cell r="O240">
            <v>-13844.687773313373</v>
          </cell>
          <cell r="P240">
            <v>-7027.1758849434555</v>
          </cell>
          <cell r="Q240">
            <v>-562.84799078851938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-42494.997579651419</v>
          </cell>
          <cell r="G241">
            <v>-40959.193846892565</v>
          </cell>
          <cell r="H241">
            <v>-33585.388671657536</v>
          </cell>
          <cell r="I241">
            <v>-27634.640539712738</v>
          </cell>
          <cell r="J241">
            <v>-19405.939408508129</v>
          </cell>
          <cell r="K241">
            <v>-50413.334702319466</v>
          </cell>
          <cell r="L241">
            <v>-35755.926221424248</v>
          </cell>
          <cell r="M241">
            <v>-53926.395945756696</v>
          </cell>
          <cell r="N241">
            <v>-51170.303008751012</v>
          </cell>
          <cell r="O241">
            <v>-29564.075020616408</v>
          </cell>
          <cell r="P241">
            <v>-41641.18594367709</v>
          </cell>
          <cell r="Q241">
            <v>-52596.748552026693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-799.99216479645111</v>
          </cell>
          <cell r="J242">
            <v>-1112.596594737377</v>
          </cell>
          <cell r="K242">
            <v>-230.75127446930856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</row>
        <row r="244">
          <cell r="A244" t="str">
            <v>Total Coal Fuel Burn Expense</v>
          </cell>
          <cell r="F244">
            <v>-256503.77698928118</v>
          </cell>
          <cell r="G244">
            <v>-182153.18147142231</v>
          </cell>
          <cell r="H244">
            <v>-170891.66024293005</v>
          </cell>
          <cell r="I244">
            <v>-151197.11673243344</v>
          </cell>
          <cell r="J244">
            <v>-183389.6402752623</v>
          </cell>
          <cell r="K244">
            <v>-163300.46030635387</v>
          </cell>
          <cell r="L244">
            <v>-135476.49134366959</v>
          </cell>
          <cell r="M244">
            <v>-146169.87054020911</v>
          </cell>
          <cell r="N244">
            <v>-167959.31293281913</v>
          </cell>
          <cell r="O244">
            <v>-197275.20238415152</v>
          </cell>
          <cell r="P244">
            <v>-190030.83343854547</v>
          </cell>
          <cell r="Q244">
            <v>-164918.67745889723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</row>
        <row r="246">
          <cell r="A246" t="str">
            <v>Gas Fuel Burn Expense</v>
          </cell>
        </row>
        <row r="247">
          <cell r="F247">
            <v>0.53370852023363113</v>
          </cell>
          <cell r="G247">
            <v>-1410.2140192873776</v>
          </cell>
          <cell r="H247">
            <v>-10093.727141367272</v>
          </cell>
          <cell r="I247">
            <v>-6333.3319536843337</v>
          </cell>
          <cell r="J247">
            <v>-8744.6546526178718</v>
          </cell>
          <cell r="K247">
            <v>-17348.481122571044</v>
          </cell>
          <cell r="L247">
            <v>-13642.29501617793</v>
          </cell>
          <cell r="M247">
            <v>-7011.7556214425713</v>
          </cell>
          <cell r="N247">
            <v>-12356.892107904889</v>
          </cell>
          <cell r="O247">
            <v>-5250.9844683110714</v>
          </cell>
          <cell r="P247">
            <v>-13734.696775063872</v>
          </cell>
          <cell r="Q247">
            <v>-24.713897613808513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</row>
        <row r="249">
          <cell r="F249">
            <v>-7807.1997453747317</v>
          </cell>
          <cell r="G249">
            <v>-14420.460588642396</v>
          </cell>
          <cell r="H249">
            <v>-6208.5572053613141</v>
          </cell>
          <cell r="I249">
            <v>-7859.325206563808</v>
          </cell>
          <cell r="J249">
            <v>-3119.2981150634587</v>
          </cell>
          <cell r="K249">
            <v>-14192.224628045224</v>
          </cell>
          <cell r="L249">
            <v>-28460.605804651976</v>
          </cell>
          <cell r="M249">
            <v>-25558.495773736387</v>
          </cell>
          <cell r="N249">
            <v>-19201.8753607627</v>
          </cell>
          <cell r="O249">
            <v>-6521.2818094026297</v>
          </cell>
          <cell r="P249">
            <v>-11362.580382859334</v>
          </cell>
          <cell r="Q249">
            <v>-11663.792381734587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-295.18002876010723</v>
          </cell>
          <cell r="G250">
            <v>-512.77435475762468</v>
          </cell>
          <cell r="H250">
            <v>-204.22186577168759</v>
          </cell>
          <cell r="I250">
            <v>-70.203900088148657</v>
          </cell>
          <cell r="J250">
            <v>-44.926407758553978</v>
          </cell>
          <cell r="K250">
            <v>-250.32154334662482</v>
          </cell>
          <cell r="L250">
            <v>-1519.615347887855</v>
          </cell>
          <cell r="M250">
            <v>-2217.1427444827277</v>
          </cell>
          <cell r="N250">
            <v>-1339.9962389864959</v>
          </cell>
          <cell r="O250">
            <v>-230.77788821305148</v>
          </cell>
          <cell r="P250">
            <v>-382.7094616452232</v>
          </cell>
          <cell r="Q250">
            <v>-559.88058736885432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-375.65732704987749</v>
          </cell>
          <cell r="G251">
            <v>-837.35596024966799</v>
          </cell>
          <cell r="H251">
            <v>-341.45879522059113</v>
          </cell>
          <cell r="I251">
            <v>-167.15779375482816</v>
          </cell>
          <cell r="J251">
            <v>-81.942201023339294</v>
          </cell>
          <cell r="K251">
            <v>-1653.677634034073</v>
          </cell>
          <cell r="L251">
            <v>-3396.29182601301</v>
          </cell>
          <cell r="M251">
            <v>-9145.7570730892476</v>
          </cell>
          <cell r="N251">
            <v>-2095.8936616759747</v>
          </cell>
          <cell r="O251">
            <v>-872.26567025249824</v>
          </cell>
          <cell r="P251">
            <v>-549.33936625975184</v>
          </cell>
          <cell r="Q251">
            <v>-814.8281334284693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-2568.080708520487</v>
          </cell>
          <cell r="G252">
            <v>-3966.2421807139181</v>
          </cell>
          <cell r="H252">
            <v>-1848.5825586346909</v>
          </cell>
          <cell r="I252">
            <v>-5623.4027463155799</v>
          </cell>
          <cell r="J252">
            <v>-5201.5772473819088</v>
          </cell>
          <cell r="K252">
            <v>-7084.6983774285764</v>
          </cell>
          <cell r="L252">
            <v>-9319.7971838228405</v>
          </cell>
          <cell r="M252">
            <v>-6359.2032785573974</v>
          </cell>
          <cell r="N252">
            <v>-11405.073692094069</v>
          </cell>
          <cell r="O252">
            <v>-5813.218331689015</v>
          </cell>
          <cell r="P252">
            <v>-6144.4887249395251</v>
          </cell>
          <cell r="Q252">
            <v>-4438.4408023850992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-12505.714179586619</v>
          </cell>
          <cell r="G253">
            <v>-22250.504356807098</v>
          </cell>
          <cell r="H253">
            <v>-16134.669650779106</v>
          </cell>
          <cell r="I253">
            <v>-10820.444676815532</v>
          </cell>
          <cell r="J253">
            <v>-8865.3462836258113</v>
          </cell>
          <cell r="K253">
            <v>-26316.590449843556</v>
          </cell>
          <cell r="L253">
            <v>-32148.053164700046</v>
          </cell>
          <cell r="M253">
            <v>-43918.067347590812</v>
          </cell>
          <cell r="N253">
            <v>-19251.066367605701</v>
          </cell>
          <cell r="O253">
            <v>-11800.48889093101</v>
          </cell>
          <cell r="P253">
            <v>-19275.316492466256</v>
          </cell>
          <cell r="Q253">
            <v>-21743.404920260422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-4714.4635222572833</v>
          </cell>
          <cell r="G254">
            <v>-10938.977014336735</v>
          </cell>
          <cell r="H254">
            <v>-6670.2336852494627</v>
          </cell>
          <cell r="I254">
            <v>-3142.9799884157255</v>
          </cell>
          <cell r="J254">
            <v>-1063.365616524592</v>
          </cell>
          <cell r="K254">
            <v>-6869.9949796646833</v>
          </cell>
          <cell r="L254">
            <v>-20204.718577605672</v>
          </cell>
          <cell r="M254">
            <v>-21372.006421737373</v>
          </cell>
          <cell r="N254">
            <v>-12080.328881950118</v>
          </cell>
          <cell r="O254">
            <v>-6056.0817120727152</v>
          </cell>
          <cell r="P254">
            <v>-6488.3372040772811</v>
          </cell>
          <cell r="Q254">
            <v>-6325.199717445299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-2863.5178969717344</v>
          </cell>
          <cell r="G255">
            <v>-1665.1112252070452</v>
          </cell>
          <cell r="H255">
            <v>-9.5078376163692155</v>
          </cell>
          <cell r="I255">
            <v>-1285.7430943616564</v>
          </cell>
          <cell r="J255">
            <v>-639.18677600500814</v>
          </cell>
          <cell r="K255">
            <v>-3226.4379150671884</v>
          </cell>
          <cell r="L255">
            <v>-14612.252539140638</v>
          </cell>
          <cell r="M255">
            <v>-19688.766159365419</v>
          </cell>
          <cell r="N255">
            <v>-11832.362049021525</v>
          </cell>
          <cell r="O255">
            <v>-1950.5209491282003</v>
          </cell>
          <cell r="P255">
            <v>-3269.3066926940228</v>
          </cell>
          <cell r="Q255">
            <v>-3807.107359759626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</row>
        <row r="256">
          <cell r="F256">
            <v>-31129.279700003564</v>
          </cell>
          <cell r="G256">
            <v>-56001.639700002968</v>
          </cell>
          <cell r="H256">
            <v>-41510.958740003407</v>
          </cell>
          <cell r="I256">
            <v>-35302.589360002428</v>
          </cell>
          <cell r="J256">
            <v>-27760.297299999744</v>
          </cell>
          <cell r="K256">
            <v>-76942.426649998873</v>
          </cell>
          <cell r="L256">
            <v>-123303.62946000695</v>
          </cell>
          <cell r="M256">
            <v>-135271.1944200024</v>
          </cell>
          <cell r="N256">
            <v>-89563.488360002637</v>
          </cell>
          <cell r="O256">
            <v>-38495.619720000774</v>
          </cell>
          <cell r="P256">
            <v>-61206.775100007653</v>
          </cell>
          <cell r="Q256">
            <v>-49377.36779999733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2">
          <cell r="A262" t="str">
            <v>Total Gas Fuel Burn Expense</v>
          </cell>
          <cell r="F262">
            <v>-31129.279700003564</v>
          </cell>
          <cell r="G262">
            <v>-56001.639700002968</v>
          </cell>
          <cell r="H262">
            <v>-41510.958740003407</v>
          </cell>
          <cell r="I262">
            <v>-35302.589360002428</v>
          </cell>
          <cell r="J262">
            <v>-27760.297299999744</v>
          </cell>
          <cell r="K262">
            <v>-76942.426649998873</v>
          </cell>
          <cell r="L262">
            <v>-123303.62946000695</v>
          </cell>
          <cell r="M262">
            <v>-135271.1944200024</v>
          </cell>
          <cell r="N262">
            <v>-89563.488360002637</v>
          </cell>
          <cell r="O262">
            <v>-38495.619720004499</v>
          </cell>
          <cell r="P262">
            <v>-61206.775100007653</v>
          </cell>
          <cell r="Q262">
            <v>-49377.36779999733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4">
          <cell r="A264" t="str">
            <v>Other Generation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2">
          <cell r="A292" t="str">
            <v>Total Other Generation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4">
          <cell r="A294" t="str">
            <v>IRP Resources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IRP21_UTN_Non_Emitting_2031_T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IRP21_Huntington_Non_Emitting_2037_T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IRP21_Wyodak_Non_Emitting_2040_T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IRP21_JimBridger_Non_Emitting_2038_T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IRP21_HRM_Non_Emitting_2037_T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IRP21_UTN_Nuclear Naughton_w_S_2028_T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09">
          <cell r="C309" t="str">
            <v>IRP21_JimBridger_Nuclear I_w_S_2038_T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</row>
        <row r="310">
          <cell r="C310" t="str">
            <v>IRP21_JimBridger_Nuclear II_w_S_2038_T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1">
          <cell r="C311" t="str">
            <v>IRP21 JimBridger 1 GC_2024_T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</row>
        <row r="312">
          <cell r="C312" t="str">
            <v>IRP21 JimBridger 2 GC_2024_T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</row>
        <row r="313">
          <cell r="C313" t="str">
            <v>IRP21_WD_PX_WYE_WD_T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IRP21_WD_PX_WYE_Djohns_WD_T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IRP21_WD_PX_WW_WD_T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IRP21_WD_PX_YK_WD_T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IRP21_WD_PX_JimBridger_WD_T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IRP21_WD_PX_PNC_006_WD_T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IRP21_WD_PX_PNC_WD_T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0">
          <cell r="C320" t="str">
            <v>IRP21_WD_PX_WMV_006_WD_T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</row>
        <row r="321">
          <cell r="C321" t="str">
            <v>IRP21_PWS_PX_YAK_WD_T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2">
          <cell r="C322" t="str">
            <v>IRP21_PWS_PX_YAK_PV_T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</row>
        <row r="323">
          <cell r="C323" t="str">
            <v>IRP21_PVS_PX_UTN_PV_T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</row>
        <row r="324">
          <cell r="C324" t="str">
            <v>IRP21_PVS_PX_UTS_PV_T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IRP21_PVS_PX_UTS_Hunter_PV_T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IRP21_PVS_PX_COR_PV_T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IRP21_PVS_PX_SOR_C_PV_ 2028_T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IRP21_PVS_PX_SOR_PV_T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IRP21_PVS_PX_YAK_PV_T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IRP21_PVS_PX_BOR_002_PV_T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IRP21_BAT_UTN_C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C332" t="str">
            <v>IRP21_BAT_UTN_DC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3">
          <cell r="C333" t="str">
            <v>IRP21_BAT_UTS_C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</row>
        <row r="334">
          <cell r="C334" t="str">
            <v>IRP21_BAT_UTS_DC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C335" t="str">
            <v>IRP21_BAT_WestMain_C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</row>
        <row r="336">
          <cell r="C336" t="str">
            <v>IRP21_BAT_WestMain_DC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C337" t="str">
            <v>IRP21_BAT_JimBridger_C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</row>
        <row r="338">
          <cell r="C338" t="str">
            <v>IRP21_BAT_JimBridger_DC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</row>
        <row r="339">
          <cell r="C339" t="str">
            <v>IRP21_BAT_COR_C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</row>
        <row r="340">
          <cell r="C340" t="str">
            <v>IRP21_BAT_COR_DC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</row>
        <row r="341">
          <cell r="C341" t="str">
            <v>IRP21_BAT_Yakima_C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 t="str">
            <v>IRP21_BAT_Yakima_DC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 t="str">
            <v>IRP21_BAT_Borah_C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C344" t="str">
            <v>IRP21_BAT_Borah_DC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C345" t="str">
            <v>IRP21_BAT_WYE_DJ_Wyodak_C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C346" t="str">
            <v>IRP21_BAT_WYE_DJ_Wyodak_DC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7">
          <cell r="C347" t="str">
            <v>IRP21_BAT_UTN_RFP20_C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</row>
        <row r="348">
          <cell r="C348" t="str">
            <v>IRP21_BAT_UTN_RFP20_DC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49">
          <cell r="C349" t="str">
            <v>IRP21_BAT_UTS_RFP20_C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C350" t="str">
            <v>IRP21_BAT_UTS_RFP20_DC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  <row r="351">
          <cell r="C351" t="str">
            <v>IRP21_BAT_WestMain_RFP20_C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IRP21_BAT_WestMain_RFP20_DC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IRP21_PumpStorage_Yakima_C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IRP21_PumpStorage_Yakima_DC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C355" t="str">
            <v>IRP21_UTN_NucNaughton_C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C356" t="str">
            <v>IRP21_UTN_NucNaughton_DC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C357" t="str">
            <v>IRP21_BAT_UTS_Hunter_C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8">
          <cell r="C358" t="str">
            <v>IRP21_BAT_UTS_Hunter_DC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</row>
        <row r="359">
          <cell r="C359" t="str">
            <v>IRP21_BAT_PNC_Lithiumion_C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C360" t="str">
            <v>IRP21_BAT_PNC_Lithiumion_DC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</row>
        <row r="361">
          <cell r="C361" t="str">
            <v>IRP21_BAT_SOR_2028_CP_C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</row>
        <row r="362">
          <cell r="C362" t="str">
            <v>IRP21_BAT_SOR_2028_CP_DC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</row>
        <row r="363">
          <cell r="C363" t="str">
            <v>IRP21_BAT_WMV_C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C364" t="str">
            <v>IRP21_BAT_WMV_DC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C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C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</row>
        <row r="367">
          <cell r="C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69">
          <cell r="C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</row>
        <row r="370">
          <cell r="C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C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3">
          <cell r="A373" t="str">
            <v>Total IRP Resources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</row>
        <row r="375">
          <cell r="A375" t="str">
            <v>Growth Station Resources</v>
          </cell>
        </row>
        <row r="376">
          <cell r="C376" t="str">
            <v>Growth Station - E - Southwest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</row>
        <row r="377">
          <cell r="C377" t="str">
            <v>Growth Station - E - Utah North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</row>
        <row r="378">
          <cell r="C378" t="str">
            <v>Growth Station - E - Utah South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</row>
        <row r="379">
          <cell r="C379" t="str">
            <v>Growth Station - E - Wyoming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0">
          <cell r="C380" t="str">
            <v>Growth Station - W - Jim Bridger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-5647.75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</row>
        <row r="381">
          <cell r="C381" t="str">
            <v>Growth Station - W - Mid Columbia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Growth Station - W - Oregon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4">
          <cell r="A384" t="str">
            <v>Total Growth Station Resources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-5647.75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F385" t="str">
            <v>=</v>
          </cell>
          <cell r="G385" t="str">
            <v>=</v>
          </cell>
          <cell r="H385" t="str">
            <v>=</v>
          </cell>
          <cell r="I385" t="str">
            <v>=</v>
          </cell>
          <cell r="J385" t="str">
            <v>=</v>
          </cell>
          <cell r="K385" t="str">
            <v>=</v>
          </cell>
          <cell r="L385" t="str">
            <v>=</v>
          </cell>
          <cell r="M385" t="str">
            <v>=</v>
          </cell>
          <cell r="N385" t="str">
            <v>=</v>
          </cell>
          <cell r="O385" t="str">
            <v>=</v>
          </cell>
          <cell r="P385" t="str">
            <v>=</v>
          </cell>
          <cell r="Q385" t="str">
            <v>=</v>
          </cell>
          <cell r="R385" t="str">
            <v>=</v>
          </cell>
          <cell r="S385" t="str">
            <v>=</v>
          </cell>
          <cell r="T385" t="str">
            <v>=</v>
          </cell>
          <cell r="U385" t="str">
            <v>=</v>
          </cell>
          <cell r="V385" t="str">
            <v>=</v>
          </cell>
          <cell r="W385" t="str">
            <v>=</v>
          </cell>
          <cell r="X385" t="str">
            <v>=</v>
          </cell>
          <cell r="Y385" t="str">
            <v>=</v>
          </cell>
          <cell r="Z385" t="str">
            <v>=</v>
          </cell>
          <cell r="AA385" t="str">
            <v>=</v>
          </cell>
          <cell r="AB385" t="str">
            <v>=</v>
          </cell>
          <cell r="AC385" t="str">
            <v>=</v>
          </cell>
          <cell r="AD385" t="str">
            <v>=</v>
          </cell>
          <cell r="AE385" t="str">
            <v>=</v>
          </cell>
          <cell r="AF385" t="str">
            <v>=</v>
          </cell>
          <cell r="AG385" t="str">
            <v>=</v>
          </cell>
          <cell r="AH385" t="str">
            <v>=</v>
          </cell>
          <cell r="AI385" t="str">
            <v>=</v>
          </cell>
          <cell r="AJ385" t="str">
            <v>=</v>
          </cell>
          <cell r="AK385" t="str">
            <v>=</v>
          </cell>
          <cell r="AL385" t="str">
            <v>=</v>
          </cell>
          <cell r="AM385" t="str">
            <v>=</v>
          </cell>
          <cell r="AN385" t="str">
            <v>=</v>
          </cell>
          <cell r="AO385" t="str">
            <v>=</v>
          </cell>
          <cell r="AP385" t="str">
            <v>=</v>
          </cell>
          <cell r="AQ385" t="str">
            <v>=</v>
          </cell>
          <cell r="AR385" t="str">
            <v>=</v>
          </cell>
          <cell r="AS385" t="str">
            <v>=</v>
          </cell>
          <cell r="AT385" t="str">
            <v>=</v>
          </cell>
          <cell r="AU385" t="str">
            <v>=</v>
          </cell>
          <cell r="AV385" t="str">
            <v>=</v>
          </cell>
          <cell r="AW385" t="str">
            <v>=</v>
          </cell>
          <cell r="AX385" t="str">
            <v>=</v>
          </cell>
          <cell r="AY385" t="str">
            <v>=</v>
          </cell>
          <cell r="AZ385" t="str">
            <v>=</v>
          </cell>
          <cell r="BA385" t="str">
            <v>=</v>
          </cell>
          <cell r="BB385" t="str">
            <v>=</v>
          </cell>
          <cell r="BC385" t="str">
            <v>=</v>
          </cell>
          <cell r="BD385" t="str">
            <v>=</v>
          </cell>
          <cell r="BE385" t="str">
            <v>=</v>
          </cell>
          <cell r="BF385" t="str">
            <v>=</v>
          </cell>
          <cell r="BG385" t="str">
            <v>=</v>
          </cell>
          <cell r="BH385" t="str">
            <v>=</v>
          </cell>
          <cell r="BI385" t="str">
            <v>=</v>
          </cell>
          <cell r="BJ385" t="str">
            <v>=</v>
          </cell>
          <cell r="BK385" t="str">
            <v>=</v>
          </cell>
          <cell r="BL385" t="str">
            <v>=</v>
          </cell>
          <cell r="BM385" t="str">
            <v>=</v>
          </cell>
          <cell r="BN385" t="str">
            <v>=</v>
          </cell>
          <cell r="BO385" t="str">
            <v>=</v>
          </cell>
          <cell r="BP385" t="str">
            <v>=</v>
          </cell>
          <cell r="BQ385" t="str">
            <v>=</v>
          </cell>
          <cell r="BR385" t="str">
            <v>=</v>
          </cell>
          <cell r="BS385" t="str">
            <v>=</v>
          </cell>
          <cell r="BT385" t="str">
            <v>=</v>
          </cell>
          <cell r="BU385" t="str">
            <v>=</v>
          </cell>
          <cell r="BV385" t="str">
            <v>=</v>
          </cell>
          <cell r="BW385" t="str">
            <v>=</v>
          </cell>
          <cell r="BX385" t="str">
            <v>=</v>
          </cell>
          <cell r="BY385" t="str">
            <v>=</v>
          </cell>
          <cell r="BZ385" t="str">
            <v>=</v>
          </cell>
          <cell r="CA385" t="str">
            <v>=</v>
          </cell>
          <cell r="CB385" t="str">
            <v>=</v>
          </cell>
          <cell r="CC385" t="str">
            <v>=</v>
          </cell>
          <cell r="CD385" t="str">
            <v>=</v>
          </cell>
          <cell r="CE385" t="str">
            <v>=</v>
          </cell>
          <cell r="CF385" t="str">
            <v>=</v>
          </cell>
          <cell r="CG385" t="str">
            <v>=</v>
          </cell>
          <cell r="CH385" t="str">
            <v>=</v>
          </cell>
          <cell r="CI385" t="str">
            <v>=</v>
          </cell>
          <cell r="CJ385" t="str">
            <v>=</v>
          </cell>
          <cell r="CK385" t="str">
            <v>=</v>
          </cell>
          <cell r="CL385" t="str">
            <v>=</v>
          </cell>
          <cell r="CM385" t="str">
            <v>=</v>
          </cell>
          <cell r="CN385" t="str">
            <v>=</v>
          </cell>
          <cell r="CO385" t="str">
            <v>=</v>
          </cell>
          <cell r="CP385" t="str">
            <v>=</v>
          </cell>
          <cell r="CQ385" t="str">
            <v>=</v>
          </cell>
          <cell r="CR385" t="str">
            <v>=</v>
          </cell>
          <cell r="CS385" t="str">
            <v>=</v>
          </cell>
          <cell r="CT385" t="str">
            <v>=</v>
          </cell>
          <cell r="CU385" t="str">
            <v>=</v>
          </cell>
          <cell r="CV385" t="str">
            <v>=</v>
          </cell>
          <cell r="CW385" t="str">
            <v>=</v>
          </cell>
          <cell r="CX385" t="str">
            <v>=</v>
          </cell>
          <cell r="CY385" t="str">
            <v>=</v>
          </cell>
          <cell r="CZ385" t="str">
            <v>=</v>
          </cell>
          <cell r="DA385" t="str">
            <v>=</v>
          </cell>
          <cell r="DB385" t="str">
            <v>=</v>
          </cell>
          <cell r="DC385" t="str">
            <v>=</v>
          </cell>
          <cell r="DD385" t="str">
            <v>=</v>
          </cell>
          <cell r="DE385" t="str">
            <v>=</v>
          </cell>
          <cell r="DF385" t="str">
            <v>=</v>
          </cell>
          <cell r="DG385" t="str">
            <v>=</v>
          </cell>
          <cell r="DH385" t="str">
            <v>=</v>
          </cell>
          <cell r="DI385" t="str">
            <v>=</v>
          </cell>
          <cell r="DJ385" t="str">
            <v>=</v>
          </cell>
          <cell r="DK385" t="str">
            <v>=</v>
          </cell>
          <cell r="DL385" t="str">
            <v>=</v>
          </cell>
          <cell r="DM385" t="str">
            <v>=</v>
          </cell>
          <cell r="DN385" t="str">
            <v>=</v>
          </cell>
          <cell r="DO385" t="str">
            <v>=</v>
          </cell>
          <cell r="DP385" t="str">
            <v>=</v>
          </cell>
          <cell r="DQ385" t="str">
            <v>=</v>
          </cell>
          <cell r="DR385" t="str">
            <v>=</v>
          </cell>
          <cell r="DS385" t="str">
            <v>=</v>
          </cell>
          <cell r="DT385" t="str">
            <v>=</v>
          </cell>
          <cell r="DU385" t="str">
            <v>=</v>
          </cell>
          <cell r="DV385" t="str">
            <v>=</v>
          </cell>
          <cell r="DW385" t="str">
            <v>=</v>
          </cell>
          <cell r="DX385" t="str">
            <v>=</v>
          </cell>
          <cell r="DY385" t="str">
            <v>=</v>
          </cell>
          <cell r="DZ385" t="str">
            <v>=</v>
          </cell>
          <cell r="EA385" t="str">
            <v>=</v>
          </cell>
          <cell r="EB385" t="str">
            <v>=</v>
          </cell>
          <cell r="EC385" t="str">
            <v>=</v>
          </cell>
          <cell r="ED385" t="str">
            <v>=</v>
          </cell>
        </row>
        <row r="386">
          <cell r="A386" t="str">
            <v>Net Power Cost</v>
          </cell>
          <cell r="F386">
            <v>-349613.76548928022</v>
          </cell>
          <cell r="G386">
            <v>-477672.02647142112</v>
          </cell>
          <cell r="H386">
            <v>-459777.53280293941</v>
          </cell>
          <cell r="I386">
            <v>-385004.68610313535</v>
          </cell>
          <cell r="J386">
            <v>-347025.23373423517</v>
          </cell>
          <cell r="K386">
            <v>-443544.3817563355</v>
          </cell>
          <cell r="L386">
            <v>-929406.44197371602</v>
          </cell>
          <cell r="M386">
            <v>-997773.17176020145</v>
          </cell>
          <cell r="N386">
            <v>-746624.78039285541</v>
          </cell>
          <cell r="O386">
            <v>-463428.3875041604</v>
          </cell>
          <cell r="P386">
            <v>-462512.07453858852</v>
          </cell>
          <cell r="Q386">
            <v>-651956.53405892849</v>
          </cell>
          <cell r="R386" t="e">
            <v>#N/A</v>
          </cell>
          <cell r="S386" t="e">
            <v>#N/A</v>
          </cell>
          <cell r="T386" t="e">
            <v>#N/A</v>
          </cell>
          <cell r="U386" t="e">
            <v>#N/A</v>
          </cell>
          <cell r="V386" t="e">
            <v>#N/A</v>
          </cell>
          <cell r="W386" t="e">
            <v>#N/A</v>
          </cell>
          <cell r="X386" t="e">
            <v>#N/A</v>
          </cell>
          <cell r="Y386" t="e">
            <v>#N/A</v>
          </cell>
          <cell r="Z386" t="e">
            <v>#N/A</v>
          </cell>
          <cell r="AA386" t="e">
            <v>#N/A</v>
          </cell>
          <cell r="AB386" t="e">
            <v>#N/A</v>
          </cell>
          <cell r="AC386" t="e">
            <v>#N/A</v>
          </cell>
          <cell r="AD386" t="e">
            <v>#N/A</v>
          </cell>
          <cell r="AE386" t="e">
            <v>#N/A</v>
          </cell>
          <cell r="AF386" t="e">
            <v>#N/A</v>
          </cell>
          <cell r="AG386" t="e">
            <v>#N/A</v>
          </cell>
          <cell r="AH386" t="e">
            <v>#N/A</v>
          </cell>
          <cell r="AI386" t="e">
            <v>#N/A</v>
          </cell>
          <cell r="AJ386" t="e">
            <v>#N/A</v>
          </cell>
          <cell r="AK386" t="e">
            <v>#N/A</v>
          </cell>
          <cell r="AL386" t="e">
            <v>#N/A</v>
          </cell>
          <cell r="AM386" t="e">
            <v>#N/A</v>
          </cell>
          <cell r="AN386" t="e">
            <v>#N/A</v>
          </cell>
          <cell r="AO386" t="e">
            <v>#N/A</v>
          </cell>
          <cell r="AP386" t="e">
            <v>#N/A</v>
          </cell>
          <cell r="AQ386" t="e">
            <v>#N/A</v>
          </cell>
          <cell r="AR386" t="e">
            <v>#N/A</v>
          </cell>
          <cell r="AS386" t="e">
            <v>#N/A</v>
          </cell>
          <cell r="AT386" t="e">
            <v>#N/A</v>
          </cell>
          <cell r="AU386" t="e">
            <v>#N/A</v>
          </cell>
          <cell r="AV386" t="e">
            <v>#N/A</v>
          </cell>
          <cell r="AW386" t="e">
            <v>#N/A</v>
          </cell>
          <cell r="AX386" t="e">
            <v>#N/A</v>
          </cell>
          <cell r="AY386" t="e">
            <v>#N/A</v>
          </cell>
          <cell r="AZ386" t="e">
            <v>#N/A</v>
          </cell>
          <cell r="BA386" t="e">
            <v>#N/A</v>
          </cell>
          <cell r="BB386" t="e">
            <v>#N/A</v>
          </cell>
          <cell r="BC386" t="e">
            <v>#N/A</v>
          </cell>
          <cell r="BD386" t="e">
            <v>#N/A</v>
          </cell>
          <cell r="BE386" t="e">
            <v>#N/A</v>
          </cell>
          <cell r="BF386" t="e">
            <v>#N/A</v>
          </cell>
          <cell r="BG386" t="e">
            <v>#N/A</v>
          </cell>
          <cell r="BH386" t="e">
            <v>#N/A</v>
          </cell>
          <cell r="BI386" t="e">
            <v>#N/A</v>
          </cell>
          <cell r="BJ386" t="e">
            <v>#N/A</v>
          </cell>
          <cell r="BK386" t="e">
            <v>#N/A</v>
          </cell>
          <cell r="BL386" t="e">
            <v>#N/A</v>
          </cell>
          <cell r="BM386" t="e">
            <v>#N/A</v>
          </cell>
          <cell r="BN386" t="e">
            <v>#N/A</v>
          </cell>
          <cell r="BO386" t="e">
            <v>#N/A</v>
          </cell>
          <cell r="BP386" t="e">
            <v>#N/A</v>
          </cell>
          <cell r="BQ386" t="e">
            <v>#N/A</v>
          </cell>
          <cell r="BR386" t="e">
            <v>#N/A</v>
          </cell>
          <cell r="BS386" t="e">
            <v>#N/A</v>
          </cell>
          <cell r="BT386" t="e">
            <v>#N/A</v>
          </cell>
          <cell r="BU386" t="e">
            <v>#N/A</v>
          </cell>
          <cell r="BV386" t="e">
            <v>#N/A</v>
          </cell>
          <cell r="BW386" t="e">
            <v>#N/A</v>
          </cell>
          <cell r="BX386" t="e">
            <v>#N/A</v>
          </cell>
          <cell r="BY386" t="e">
            <v>#N/A</v>
          </cell>
          <cell r="BZ386" t="e">
            <v>#N/A</v>
          </cell>
          <cell r="CA386" t="e">
            <v>#N/A</v>
          </cell>
          <cell r="CB386" t="e">
            <v>#N/A</v>
          </cell>
          <cell r="CC386" t="e">
            <v>#N/A</v>
          </cell>
          <cell r="CD386" t="e">
            <v>#N/A</v>
          </cell>
          <cell r="CE386" t="e">
            <v>#N/A</v>
          </cell>
          <cell r="CF386" t="e">
            <v>#N/A</v>
          </cell>
          <cell r="CG386" t="e">
            <v>#N/A</v>
          </cell>
          <cell r="CH386" t="e">
            <v>#N/A</v>
          </cell>
          <cell r="CI386" t="e">
            <v>#N/A</v>
          </cell>
          <cell r="CJ386" t="e">
            <v>#N/A</v>
          </cell>
          <cell r="CK386" t="e">
            <v>#N/A</v>
          </cell>
          <cell r="CL386" t="e">
            <v>#N/A</v>
          </cell>
          <cell r="CM386" t="e">
            <v>#N/A</v>
          </cell>
          <cell r="CN386" t="e">
            <v>#N/A</v>
          </cell>
          <cell r="CO386" t="e">
            <v>#N/A</v>
          </cell>
          <cell r="CP386" t="e">
            <v>#N/A</v>
          </cell>
          <cell r="CQ386" t="e">
            <v>#N/A</v>
          </cell>
          <cell r="CR386" t="e">
            <v>#N/A</v>
          </cell>
          <cell r="CS386" t="e">
            <v>#N/A</v>
          </cell>
          <cell r="CT386" t="e">
            <v>#N/A</v>
          </cell>
          <cell r="CU386" t="e">
            <v>#N/A</v>
          </cell>
          <cell r="CV386" t="e">
            <v>#N/A</v>
          </cell>
          <cell r="CW386" t="e">
            <v>#N/A</v>
          </cell>
          <cell r="CX386" t="e">
            <v>#N/A</v>
          </cell>
          <cell r="CY386" t="e">
            <v>#N/A</v>
          </cell>
          <cell r="CZ386" t="e">
            <v>#N/A</v>
          </cell>
          <cell r="DA386" t="e">
            <v>#N/A</v>
          </cell>
          <cell r="DB386" t="e">
            <v>#N/A</v>
          </cell>
          <cell r="DC386" t="e">
            <v>#N/A</v>
          </cell>
          <cell r="DD386" t="e">
            <v>#N/A</v>
          </cell>
          <cell r="DE386" t="e">
            <v>#N/A</v>
          </cell>
          <cell r="DF386" t="e">
            <v>#N/A</v>
          </cell>
          <cell r="DG386" t="e">
            <v>#N/A</v>
          </cell>
          <cell r="DH386" t="e">
            <v>#N/A</v>
          </cell>
          <cell r="DI386" t="e">
            <v>#N/A</v>
          </cell>
          <cell r="DJ386" t="e">
            <v>#N/A</v>
          </cell>
          <cell r="DK386" t="e">
            <v>#N/A</v>
          </cell>
          <cell r="DL386" t="e">
            <v>#N/A</v>
          </cell>
          <cell r="DM386" t="e">
            <v>#N/A</v>
          </cell>
          <cell r="DN386" t="e">
            <v>#N/A</v>
          </cell>
          <cell r="DO386" t="e">
            <v>#N/A</v>
          </cell>
          <cell r="DP386" t="e">
            <v>#N/A</v>
          </cell>
          <cell r="DQ386" t="e">
            <v>#N/A</v>
          </cell>
          <cell r="DR386" t="e">
            <v>#N/A</v>
          </cell>
          <cell r="DS386" t="e">
            <v>#N/A</v>
          </cell>
          <cell r="DT386" t="e">
            <v>#N/A</v>
          </cell>
          <cell r="DU386" t="e">
            <v>#N/A</v>
          </cell>
          <cell r="DV386" t="e">
            <v>#N/A</v>
          </cell>
          <cell r="DW386" t="e">
            <v>#N/A</v>
          </cell>
          <cell r="DX386" t="e">
            <v>#N/A</v>
          </cell>
          <cell r="DY386" t="e">
            <v>#N/A</v>
          </cell>
          <cell r="DZ386" t="e">
            <v>#N/A</v>
          </cell>
          <cell r="EA386" t="e">
            <v>#N/A</v>
          </cell>
          <cell r="EB386" t="e">
            <v>#N/A</v>
          </cell>
          <cell r="EC386" t="e">
            <v>#N/A</v>
          </cell>
          <cell r="ED386" t="e">
            <v>#N/A</v>
          </cell>
        </row>
        <row r="387">
          <cell r="F387" t="str">
            <v>=</v>
          </cell>
          <cell r="G387" t="str">
            <v>=</v>
          </cell>
          <cell r="H387" t="str">
            <v>=</v>
          </cell>
          <cell r="I387" t="str">
            <v>=</v>
          </cell>
          <cell r="J387" t="str">
            <v>=</v>
          </cell>
          <cell r="K387" t="str">
            <v>=</v>
          </cell>
          <cell r="L387" t="str">
            <v>=</v>
          </cell>
          <cell r="M387" t="str">
            <v>=</v>
          </cell>
          <cell r="N387" t="str">
            <v>=</v>
          </cell>
          <cell r="O387" t="str">
            <v>=</v>
          </cell>
          <cell r="P387" t="str">
            <v>=</v>
          </cell>
          <cell r="Q387" t="str">
            <v>=</v>
          </cell>
          <cell r="R387" t="str">
            <v>=</v>
          </cell>
          <cell r="S387" t="str">
            <v>=</v>
          </cell>
          <cell r="T387" t="str">
            <v>=</v>
          </cell>
          <cell r="U387" t="str">
            <v>=</v>
          </cell>
          <cell r="V387" t="str">
            <v>=</v>
          </cell>
          <cell r="W387" t="str">
            <v>=</v>
          </cell>
          <cell r="X387" t="str">
            <v>=</v>
          </cell>
          <cell r="Y387" t="str">
            <v>=</v>
          </cell>
          <cell r="Z387" t="str">
            <v>=</v>
          </cell>
          <cell r="AA387" t="str">
            <v>=</v>
          </cell>
          <cell r="AB387" t="str">
            <v>=</v>
          </cell>
          <cell r="AC387" t="str">
            <v>=</v>
          </cell>
          <cell r="AD387" t="str">
            <v>=</v>
          </cell>
          <cell r="AE387" t="str">
            <v>=</v>
          </cell>
          <cell r="AF387" t="str">
            <v>=</v>
          </cell>
          <cell r="AG387" t="str">
            <v>=</v>
          </cell>
          <cell r="AH387" t="str">
            <v>=</v>
          </cell>
          <cell r="AI387" t="str">
            <v>=</v>
          </cell>
          <cell r="AJ387" t="str">
            <v>=</v>
          </cell>
          <cell r="AK387" t="str">
            <v>=</v>
          </cell>
          <cell r="AL387" t="str">
            <v>=</v>
          </cell>
          <cell r="AM387" t="str">
            <v>=</v>
          </cell>
          <cell r="AN387" t="str">
            <v>=</v>
          </cell>
          <cell r="AO387" t="str">
            <v>=</v>
          </cell>
          <cell r="AP387" t="str">
            <v>=</v>
          </cell>
          <cell r="AQ387" t="str">
            <v>=</v>
          </cell>
          <cell r="AR387" t="str">
            <v>=</v>
          </cell>
          <cell r="AS387" t="str">
            <v>=</v>
          </cell>
          <cell r="AT387" t="str">
            <v>=</v>
          </cell>
          <cell r="AU387" t="str">
            <v>=</v>
          </cell>
          <cell r="AV387" t="str">
            <v>=</v>
          </cell>
          <cell r="AW387" t="str">
            <v>=</v>
          </cell>
          <cell r="AX387" t="str">
            <v>=</v>
          </cell>
          <cell r="AY387" t="str">
            <v>=</v>
          </cell>
          <cell r="AZ387" t="str">
            <v>=</v>
          </cell>
          <cell r="BA387" t="str">
            <v>=</v>
          </cell>
          <cell r="BB387" t="str">
            <v>=</v>
          </cell>
          <cell r="BC387" t="str">
            <v>=</v>
          </cell>
          <cell r="BD387" t="str">
            <v>=</v>
          </cell>
          <cell r="BE387" t="str">
            <v>=</v>
          </cell>
          <cell r="BF387" t="str">
            <v>=</v>
          </cell>
          <cell r="BG387" t="str">
            <v>=</v>
          </cell>
          <cell r="BH387" t="str">
            <v>=</v>
          </cell>
          <cell r="BI387" t="str">
            <v>=</v>
          </cell>
          <cell r="BJ387" t="str">
            <v>=</v>
          </cell>
          <cell r="BK387" t="str">
            <v>=</v>
          </cell>
          <cell r="BL387" t="str">
            <v>=</v>
          </cell>
          <cell r="BM387" t="str">
            <v>=</v>
          </cell>
          <cell r="BN387" t="str">
            <v>=</v>
          </cell>
          <cell r="BO387" t="str">
            <v>=</v>
          </cell>
          <cell r="BP387" t="str">
            <v>=</v>
          </cell>
          <cell r="BQ387" t="str">
            <v>=</v>
          </cell>
          <cell r="BR387" t="str">
            <v>=</v>
          </cell>
          <cell r="BS387" t="str">
            <v>=</v>
          </cell>
          <cell r="BT387" t="str">
            <v>=</v>
          </cell>
          <cell r="BU387" t="str">
            <v>=</v>
          </cell>
          <cell r="BV387" t="str">
            <v>=</v>
          </cell>
          <cell r="BW387" t="str">
            <v>=</v>
          </cell>
          <cell r="BX387" t="str">
            <v>=</v>
          </cell>
          <cell r="BY387" t="str">
            <v>=</v>
          </cell>
          <cell r="BZ387" t="str">
            <v>=</v>
          </cell>
          <cell r="CA387" t="str">
            <v>=</v>
          </cell>
          <cell r="CB387" t="str">
            <v>=</v>
          </cell>
          <cell r="CC387" t="str">
            <v>=</v>
          </cell>
          <cell r="CD387" t="str">
            <v>=</v>
          </cell>
          <cell r="CE387" t="str">
            <v>=</v>
          </cell>
          <cell r="CF387" t="str">
            <v>=</v>
          </cell>
          <cell r="CG387" t="str">
            <v>=</v>
          </cell>
          <cell r="CH387" t="str">
            <v>=</v>
          </cell>
          <cell r="CI387" t="str">
            <v>=</v>
          </cell>
          <cell r="CJ387" t="str">
            <v>=</v>
          </cell>
          <cell r="CK387" t="str">
            <v>=</v>
          </cell>
          <cell r="CL387" t="str">
            <v>=</v>
          </cell>
          <cell r="CM387" t="str">
            <v>=</v>
          </cell>
          <cell r="CN387" t="str">
            <v>=</v>
          </cell>
          <cell r="CO387" t="str">
            <v>=</v>
          </cell>
          <cell r="CP387" t="str">
            <v>=</v>
          </cell>
          <cell r="CQ387" t="str">
            <v>=</v>
          </cell>
          <cell r="CR387" t="str">
            <v>=</v>
          </cell>
          <cell r="CS387" t="str">
            <v>=</v>
          </cell>
          <cell r="CT387" t="str">
            <v>=</v>
          </cell>
          <cell r="CU387" t="str">
            <v>=</v>
          </cell>
          <cell r="CV387" t="str">
            <v>=</v>
          </cell>
          <cell r="CW387" t="str">
            <v>=</v>
          </cell>
          <cell r="CX387" t="str">
            <v>=</v>
          </cell>
          <cell r="CY387" t="str">
            <v>=</v>
          </cell>
          <cell r="CZ387" t="str">
            <v>=</v>
          </cell>
          <cell r="DA387" t="str">
            <v>=</v>
          </cell>
          <cell r="DB387" t="str">
            <v>=</v>
          </cell>
          <cell r="DC387" t="str">
            <v>=</v>
          </cell>
          <cell r="DD387" t="str">
            <v>=</v>
          </cell>
          <cell r="DE387" t="str">
            <v>=</v>
          </cell>
          <cell r="DF387" t="str">
            <v>=</v>
          </cell>
          <cell r="DG387" t="str">
            <v>=</v>
          </cell>
          <cell r="DH387" t="str">
            <v>=</v>
          </cell>
          <cell r="DI387" t="str">
            <v>=</v>
          </cell>
          <cell r="DJ387" t="str">
            <v>=</v>
          </cell>
          <cell r="DK387" t="str">
            <v>=</v>
          </cell>
          <cell r="DL387" t="str">
            <v>=</v>
          </cell>
          <cell r="DM387" t="str">
            <v>=</v>
          </cell>
          <cell r="DN387" t="str">
            <v>=</v>
          </cell>
          <cell r="DO387" t="str">
            <v>=</v>
          </cell>
          <cell r="DP387" t="str">
            <v>=</v>
          </cell>
          <cell r="DQ387" t="str">
            <v>=</v>
          </cell>
          <cell r="DR387" t="str">
            <v>=</v>
          </cell>
          <cell r="DS387" t="str">
            <v>=</v>
          </cell>
          <cell r="DT387" t="str">
            <v>=</v>
          </cell>
          <cell r="DU387" t="str">
            <v>=</v>
          </cell>
          <cell r="DV387" t="str">
            <v>=</v>
          </cell>
          <cell r="DW387" t="str">
            <v>=</v>
          </cell>
          <cell r="DX387" t="str">
            <v>=</v>
          </cell>
          <cell r="DY387" t="str">
            <v>=</v>
          </cell>
          <cell r="DZ387" t="str">
            <v>=</v>
          </cell>
          <cell r="EA387" t="str">
            <v>=</v>
          </cell>
          <cell r="EB387" t="str">
            <v>=</v>
          </cell>
          <cell r="EC387" t="str">
            <v>=</v>
          </cell>
          <cell r="ED387" t="str">
            <v>=</v>
          </cell>
        </row>
        <row r="388">
          <cell r="A388" t="str">
            <v>Net Power Cost/Net System Load</v>
          </cell>
          <cell r="C388" t="str">
            <v>Net Power Cost/Net System Load</v>
          </cell>
          <cell r="F388">
            <v>-6.4869479448912415E-2</v>
          </cell>
          <cell r="G388">
            <v>-0.10029514676912754</v>
          </cell>
          <cell r="H388">
            <v>-9.2589239417396385E-2</v>
          </cell>
          <cell r="I388">
            <v>-8.2080200713424034E-2</v>
          </cell>
          <cell r="J388">
            <v>-7.1349399218156861E-2</v>
          </cell>
          <cell r="K388">
            <v>-8.5221410065685177E-2</v>
          </cell>
          <cell r="L388">
            <v>-0.15778715841258162</v>
          </cell>
          <cell r="M388">
            <v>-0.17385254841350672</v>
          </cell>
          <cell r="N388">
            <v>-0.14949538929906403</v>
          </cell>
          <cell r="O388">
            <v>-9.5153029912093956E-2</v>
          </cell>
          <cell r="P388">
            <v>-9.2590947753333097E-2</v>
          </cell>
          <cell r="Q388">
            <v>-0.11805439719081434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C389">
            <v>0</v>
          </cell>
          <cell r="F389">
            <v>22.113457652705897</v>
          </cell>
          <cell r="G389">
            <v>33.450422021808201</v>
          </cell>
          <cell r="H389">
            <v>29.08143787494873</v>
          </cell>
          <cell r="I389">
            <v>25.163704974061133</v>
          </cell>
          <cell r="J389">
            <v>21.949730153968069</v>
          </cell>
          <cell r="K389">
            <v>28.989828872963106</v>
          </cell>
          <cell r="L389">
            <v>58.785986209596203</v>
          </cell>
          <cell r="M389">
            <v>63.110257543339749</v>
          </cell>
          <cell r="N389">
            <v>48.799005254434995</v>
          </cell>
          <cell r="O389">
            <v>29.312358475911473</v>
          </cell>
          <cell r="P389">
            <v>30.229547355463303</v>
          </cell>
          <cell r="Q389">
            <v>41.236972426244684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</row>
        <row r="391">
          <cell r="A391" t="str">
            <v>Adjustments to Load</v>
          </cell>
        </row>
        <row r="392">
          <cell r="C392" t="str">
            <v>Station Service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MagCorp Curtailment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Monsanto Curtailment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C395" t="str">
            <v>Utah Private Generation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C396" t="str">
            <v>Line Loss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9">
          <cell r="C399" t="str">
            <v>System Load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0">
          <cell r="A400" t="str">
            <v>Net System Load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</row>
        <row r="402">
          <cell r="A402" t="str">
            <v>Special Sales For Resale</v>
          </cell>
        </row>
        <row r="404">
          <cell r="C404" t="str">
            <v>Black Hills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 t="str">
            <v>BPA Wind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East Area Sales (WCA Sale)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C407" t="str">
            <v>Hurricane Sale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C408" t="str">
            <v>LADWP (IPP Layoff)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C409" t="str">
            <v>Shell Sale 2013-2014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C410" t="str">
            <v>SMUD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1">
          <cell r="C411" t="str">
            <v>UMPA II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</row>
        <row r="416">
          <cell r="C416" t="str">
            <v>COB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</row>
        <row r="417">
          <cell r="C417" t="str">
            <v>Four Corners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</row>
        <row r="418">
          <cell r="C418" t="str">
            <v>Mid Columbia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</row>
        <row r="419">
          <cell r="C419" t="str">
            <v>Mona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>Palo Verde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SP15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STF Index Trades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7">
          <cell r="C427" t="str">
            <v>COB</v>
          </cell>
          <cell r="F427">
            <v>0</v>
          </cell>
          <cell r="G427">
            <v>0</v>
          </cell>
          <cell r="H427">
            <v>20.63300000000163</v>
          </cell>
          <cell r="I427">
            <v>0</v>
          </cell>
          <cell r="J427">
            <v>0</v>
          </cell>
          <cell r="K427">
            <v>0</v>
          </cell>
          <cell r="L427">
            <v>2.5299999999988358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Four Corners</v>
          </cell>
          <cell r="F428">
            <v>293.86999999999534</v>
          </cell>
          <cell r="G428">
            <v>519.21899999999732</v>
          </cell>
          <cell r="H428">
            <v>497.42999999999302</v>
          </cell>
          <cell r="I428">
            <v>501.91000000000349</v>
          </cell>
          <cell r="J428">
            <v>252.34999999999127</v>
          </cell>
          <cell r="K428">
            <v>0</v>
          </cell>
          <cell r="L428">
            <v>20.936999999998079</v>
          </cell>
          <cell r="M428">
            <v>20.633999999998196</v>
          </cell>
          <cell r="N428">
            <v>36.19999999999709</v>
          </cell>
          <cell r="O428">
            <v>61.89000000001397</v>
          </cell>
          <cell r="P428">
            <v>1340.3700000000244</v>
          </cell>
          <cell r="Q428">
            <v>1545.5449999999983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Mid Columbia</v>
          </cell>
          <cell r="F429">
            <v>0</v>
          </cell>
          <cell r="G429">
            <v>117.26000000000931</v>
          </cell>
          <cell r="H429">
            <v>736.86000000001513</v>
          </cell>
          <cell r="I429">
            <v>1354.4200000000128</v>
          </cell>
          <cell r="J429">
            <v>1172.1600000000035</v>
          </cell>
          <cell r="K429">
            <v>1102.1599999999744</v>
          </cell>
          <cell r="L429">
            <v>3149.1600000000326</v>
          </cell>
          <cell r="M429">
            <v>903.02999999999884</v>
          </cell>
          <cell r="N429">
            <v>951.58999999999651</v>
          </cell>
          <cell r="O429">
            <v>557.57999999998719</v>
          </cell>
          <cell r="P429">
            <v>26.630000000004657</v>
          </cell>
          <cell r="Q429">
            <v>52.985000000000582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Mona</v>
          </cell>
          <cell r="F430">
            <v>208.46000000002095</v>
          </cell>
          <cell r="G430">
            <v>578.70499999998719</v>
          </cell>
          <cell r="H430">
            <v>272.70999999999185</v>
          </cell>
          <cell r="I430">
            <v>132.76400000001013</v>
          </cell>
          <cell r="J430">
            <v>142.67600000000675</v>
          </cell>
          <cell r="K430">
            <v>0</v>
          </cell>
          <cell r="L430">
            <v>0</v>
          </cell>
          <cell r="M430">
            <v>0</v>
          </cell>
          <cell r="N430">
            <v>61.889999999984866</v>
          </cell>
          <cell r="O430">
            <v>95.439999999973224</v>
          </cell>
          <cell r="P430">
            <v>374.38499999998021</v>
          </cell>
          <cell r="Q430">
            <v>891.28500000000349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Palo Verde</v>
          </cell>
          <cell r="F431">
            <v>5.2099999999918509</v>
          </cell>
          <cell r="G431">
            <v>77.539999999993597</v>
          </cell>
          <cell r="H431">
            <v>320.60000000000582</v>
          </cell>
          <cell r="I431">
            <v>137.9939999999915</v>
          </cell>
          <cell r="J431">
            <v>236.77499999999418</v>
          </cell>
          <cell r="K431">
            <v>0</v>
          </cell>
          <cell r="L431">
            <v>39.355000000010477</v>
          </cell>
          <cell r="M431">
            <v>54.839999999996508</v>
          </cell>
          <cell r="N431">
            <v>0</v>
          </cell>
          <cell r="O431">
            <v>0</v>
          </cell>
          <cell r="P431">
            <v>101.24000000000524</v>
          </cell>
          <cell r="Q431">
            <v>233.21600000000035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SP15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Trapped Energy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F435">
            <v>507.54000000003725</v>
          </cell>
          <cell r="G435">
            <v>1292.7240000000456</v>
          </cell>
          <cell r="H435">
            <v>1848.2330000000657</v>
          </cell>
          <cell r="I435">
            <v>2127.088000000047</v>
          </cell>
          <cell r="J435">
            <v>1803.9610000000102</v>
          </cell>
          <cell r="K435">
            <v>1102.1599999999162</v>
          </cell>
          <cell r="L435">
            <v>3211.98199999996</v>
          </cell>
          <cell r="M435">
            <v>978.50400000007357</v>
          </cell>
          <cell r="N435">
            <v>1049.6799999999348</v>
          </cell>
          <cell r="O435">
            <v>714.9100000000326</v>
          </cell>
          <cell r="P435">
            <v>1842.625</v>
          </cell>
          <cell r="Q435">
            <v>2723.0309999999008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7">
          <cell r="A437" t="str">
            <v>Total Special Sales For Resale</v>
          </cell>
          <cell r="F437">
            <v>507.54000000003725</v>
          </cell>
          <cell r="G437">
            <v>1292.7240000000456</v>
          </cell>
          <cell r="H437">
            <v>1848.2330000001239</v>
          </cell>
          <cell r="I437">
            <v>2127.0879999999888</v>
          </cell>
          <cell r="J437">
            <v>1803.9610000000102</v>
          </cell>
          <cell r="K437">
            <v>1102.1599999999162</v>
          </cell>
          <cell r="L437">
            <v>3211.98199999996</v>
          </cell>
          <cell r="M437">
            <v>978.50400000007357</v>
          </cell>
          <cell r="N437">
            <v>1049.6799999999348</v>
          </cell>
          <cell r="O437">
            <v>714.9100000000326</v>
          </cell>
          <cell r="P437">
            <v>1842.625</v>
          </cell>
          <cell r="Q437">
            <v>2723.0309999998426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F438" t="str">
            <v>=</v>
          </cell>
          <cell r="G438" t="str">
            <v>=</v>
          </cell>
          <cell r="H438" t="str">
            <v>=</v>
          </cell>
          <cell r="I438" t="str">
            <v>=</v>
          </cell>
          <cell r="J438" t="str">
            <v>=</v>
          </cell>
          <cell r="K438" t="str">
            <v>=</v>
          </cell>
          <cell r="L438" t="str">
            <v>=</v>
          </cell>
          <cell r="M438" t="str">
            <v>=</v>
          </cell>
          <cell r="N438" t="str">
            <v>=</v>
          </cell>
          <cell r="O438" t="str">
            <v>=</v>
          </cell>
          <cell r="P438" t="str">
            <v>=</v>
          </cell>
          <cell r="Q438" t="str">
            <v>=</v>
          </cell>
          <cell r="R438" t="str">
            <v>=</v>
          </cell>
          <cell r="S438" t="str">
            <v>=</v>
          </cell>
          <cell r="T438" t="str">
            <v>=</v>
          </cell>
          <cell r="U438" t="str">
            <v>=</v>
          </cell>
          <cell r="V438" t="str">
            <v>=</v>
          </cell>
          <cell r="W438" t="str">
            <v>=</v>
          </cell>
          <cell r="X438" t="str">
            <v>=</v>
          </cell>
          <cell r="Y438" t="str">
            <v>=</v>
          </cell>
          <cell r="Z438" t="str">
            <v>=</v>
          </cell>
          <cell r="AA438" t="str">
            <v>=</v>
          </cell>
          <cell r="AB438" t="str">
            <v>=</v>
          </cell>
          <cell r="AC438" t="str">
            <v>=</v>
          </cell>
          <cell r="AD438" t="str">
            <v>=</v>
          </cell>
          <cell r="AE438" t="str">
            <v>=</v>
          </cell>
          <cell r="AF438" t="str">
            <v>=</v>
          </cell>
          <cell r="AG438" t="str">
            <v>=</v>
          </cell>
          <cell r="AH438" t="str">
            <v>=</v>
          </cell>
          <cell r="AI438" t="str">
            <v>=</v>
          </cell>
          <cell r="AJ438" t="str">
            <v>=</v>
          </cell>
          <cell r="AK438" t="str">
            <v>=</v>
          </cell>
          <cell r="AL438" t="str">
            <v>=</v>
          </cell>
          <cell r="AM438" t="str">
            <v>=</v>
          </cell>
          <cell r="AN438" t="str">
            <v>=</v>
          </cell>
          <cell r="AO438" t="str">
            <v>=</v>
          </cell>
          <cell r="AP438" t="str">
            <v>=</v>
          </cell>
          <cell r="AQ438" t="str">
            <v>=</v>
          </cell>
          <cell r="AR438" t="str">
            <v>=</v>
          </cell>
          <cell r="AS438" t="str">
            <v>=</v>
          </cell>
          <cell r="AT438" t="str">
            <v>=</v>
          </cell>
          <cell r="AU438" t="str">
            <v>=</v>
          </cell>
          <cell r="AV438" t="str">
            <v>=</v>
          </cell>
          <cell r="AW438" t="str">
            <v>=</v>
          </cell>
          <cell r="AX438" t="str">
            <v>=</v>
          </cell>
          <cell r="AY438" t="str">
            <v>=</v>
          </cell>
          <cell r="AZ438" t="str">
            <v>=</v>
          </cell>
          <cell r="BA438" t="str">
            <v>=</v>
          </cell>
          <cell r="BB438" t="str">
            <v>=</v>
          </cell>
          <cell r="BC438" t="str">
            <v>=</v>
          </cell>
          <cell r="BD438" t="str">
            <v>=</v>
          </cell>
          <cell r="BE438" t="str">
            <v>=</v>
          </cell>
          <cell r="BF438" t="str">
            <v>=</v>
          </cell>
          <cell r="BG438" t="str">
            <v>=</v>
          </cell>
          <cell r="BH438" t="str">
            <v>=</v>
          </cell>
          <cell r="BI438" t="str">
            <v>=</v>
          </cell>
          <cell r="BJ438" t="str">
            <v>=</v>
          </cell>
          <cell r="BK438" t="str">
            <v>=</v>
          </cell>
          <cell r="BL438" t="str">
            <v>=</v>
          </cell>
          <cell r="BM438" t="str">
            <v>=</v>
          </cell>
          <cell r="BN438" t="str">
            <v>=</v>
          </cell>
          <cell r="BO438" t="str">
            <v>=</v>
          </cell>
          <cell r="BP438" t="str">
            <v>=</v>
          </cell>
          <cell r="BQ438" t="str">
            <v>=</v>
          </cell>
          <cell r="BR438" t="str">
            <v>=</v>
          </cell>
          <cell r="BS438" t="str">
            <v>=</v>
          </cell>
          <cell r="BT438" t="str">
            <v>=</v>
          </cell>
          <cell r="BU438" t="str">
            <v>=</v>
          </cell>
          <cell r="BV438" t="str">
            <v>=</v>
          </cell>
          <cell r="BW438" t="str">
            <v>=</v>
          </cell>
          <cell r="BX438" t="str">
            <v>=</v>
          </cell>
          <cell r="BY438" t="str">
            <v>=</v>
          </cell>
          <cell r="BZ438" t="str">
            <v>=</v>
          </cell>
          <cell r="CA438" t="str">
            <v>=</v>
          </cell>
          <cell r="CB438" t="str">
            <v>=</v>
          </cell>
          <cell r="CC438" t="str">
            <v>=</v>
          </cell>
          <cell r="CD438" t="str">
            <v>=</v>
          </cell>
          <cell r="CE438" t="str">
            <v>=</v>
          </cell>
          <cell r="CF438" t="str">
            <v>=</v>
          </cell>
          <cell r="CG438" t="str">
            <v>=</v>
          </cell>
          <cell r="CH438" t="str">
            <v>=</v>
          </cell>
          <cell r="CI438" t="str">
            <v>=</v>
          </cell>
          <cell r="CJ438" t="str">
            <v>=</v>
          </cell>
          <cell r="CK438" t="str">
            <v>=</v>
          </cell>
          <cell r="CL438" t="str">
            <v>=</v>
          </cell>
          <cell r="CM438" t="str">
            <v>=</v>
          </cell>
          <cell r="CN438" t="str">
            <v>=</v>
          </cell>
          <cell r="CO438" t="str">
            <v>=</v>
          </cell>
          <cell r="CP438" t="str">
            <v>=</v>
          </cell>
          <cell r="CQ438" t="str">
            <v>=</v>
          </cell>
          <cell r="CR438" t="str">
            <v>=</v>
          </cell>
          <cell r="CS438" t="str">
            <v>=</v>
          </cell>
          <cell r="CT438" t="str">
            <v>=</v>
          </cell>
          <cell r="CU438" t="str">
            <v>=</v>
          </cell>
          <cell r="CV438" t="str">
            <v>=</v>
          </cell>
          <cell r="CW438" t="str">
            <v>=</v>
          </cell>
          <cell r="CX438" t="str">
            <v>=</v>
          </cell>
          <cell r="CY438" t="str">
            <v>=</v>
          </cell>
          <cell r="CZ438" t="str">
            <v>=</v>
          </cell>
          <cell r="DA438" t="str">
            <v>=</v>
          </cell>
          <cell r="DB438" t="str">
            <v>=</v>
          </cell>
          <cell r="DC438" t="str">
            <v>=</v>
          </cell>
          <cell r="DD438" t="str">
            <v>=</v>
          </cell>
          <cell r="DE438" t="str">
            <v>=</v>
          </cell>
          <cell r="DF438" t="str">
            <v>=</v>
          </cell>
          <cell r="DG438" t="str">
            <v>=</v>
          </cell>
          <cell r="DH438" t="str">
            <v>=</v>
          </cell>
          <cell r="DI438" t="str">
            <v>=</v>
          </cell>
          <cell r="DJ438" t="str">
            <v>=</v>
          </cell>
          <cell r="DK438" t="str">
            <v>=</v>
          </cell>
          <cell r="DL438" t="str">
            <v>=</v>
          </cell>
          <cell r="DM438" t="str">
            <v>=</v>
          </cell>
          <cell r="DN438" t="str">
            <v>=</v>
          </cell>
          <cell r="DO438" t="str">
            <v>=</v>
          </cell>
          <cell r="DP438" t="str">
            <v>=</v>
          </cell>
          <cell r="DQ438" t="str">
            <v>=</v>
          </cell>
          <cell r="DR438" t="str">
            <v>=</v>
          </cell>
          <cell r="DS438" t="str">
            <v>=</v>
          </cell>
          <cell r="DT438" t="str">
            <v>=</v>
          </cell>
          <cell r="DU438" t="str">
            <v>=</v>
          </cell>
          <cell r="DV438" t="str">
            <v>=</v>
          </cell>
          <cell r="DW438" t="str">
            <v>=</v>
          </cell>
          <cell r="DX438" t="str">
            <v>=</v>
          </cell>
          <cell r="DY438" t="str">
            <v>=</v>
          </cell>
          <cell r="DZ438" t="str">
            <v>=</v>
          </cell>
          <cell r="EA438" t="str">
            <v>=</v>
          </cell>
          <cell r="EB438" t="str">
            <v>=</v>
          </cell>
          <cell r="EC438" t="str">
            <v>=</v>
          </cell>
          <cell r="ED438" t="str">
            <v>=</v>
          </cell>
        </row>
        <row r="439">
          <cell r="A439" t="str">
            <v>Total Requirements</v>
          </cell>
          <cell r="F439">
            <v>507.54000000003725</v>
          </cell>
          <cell r="G439">
            <v>1292.7240000003949</v>
          </cell>
          <cell r="H439">
            <v>1848.2330000000075</v>
          </cell>
          <cell r="I439">
            <v>2127.0880000004545</v>
          </cell>
          <cell r="J439">
            <v>1803.9610000001267</v>
          </cell>
          <cell r="K439">
            <v>1102.160000000149</v>
          </cell>
          <cell r="L439">
            <v>3211.9819999998435</v>
          </cell>
          <cell r="M439">
            <v>978.50400000065565</v>
          </cell>
          <cell r="N439">
            <v>1049.679999999702</v>
          </cell>
          <cell r="O439">
            <v>714.91000000014901</v>
          </cell>
          <cell r="P439">
            <v>1842.625</v>
          </cell>
          <cell r="Q439">
            <v>2723.0310000004247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0">
          <cell r="F440" t="str">
            <v>=</v>
          </cell>
          <cell r="G440" t="str">
            <v>=</v>
          </cell>
          <cell r="H440" t="str">
            <v>=</v>
          </cell>
          <cell r="I440" t="str">
            <v>=</v>
          </cell>
          <cell r="J440" t="str">
            <v>=</v>
          </cell>
          <cell r="K440" t="str">
            <v>=</v>
          </cell>
          <cell r="L440" t="str">
            <v>=</v>
          </cell>
          <cell r="M440" t="str">
            <v>=</v>
          </cell>
          <cell r="N440" t="str">
            <v>=</v>
          </cell>
          <cell r="O440" t="str">
            <v>=</v>
          </cell>
          <cell r="P440" t="str">
            <v>=</v>
          </cell>
          <cell r="Q440" t="str">
            <v>=</v>
          </cell>
          <cell r="R440" t="str">
            <v>=</v>
          </cell>
          <cell r="S440" t="str">
            <v>=</v>
          </cell>
          <cell r="T440" t="str">
            <v>=</v>
          </cell>
          <cell r="U440" t="str">
            <v>=</v>
          </cell>
          <cell r="V440" t="str">
            <v>=</v>
          </cell>
          <cell r="W440" t="str">
            <v>=</v>
          </cell>
          <cell r="X440" t="str">
            <v>=</v>
          </cell>
          <cell r="Y440" t="str">
            <v>=</v>
          </cell>
          <cell r="Z440" t="str">
            <v>=</v>
          </cell>
          <cell r="AA440" t="str">
            <v>=</v>
          </cell>
          <cell r="AB440" t="str">
            <v>=</v>
          </cell>
          <cell r="AC440" t="str">
            <v>=</v>
          </cell>
          <cell r="AD440" t="str">
            <v>=</v>
          </cell>
          <cell r="AE440" t="str">
            <v>=</v>
          </cell>
          <cell r="AF440" t="str">
            <v>=</v>
          </cell>
          <cell r="AG440" t="str">
            <v>=</v>
          </cell>
          <cell r="AH440" t="str">
            <v>=</v>
          </cell>
          <cell r="AI440" t="str">
            <v>=</v>
          </cell>
          <cell r="AJ440" t="str">
            <v>=</v>
          </cell>
          <cell r="AK440" t="str">
            <v>=</v>
          </cell>
          <cell r="AL440" t="str">
            <v>=</v>
          </cell>
          <cell r="AM440" t="str">
            <v>=</v>
          </cell>
          <cell r="AN440" t="str">
            <v>=</v>
          </cell>
          <cell r="AO440" t="str">
            <v>=</v>
          </cell>
          <cell r="AP440" t="str">
            <v>=</v>
          </cell>
          <cell r="AQ440" t="str">
            <v>=</v>
          </cell>
          <cell r="AR440" t="str">
            <v>=</v>
          </cell>
          <cell r="AS440" t="str">
            <v>=</v>
          </cell>
          <cell r="AT440" t="str">
            <v>=</v>
          </cell>
          <cell r="AU440" t="str">
            <v>=</v>
          </cell>
          <cell r="AV440" t="str">
            <v>=</v>
          </cell>
          <cell r="AW440" t="str">
            <v>=</v>
          </cell>
          <cell r="AX440" t="str">
            <v>=</v>
          </cell>
          <cell r="AY440" t="str">
            <v>=</v>
          </cell>
          <cell r="AZ440" t="str">
            <v>=</v>
          </cell>
          <cell r="BA440" t="str">
            <v>=</v>
          </cell>
          <cell r="BB440" t="str">
            <v>=</v>
          </cell>
          <cell r="BC440" t="str">
            <v>=</v>
          </cell>
          <cell r="BD440" t="str">
            <v>=</v>
          </cell>
          <cell r="BE440" t="str">
            <v>=</v>
          </cell>
          <cell r="BF440" t="str">
            <v>=</v>
          </cell>
          <cell r="BG440" t="str">
            <v>=</v>
          </cell>
          <cell r="BH440" t="str">
            <v>=</v>
          </cell>
          <cell r="BI440" t="str">
            <v>=</v>
          </cell>
          <cell r="BJ440" t="str">
            <v>=</v>
          </cell>
          <cell r="BK440" t="str">
            <v>=</v>
          </cell>
          <cell r="BL440" t="str">
            <v>=</v>
          </cell>
          <cell r="BM440" t="str">
            <v>=</v>
          </cell>
          <cell r="BN440" t="str">
            <v>=</v>
          </cell>
          <cell r="BO440" t="str">
            <v>=</v>
          </cell>
          <cell r="BP440" t="str">
            <v>=</v>
          </cell>
          <cell r="BQ440" t="str">
            <v>=</v>
          </cell>
          <cell r="BR440" t="str">
            <v>=</v>
          </cell>
          <cell r="BS440" t="str">
            <v>=</v>
          </cell>
          <cell r="BT440" t="str">
            <v>=</v>
          </cell>
          <cell r="BU440" t="str">
            <v>=</v>
          </cell>
          <cell r="BV440" t="str">
            <v>=</v>
          </cell>
          <cell r="BW440" t="str">
            <v>=</v>
          </cell>
          <cell r="BX440" t="str">
            <v>=</v>
          </cell>
          <cell r="BY440" t="str">
            <v>=</v>
          </cell>
          <cell r="BZ440" t="str">
            <v>=</v>
          </cell>
          <cell r="CA440" t="str">
            <v>=</v>
          </cell>
          <cell r="CB440" t="str">
            <v>=</v>
          </cell>
          <cell r="CC440" t="str">
            <v>=</v>
          </cell>
          <cell r="CD440" t="str">
            <v>=</v>
          </cell>
          <cell r="CE440" t="str">
            <v>=</v>
          </cell>
          <cell r="CF440" t="str">
            <v>=</v>
          </cell>
          <cell r="CG440" t="str">
            <v>=</v>
          </cell>
          <cell r="CH440" t="str">
            <v>=</v>
          </cell>
          <cell r="CI440" t="str">
            <v>=</v>
          </cell>
          <cell r="CJ440" t="str">
            <v>=</v>
          </cell>
          <cell r="CK440" t="str">
            <v>=</v>
          </cell>
          <cell r="CL440" t="str">
            <v>=</v>
          </cell>
          <cell r="CM440" t="str">
            <v>=</v>
          </cell>
          <cell r="CN440" t="str">
            <v>=</v>
          </cell>
          <cell r="CO440" t="str">
            <v>=</v>
          </cell>
          <cell r="CP440" t="str">
            <v>=</v>
          </cell>
          <cell r="CQ440" t="str">
            <v>=</v>
          </cell>
          <cell r="CR440" t="str">
            <v>=</v>
          </cell>
          <cell r="CS440" t="str">
            <v>=</v>
          </cell>
          <cell r="CT440" t="str">
            <v>=</v>
          </cell>
          <cell r="CU440" t="str">
            <v>=</v>
          </cell>
          <cell r="CV440" t="str">
            <v>=</v>
          </cell>
          <cell r="CW440" t="str">
            <v>=</v>
          </cell>
          <cell r="CX440" t="str">
            <v>=</v>
          </cell>
          <cell r="CY440" t="str">
            <v>=</v>
          </cell>
          <cell r="CZ440" t="str">
            <v>=</v>
          </cell>
          <cell r="DA440" t="str">
            <v>=</v>
          </cell>
          <cell r="DB440" t="str">
            <v>=</v>
          </cell>
          <cell r="DC440" t="str">
            <v>=</v>
          </cell>
          <cell r="DD440" t="str">
            <v>=</v>
          </cell>
          <cell r="DE440" t="str">
            <v>=</v>
          </cell>
          <cell r="DF440" t="str">
            <v>=</v>
          </cell>
          <cell r="DG440" t="str">
            <v>=</v>
          </cell>
          <cell r="DH440" t="str">
            <v>=</v>
          </cell>
          <cell r="DI440" t="str">
            <v>=</v>
          </cell>
          <cell r="DJ440" t="str">
            <v>=</v>
          </cell>
          <cell r="DK440" t="str">
            <v>=</v>
          </cell>
          <cell r="DL440" t="str">
            <v>=</v>
          </cell>
          <cell r="DM440" t="str">
            <v>=</v>
          </cell>
          <cell r="DN440" t="str">
            <v>=</v>
          </cell>
          <cell r="DO440" t="str">
            <v>=</v>
          </cell>
          <cell r="DP440" t="str">
            <v>=</v>
          </cell>
          <cell r="DQ440" t="str">
            <v>=</v>
          </cell>
          <cell r="DR440" t="str">
            <v>=</v>
          </cell>
          <cell r="DS440" t="str">
            <v>=</v>
          </cell>
          <cell r="DT440" t="str">
            <v>=</v>
          </cell>
          <cell r="DU440" t="str">
            <v>=</v>
          </cell>
          <cell r="DV440" t="str">
            <v>=</v>
          </cell>
          <cell r="DW440" t="str">
            <v>=</v>
          </cell>
          <cell r="DX440" t="str">
            <v>=</v>
          </cell>
          <cell r="DY440" t="str">
            <v>=</v>
          </cell>
          <cell r="DZ440" t="str">
            <v>=</v>
          </cell>
          <cell r="EA440" t="str">
            <v>=</v>
          </cell>
          <cell r="EB440" t="str">
            <v>=</v>
          </cell>
          <cell r="EC440" t="str">
            <v>=</v>
          </cell>
          <cell r="ED440" t="str">
            <v>=</v>
          </cell>
        </row>
        <row r="442">
          <cell r="A442" t="str">
            <v>Purchased Power &amp; Net Interchange</v>
          </cell>
        </row>
        <row r="444">
          <cell r="C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6">
          <cell r="C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</row>
        <row r="447">
          <cell r="C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8">
          <cell r="C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</row>
        <row r="449">
          <cell r="C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0">
          <cell r="C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</row>
        <row r="451">
          <cell r="C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2">
          <cell r="C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</row>
        <row r="453">
          <cell r="C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</row>
        <row r="454">
          <cell r="C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6">
          <cell r="C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</row>
        <row r="457">
          <cell r="C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</row>
        <row r="458">
          <cell r="C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</row>
        <row r="459">
          <cell r="C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</row>
        <row r="460">
          <cell r="C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3">
          <cell r="C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</row>
        <row r="464">
          <cell r="C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5">
          <cell r="C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</row>
        <row r="466">
          <cell r="C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7">
          <cell r="C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</row>
        <row r="468">
          <cell r="C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</row>
        <row r="469">
          <cell r="C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C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</row>
        <row r="471">
          <cell r="C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5">
          <cell r="C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</row>
        <row r="476">
          <cell r="C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</row>
        <row r="477">
          <cell r="C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78">
          <cell r="C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</row>
        <row r="479">
          <cell r="C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</row>
        <row r="480">
          <cell r="C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4">
          <cell r="C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</row>
        <row r="485">
          <cell r="C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7">
          <cell r="C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</row>
        <row r="488">
          <cell r="C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89">
          <cell r="C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</row>
        <row r="490">
          <cell r="C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1">
          <cell r="C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</row>
        <row r="492">
          <cell r="C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</row>
        <row r="493">
          <cell r="C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-137.74206860002596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3">
          <cell r="C503" t="str">
            <v>QF - 435 - UT - Gas</v>
          </cell>
          <cell r="F503">
            <v>15810</v>
          </cell>
          <cell r="G503">
            <v>14280</v>
          </cell>
          <cell r="H503">
            <v>15810</v>
          </cell>
          <cell r="I503">
            <v>15300</v>
          </cell>
          <cell r="J503">
            <v>15810</v>
          </cell>
          <cell r="K503">
            <v>15300</v>
          </cell>
          <cell r="L503">
            <v>15810</v>
          </cell>
          <cell r="M503">
            <v>15810</v>
          </cell>
          <cell r="N503">
            <v>15300</v>
          </cell>
          <cell r="O503">
            <v>15810</v>
          </cell>
          <cell r="P503">
            <v>15300</v>
          </cell>
          <cell r="Q503">
            <v>15810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4">
          <cell r="C504" t="str">
            <v>Curtailment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</row>
        <row r="505">
          <cell r="C505" t="str">
            <v>Net Generation</v>
          </cell>
          <cell r="F505">
            <v>15810</v>
          </cell>
          <cell r="G505">
            <v>14280</v>
          </cell>
          <cell r="H505">
            <v>15810</v>
          </cell>
          <cell r="I505">
            <v>15300</v>
          </cell>
          <cell r="J505">
            <v>15810</v>
          </cell>
          <cell r="K505">
            <v>15300</v>
          </cell>
          <cell r="L505">
            <v>15810</v>
          </cell>
          <cell r="M505">
            <v>15810</v>
          </cell>
          <cell r="N505">
            <v>15300</v>
          </cell>
          <cell r="O505">
            <v>15810</v>
          </cell>
          <cell r="P505">
            <v>15300</v>
          </cell>
          <cell r="Q505">
            <v>15810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7">
          <cell r="C507" t="str">
            <v>Potential QFs  -  Central Oregon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T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70">
          <cell r="F570">
            <v>15810</v>
          </cell>
          <cell r="G570">
            <v>14280</v>
          </cell>
          <cell r="H570">
            <v>15810</v>
          </cell>
          <cell r="I570">
            <v>15300.000000000233</v>
          </cell>
          <cell r="J570">
            <v>15810</v>
          </cell>
          <cell r="K570">
            <v>15299.999999999884</v>
          </cell>
          <cell r="L570">
            <v>15810</v>
          </cell>
          <cell r="M570">
            <v>15809.999999999942</v>
          </cell>
          <cell r="N570">
            <v>15300.000000000116</v>
          </cell>
          <cell r="O570">
            <v>15810</v>
          </cell>
          <cell r="P570">
            <v>15300</v>
          </cell>
          <cell r="Q570">
            <v>15810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</row>
        <row r="580">
          <cell r="F580">
            <v>15810</v>
          </cell>
          <cell r="G580">
            <v>14280</v>
          </cell>
          <cell r="H580">
            <v>15810</v>
          </cell>
          <cell r="I580">
            <v>15162.257931400207</v>
          </cell>
          <cell r="J580">
            <v>15810</v>
          </cell>
          <cell r="K580">
            <v>15299.999999999884</v>
          </cell>
          <cell r="L580">
            <v>15810</v>
          </cell>
          <cell r="M580">
            <v>15809.999999999942</v>
          </cell>
          <cell r="N580">
            <v>15300.000000000116</v>
          </cell>
          <cell r="O580">
            <v>15810</v>
          </cell>
          <cell r="P580">
            <v>15300</v>
          </cell>
          <cell r="Q580">
            <v>15810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</row>
        <row r="609">
          <cell r="F609">
            <v>0</v>
          </cell>
          <cell r="G609">
            <v>0</v>
          </cell>
          <cell r="H609">
            <v>-82.52599999999984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-185.7039999999979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</row>
        <row r="610">
          <cell r="F610">
            <v>-313.39427000000001</v>
          </cell>
          <cell r="G610">
            <v>-546.51699999999983</v>
          </cell>
          <cell r="H610">
            <v>-833.29000000000815</v>
          </cell>
          <cell r="I610">
            <v>-558.25599999999758</v>
          </cell>
          <cell r="J610">
            <v>-343.89099999999962</v>
          </cell>
          <cell r="K610">
            <v>0</v>
          </cell>
          <cell r="L610">
            <v>-41.881349999999998</v>
          </cell>
          <cell r="M610">
            <v>-20.941406600000001</v>
          </cell>
          <cell r="N610">
            <v>-87.591870000000029</v>
          </cell>
          <cell r="O610">
            <v>-61.895099999999957</v>
          </cell>
          <cell r="P610">
            <v>-573.66700000000128</v>
          </cell>
          <cell r="Q610">
            <v>-913.75800000000163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1">
          <cell r="F611">
            <v>0</v>
          </cell>
          <cell r="G611">
            <v>-319.16400000000067</v>
          </cell>
          <cell r="H611">
            <v>-1826.8199999999997</v>
          </cell>
          <cell r="I611">
            <v>-2235.351999999999</v>
          </cell>
          <cell r="J611">
            <v>-1466.0900000000111</v>
          </cell>
          <cell r="K611">
            <v>-2087.8369999999995</v>
          </cell>
          <cell r="L611">
            <v>-854.47999999999956</v>
          </cell>
          <cell r="M611">
            <v>-2378.7810000000027</v>
          </cell>
          <cell r="N611">
            <v>-1735.4180000000051</v>
          </cell>
          <cell r="O611">
            <v>-1646.0579999999973</v>
          </cell>
          <cell r="P611">
            <v>0</v>
          </cell>
          <cell r="Q611">
            <v>-749.03000000001339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</row>
        <row r="612">
          <cell r="F612">
            <v>118.01536999999996</v>
          </cell>
          <cell r="G612">
            <v>-761.53299999999581</v>
          </cell>
          <cell r="H612">
            <v>-69.783999999999651</v>
          </cell>
          <cell r="I612">
            <v>-53.227000000000771</v>
          </cell>
          <cell r="J612">
            <v>-106.90700000000015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-300.19140000000061</v>
          </cell>
          <cell r="P612">
            <v>-312.78850000000011</v>
          </cell>
          <cell r="Q612">
            <v>-1254.8529999999992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</row>
        <row r="613">
          <cell r="F613">
            <v>0</v>
          </cell>
          <cell r="G613">
            <v>0</v>
          </cell>
          <cell r="H613">
            <v>-8.7778400000000829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7">
          <cell r="F617">
            <v>-195.3788999999997</v>
          </cell>
          <cell r="G617">
            <v>-1627.2140000000072</v>
          </cell>
          <cell r="H617">
            <v>-2821.1978400000371</v>
          </cell>
          <cell r="I617">
            <v>-2846.8350000000064</v>
          </cell>
          <cell r="J617">
            <v>-1916.8880000000208</v>
          </cell>
          <cell r="K617">
            <v>-2087.8369999999995</v>
          </cell>
          <cell r="L617">
            <v>-896.36134999999922</v>
          </cell>
          <cell r="M617">
            <v>-2585.4264066000178</v>
          </cell>
          <cell r="N617">
            <v>-1823.0098700000017</v>
          </cell>
          <cell r="O617">
            <v>-2008.1445000000022</v>
          </cell>
          <cell r="P617">
            <v>-886.45550000000003</v>
          </cell>
          <cell r="Q617">
            <v>-2917.6410000000033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9">
          <cell r="A619" t="str">
            <v xml:space="preserve">Total Purchased Power &amp; Net Interchange </v>
          </cell>
          <cell r="F619">
            <v>15614.621099999989</v>
          </cell>
          <cell r="G619">
            <v>12652.78600000008</v>
          </cell>
          <cell r="H619">
            <v>12988.802159999963</v>
          </cell>
          <cell r="I619">
            <v>12315.422931400361</v>
          </cell>
          <cell r="J619">
            <v>13893.111999999965</v>
          </cell>
          <cell r="K619">
            <v>13212.162999999709</v>
          </cell>
          <cell r="L619">
            <v>14913.638650000095</v>
          </cell>
          <cell r="M619">
            <v>13224.573593399953</v>
          </cell>
          <cell r="N619">
            <v>13476.990130000049</v>
          </cell>
          <cell r="O619">
            <v>13801.855500000063</v>
          </cell>
          <cell r="P619">
            <v>14413.544500000076</v>
          </cell>
          <cell r="Q619">
            <v>12892.358999999939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1">
          <cell r="A621" t="str">
            <v>Coal Generation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</row>
        <row r="623">
          <cell r="F623">
            <v>0</v>
          </cell>
          <cell r="G623">
            <v>-21.249997999984771</v>
          </cell>
          <cell r="H623">
            <v>-23.34975600001053</v>
          </cell>
          <cell r="I623">
            <v>-43.600000000005821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</row>
        <row r="625">
          <cell r="F625">
            <v>0</v>
          </cell>
          <cell r="G625">
            <v>0</v>
          </cell>
          <cell r="H625">
            <v>-61.649998000008054</v>
          </cell>
          <cell r="I625">
            <v>-43.118379999999888</v>
          </cell>
          <cell r="J625">
            <v>-212.49999100004788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</row>
        <row r="626">
          <cell r="F626">
            <v>-279.20311200000287</v>
          </cell>
          <cell r="G626">
            <v>-211.42494300000544</v>
          </cell>
          <cell r="H626">
            <v>-96.398887999996077</v>
          </cell>
          <cell r="I626">
            <v>-53.733279000000039</v>
          </cell>
          <cell r="J626">
            <v>-77.265761999999086</v>
          </cell>
          <cell r="K626">
            <v>-141.79914599999756</v>
          </cell>
          <cell r="L626">
            <v>-162.30127000000357</v>
          </cell>
          <cell r="M626">
            <v>-278.67272600000433</v>
          </cell>
          <cell r="N626">
            <v>-168.09548599999107</v>
          </cell>
          <cell r="O626">
            <v>-252.95668499999738</v>
          </cell>
          <cell r="P626">
            <v>-295.31063499999436</v>
          </cell>
          <cell r="Q626">
            <v>-263.91270400000212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</row>
        <row r="627">
          <cell r="F627">
            <v>-3909.8615140001057</v>
          </cell>
          <cell r="G627">
            <v>-2159.7104060000274</v>
          </cell>
          <cell r="H627">
            <v>-2035.4747370000696</v>
          </cell>
          <cell r="I627">
            <v>-2282.0170299999882</v>
          </cell>
          <cell r="J627">
            <v>-4114.4483130000299</v>
          </cell>
          <cell r="K627">
            <v>-2173.5901369999629</v>
          </cell>
          <cell r="L627">
            <v>-1079.4030500000808</v>
          </cell>
          <cell r="M627">
            <v>-1338.7500429999782</v>
          </cell>
          <cell r="N627">
            <v>-1943.2900539999828</v>
          </cell>
          <cell r="O627">
            <v>-5069.89552000002</v>
          </cell>
          <cell r="P627">
            <v>-3349.8693780000322</v>
          </cell>
          <cell r="Q627">
            <v>-1936.448246999993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</row>
        <row r="628">
          <cell r="F628">
            <v>-7949.5500549999997</v>
          </cell>
          <cell r="G628">
            <v>-5364.2902980000363</v>
          </cell>
          <cell r="H628">
            <v>-4528.4823970000143</v>
          </cell>
          <cell r="I628">
            <v>-3855.8871689999942</v>
          </cell>
          <cell r="J628">
            <v>-4941.5102399999741</v>
          </cell>
          <cell r="K628">
            <v>-3722.8380419999594</v>
          </cell>
          <cell r="L628">
            <v>-4171.4694469999522</v>
          </cell>
          <cell r="M628">
            <v>-3490.7877100000624</v>
          </cell>
          <cell r="N628">
            <v>-4182.4445009999909</v>
          </cell>
          <cell r="O628">
            <v>-3935.8096500000102</v>
          </cell>
          <cell r="P628">
            <v>-4607.2565209999448</v>
          </cell>
          <cell r="Q628">
            <v>-4160.4133960000472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</row>
        <row r="629">
          <cell r="F629">
            <v>-296.24536000005901</v>
          </cell>
          <cell r="G629">
            <v>-363.82073999999557</v>
          </cell>
          <cell r="H629">
            <v>-1501.5165230000857</v>
          </cell>
          <cell r="I629">
            <v>-1121.1188180000754</v>
          </cell>
          <cell r="J629">
            <v>-549.02651999995578</v>
          </cell>
          <cell r="K629">
            <v>-628.66602599993348</v>
          </cell>
          <cell r="L629">
            <v>-220.42405999999028</v>
          </cell>
          <cell r="M629">
            <v>-42.5</v>
          </cell>
          <cell r="N629">
            <v>-509.99999799998477</v>
          </cell>
          <cell r="O629">
            <v>-985.03279000008479</v>
          </cell>
          <cell r="P629">
            <v>-493.79901199997403</v>
          </cell>
          <cell r="Q629">
            <v>-42.5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</row>
        <row r="630">
          <cell r="F630">
            <v>-1973.7424129999999</v>
          </cell>
          <cell r="G630">
            <v>-1910.6306590000022</v>
          </cell>
          <cell r="H630">
            <v>-1563.4362520000141</v>
          </cell>
          <cell r="I630">
            <v>-1284.5142859999905</v>
          </cell>
          <cell r="J630">
            <v>-905.97940100000415</v>
          </cell>
          <cell r="K630">
            <v>-2301.1887979999883</v>
          </cell>
          <cell r="L630">
            <v>-1642.7749679999833</v>
          </cell>
          <cell r="M630">
            <v>-2480.5880739999993</v>
          </cell>
          <cell r="N630">
            <v>-2368.6148819999944</v>
          </cell>
          <cell r="O630">
            <v>-1363.6611689999991</v>
          </cell>
          <cell r="P630">
            <v>-1913.7636350000103</v>
          </cell>
          <cell r="Q630">
            <v>-2428.3964229999983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-60.758929999996326</v>
          </cell>
          <cell r="J631">
            <v>-84.999990000011167</v>
          </cell>
          <cell r="K631">
            <v>-17.438419999991311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</row>
        <row r="634">
          <cell r="A634" t="str">
            <v>Total Coal Generation</v>
          </cell>
          <cell r="F634">
            <v>-14408.602454000153</v>
          </cell>
          <cell r="G634">
            <v>-10031.127044000197</v>
          </cell>
          <cell r="H634">
            <v>-9810.3085509999655</v>
          </cell>
          <cell r="I634">
            <v>-8744.7478919997811</v>
          </cell>
          <cell r="J634">
            <v>-10885.730217000004</v>
          </cell>
          <cell r="K634">
            <v>-8985.5205689999275</v>
          </cell>
          <cell r="L634">
            <v>-7276.372794999741</v>
          </cell>
          <cell r="M634">
            <v>-7631.2985529997386</v>
          </cell>
          <cell r="N634">
            <v>-9172.444920998998</v>
          </cell>
          <cell r="O634">
            <v>-11607.355814000126</v>
          </cell>
          <cell r="P634">
            <v>-10659.999181000516</v>
          </cell>
          <cell r="Q634">
            <v>-8831.6707700002007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</row>
        <row r="636">
          <cell r="A636" t="str">
            <v>Gas Generation</v>
          </cell>
        </row>
        <row r="637">
          <cell r="F637">
            <v>0</v>
          </cell>
          <cell r="G637">
            <v>-30.111100000009174</v>
          </cell>
          <cell r="H637">
            <v>-308.84551999997348</v>
          </cell>
          <cell r="I637">
            <v>-253.819960000008</v>
          </cell>
          <cell r="J637">
            <v>-381.9045299999998</v>
          </cell>
          <cell r="K637">
            <v>-743.02929999999469</v>
          </cell>
          <cell r="L637">
            <v>-510.15936999997939</v>
          </cell>
          <cell r="M637">
            <v>-257.40301999999792</v>
          </cell>
          <cell r="N637">
            <v>-457.51370999999926</v>
          </cell>
          <cell r="O637">
            <v>-195.6374300000025</v>
          </cell>
          <cell r="P637">
            <v>-392.14830999998958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</row>
        <row r="639">
          <cell r="F639">
            <v>-168.41873000000487</v>
          </cell>
          <cell r="G639">
            <v>-338.33751199999824</v>
          </cell>
          <cell r="H639">
            <v>-176.23970999999437</v>
          </cell>
          <cell r="I639">
            <v>-321.57592000000295</v>
          </cell>
          <cell r="J639">
            <v>-129.96417999998084</v>
          </cell>
          <cell r="K639">
            <v>-576.3680029999814</v>
          </cell>
          <cell r="L639">
            <v>-1046.7678420000011</v>
          </cell>
          <cell r="M639">
            <v>-879.44558500000858</v>
          </cell>
          <cell r="N639">
            <v>-780.94966499999282</v>
          </cell>
          <cell r="O639">
            <v>-244.02370000001974</v>
          </cell>
          <cell r="P639">
            <v>-346.44170799999847</v>
          </cell>
          <cell r="Q639">
            <v>-291.61370499999612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-0.30907999999908498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</row>
        <row r="641">
          <cell r="F641">
            <v>0</v>
          </cell>
          <cell r="G641">
            <v>-5.4213689999996859</v>
          </cell>
          <cell r="H641">
            <v>-3.09172099999887</v>
          </cell>
          <cell r="I641">
            <v>-1.8552935000006983</v>
          </cell>
          <cell r="J641">
            <v>-0.61838500000158092</v>
          </cell>
          <cell r="K641">
            <v>-53.245747000000847</v>
          </cell>
          <cell r="L641">
            <v>-82.828123999999661</v>
          </cell>
          <cell r="M641">
            <v>-295.6485625000023</v>
          </cell>
          <cell r="N641">
            <v>-47.339739000002737</v>
          </cell>
          <cell r="O641">
            <v>-23.312674000000698</v>
          </cell>
          <cell r="P641">
            <v>-2.4735719999989669</v>
          </cell>
          <cell r="Q641">
            <v>-3.0919339999963995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</row>
        <row r="642">
          <cell r="F642">
            <v>-91.319250000000466</v>
          </cell>
          <cell r="G642">
            <v>-139.08070000000589</v>
          </cell>
          <cell r="H642">
            <v>-71.883650000003399</v>
          </cell>
          <cell r="I642">
            <v>-270.14816000001156</v>
          </cell>
          <cell r="J642">
            <v>-249.75022999999783</v>
          </cell>
          <cell r="K642">
            <v>-305.12267000001157</v>
          </cell>
          <cell r="L642">
            <v>-402.99391000000469</v>
          </cell>
          <cell r="M642">
            <v>-285.25900000002002</v>
          </cell>
          <cell r="N642">
            <v>-515.77120999997715</v>
          </cell>
          <cell r="O642">
            <v>-248.9260999999824</v>
          </cell>
          <cell r="P642">
            <v>-253.33145999998669</v>
          </cell>
          <cell r="Q642">
            <v>-160.54924999998184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</row>
        <row r="643">
          <cell r="F643">
            <v>-311.22568000000319</v>
          </cell>
          <cell r="G643">
            <v>-560.58770999999251</v>
          </cell>
          <cell r="H643">
            <v>-554.66563999999198</v>
          </cell>
          <cell r="I643">
            <v>-441.69288999997661</v>
          </cell>
          <cell r="J643">
            <v>-387.55900000000838</v>
          </cell>
          <cell r="K643">
            <v>-1111.8913999999641</v>
          </cell>
          <cell r="L643">
            <v>-1219.7440000000061</v>
          </cell>
          <cell r="M643">
            <v>-1708.1647099999827</v>
          </cell>
          <cell r="N643">
            <v>-712.61890999996103</v>
          </cell>
          <cell r="O643">
            <v>-495.5266100000008</v>
          </cell>
          <cell r="P643">
            <v>-690.38474000000861</v>
          </cell>
          <cell r="Q643">
            <v>-722.25182999999379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</row>
        <row r="644">
          <cell r="F644">
            <v>-65.605149999988498</v>
          </cell>
          <cell r="G644">
            <v>-219.74570299999323</v>
          </cell>
          <cell r="H644">
            <v>-215.52904500000295</v>
          </cell>
          <cell r="I644">
            <v>-113.28452800001833</v>
          </cell>
          <cell r="J644">
            <v>-33.011259999999311</v>
          </cell>
          <cell r="K644">
            <v>-240.55772900002194</v>
          </cell>
          <cell r="L644">
            <v>-662.5913559999899</v>
          </cell>
          <cell r="M644">
            <v>-567.83977800002322</v>
          </cell>
          <cell r="N644">
            <v>-343.13637300001574</v>
          </cell>
          <cell r="O644">
            <v>-208.69748199998867</v>
          </cell>
          <cell r="P644">
            <v>-129.77309299999615</v>
          </cell>
          <cell r="Q644">
            <v>-54.395519999990938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</row>
        <row r="645">
          <cell r="F645">
            <v>-61.894718999999981</v>
          </cell>
          <cell r="G645">
            <v>-35.620394999999917</v>
          </cell>
          <cell r="H645">
            <v>0</v>
          </cell>
          <cell r="I645">
            <v>-41.263701799999922</v>
          </cell>
          <cell r="J645">
            <v>-20.631621999999993</v>
          </cell>
          <cell r="K645">
            <v>-94.284225999999762</v>
          </cell>
          <cell r="L645">
            <v>-458.24255260000064</v>
          </cell>
          <cell r="M645">
            <v>-620.71158519999881</v>
          </cell>
          <cell r="N645">
            <v>-397.58414699999958</v>
          </cell>
          <cell r="O645">
            <v>-63.469004999999925</v>
          </cell>
          <cell r="P645">
            <v>-96.376675999999861</v>
          </cell>
          <cell r="Q645">
            <v>-105.73214609999923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</row>
        <row r="647">
          <cell r="A647" t="str">
            <v>Total Gas Generation</v>
          </cell>
          <cell r="F647">
            <v>-698.46352899982594</v>
          </cell>
          <cell r="G647">
            <v>-1328.9044889999786</v>
          </cell>
          <cell r="H647">
            <v>-1330.2552859999705</v>
          </cell>
          <cell r="I647">
            <v>-1443.6404532999732</v>
          </cell>
          <cell r="J647">
            <v>-1203.4392069999594</v>
          </cell>
          <cell r="K647">
            <v>-3124.4990749999415</v>
          </cell>
          <cell r="L647">
            <v>-4383.3271545998286</v>
          </cell>
          <cell r="M647">
            <v>-4614.7813206999563</v>
          </cell>
          <cell r="N647">
            <v>-3254.9137540000957</v>
          </cell>
          <cell r="O647">
            <v>-1479.5930010001175</v>
          </cell>
          <cell r="P647">
            <v>-1910.9295589998364</v>
          </cell>
          <cell r="Q647">
            <v>-1337.6343850998674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</row>
        <row r="649">
          <cell r="A649" t="str">
            <v>Hydro Generation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</row>
        <row r="653">
          <cell r="A653" t="str">
            <v>Total Hydro Generation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T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</row>
        <row r="655">
          <cell r="A655" t="str">
            <v>Other Generation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8">
          <cell r="F658" t="e">
            <v>#VALUE!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 t="e">
            <v>#VALUE!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 t="e">
            <v>#VALUE!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 t="e">
            <v>#VALUE!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 t="e">
            <v>#VALUE!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 t="e">
            <v>#VALUE!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 t="e">
            <v>#VALUE!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5">
          <cell r="F665" t="e">
            <v>#VALUE!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</row>
        <row r="666">
          <cell r="F666" t="e">
            <v>#VALUE!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 t="e">
            <v>#VALUE!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 t="e">
            <v>#VALUE!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 t="e">
            <v>#VALUE!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 t="e">
            <v>#VALUE!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 t="e">
            <v>#VALUE!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 t="e">
            <v>#VALUE!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 t="e">
            <v>#VALUE!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 t="e">
            <v>#VALUE!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 t="e">
            <v>#VALUE!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 t="e">
            <v>#VALUE!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 t="e">
            <v>#VALUE!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1">
          <cell r="F681" t="e">
            <v>#VALUE!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3">
          <cell r="A683" t="str">
            <v>Total Other Generation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</row>
        <row r="685">
          <cell r="A685" t="str">
            <v>IRP Resources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7"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  <cell r="DD712">
            <v>0</v>
          </cell>
          <cell r="DE712">
            <v>0</v>
          </cell>
          <cell r="DF712">
            <v>0</v>
          </cell>
          <cell r="DG712">
            <v>0</v>
          </cell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T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0</v>
          </cell>
          <cell r="CV714">
            <v>0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  <cell r="DD714">
            <v>0</v>
          </cell>
          <cell r="DE714">
            <v>0</v>
          </cell>
          <cell r="DF714">
            <v>0</v>
          </cell>
          <cell r="DG714">
            <v>0</v>
          </cell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T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0</v>
          </cell>
          <cell r="CU715">
            <v>0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  <cell r="DD715">
            <v>0</v>
          </cell>
          <cell r="DE715">
            <v>0</v>
          </cell>
          <cell r="DF715">
            <v>0</v>
          </cell>
          <cell r="DG715">
            <v>0</v>
          </cell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T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T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0</v>
          </cell>
          <cell r="CU725">
            <v>0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0</v>
          </cell>
          <cell r="DA725">
            <v>0</v>
          </cell>
          <cell r="DB725">
            <v>0</v>
          </cell>
          <cell r="DC725">
            <v>0</v>
          </cell>
          <cell r="DD725">
            <v>0</v>
          </cell>
          <cell r="DE725">
            <v>0</v>
          </cell>
          <cell r="DF725">
            <v>0</v>
          </cell>
          <cell r="DG725">
            <v>0</v>
          </cell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T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0</v>
          </cell>
          <cell r="CU726">
            <v>0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</row>
        <row r="729"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3">
          <cell r="A763" t="str">
            <v>Total IRP Resources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</row>
        <row r="765">
          <cell r="A765" t="str">
            <v>Growth Station Resources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-41.881750000000011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</row>
        <row r="771"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</row>
        <row r="774">
          <cell r="A774" t="str">
            <v>Total Growth Station Resources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-41.881750000000011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</row>
        <row r="775">
          <cell r="F775" t="str">
            <v>=</v>
          </cell>
          <cell r="G775" t="str">
            <v>=</v>
          </cell>
          <cell r="H775" t="str">
            <v>=</v>
          </cell>
          <cell r="I775" t="str">
            <v>=</v>
          </cell>
          <cell r="J775" t="str">
            <v>=</v>
          </cell>
          <cell r="K775" t="str">
            <v>=</v>
          </cell>
          <cell r="L775" t="str">
            <v>=</v>
          </cell>
          <cell r="M775" t="str">
            <v>=</v>
          </cell>
          <cell r="N775" t="str">
            <v>=</v>
          </cell>
          <cell r="O775" t="str">
            <v>=</v>
          </cell>
          <cell r="P775" t="str">
            <v>=</v>
          </cell>
          <cell r="Q775" t="str">
            <v>=</v>
          </cell>
          <cell r="R775" t="str">
            <v>=</v>
          </cell>
          <cell r="S775" t="str">
            <v>=</v>
          </cell>
          <cell r="T775" t="str">
            <v>=</v>
          </cell>
          <cell r="U775" t="str">
            <v>=</v>
          </cell>
          <cell r="V775" t="str">
            <v>=</v>
          </cell>
          <cell r="W775" t="str">
            <v>=</v>
          </cell>
          <cell r="X775" t="str">
            <v>=</v>
          </cell>
          <cell r="Y775" t="str">
            <v>=</v>
          </cell>
          <cell r="Z775" t="str">
            <v>=</v>
          </cell>
          <cell r="AA775" t="str">
            <v>=</v>
          </cell>
          <cell r="AB775" t="str">
            <v>=</v>
          </cell>
          <cell r="AC775" t="str">
            <v>=</v>
          </cell>
          <cell r="AD775" t="str">
            <v>=</v>
          </cell>
          <cell r="AE775" t="str">
            <v>=</v>
          </cell>
          <cell r="AF775" t="str">
            <v>=</v>
          </cell>
          <cell r="AG775" t="str">
            <v>=</v>
          </cell>
          <cell r="AH775" t="str">
            <v>=</v>
          </cell>
          <cell r="AI775" t="str">
            <v>=</v>
          </cell>
          <cell r="AJ775" t="str">
            <v>=</v>
          </cell>
          <cell r="AK775" t="str">
            <v>=</v>
          </cell>
          <cell r="AL775" t="str">
            <v>=</v>
          </cell>
          <cell r="AM775" t="str">
            <v>=</v>
          </cell>
          <cell r="AN775" t="str">
            <v>=</v>
          </cell>
          <cell r="AO775" t="str">
            <v>=</v>
          </cell>
          <cell r="AP775" t="str">
            <v>=</v>
          </cell>
          <cell r="AQ775" t="str">
            <v>=</v>
          </cell>
          <cell r="AR775" t="str">
            <v>=</v>
          </cell>
          <cell r="AS775" t="str">
            <v>=</v>
          </cell>
          <cell r="AT775" t="str">
            <v>=</v>
          </cell>
          <cell r="AU775" t="str">
            <v>=</v>
          </cell>
          <cell r="AV775" t="str">
            <v>=</v>
          </cell>
          <cell r="AW775" t="str">
            <v>=</v>
          </cell>
          <cell r="AX775" t="str">
            <v>=</v>
          </cell>
          <cell r="AY775" t="str">
            <v>=</v>
          </cell>
          <cell r="AZ775" t="str">
            <v>=</v>
          </cell>
          <cell r="BA775" t="str">
            <v>=</v>
          </cell>
          <cell r="BB775" t="str">
            <v>=</v>
          </cell>
          <cell r="BC775" t="str">
            <v>=</v>
          </cell>
          <cell r="BD775" t="str">
            <v>=</v>
          </cell>
          <cell r="BE775" t="str">
            <v>=</v>
          </cell>
          <cell r="BF775" t="str">
            <v>=</v>
          </cell>
          <cell r="BG775" t="str">
            <v>=</v>
          </cell>
          <cell r="BH775" t="str">
            <v>=</v>
          </cell>
          <cell r="BI775" t="str">
            <v>=</v>
          </cell>
          <cell r="BJ775" t="str">
            <v>=</v>
          </cell>
          <cell r="BK775" t="str">
            <v>=</v>
          </cell>
          <cell r="BL775" t="str">
            <v>=</v>
          </cell>
          <cell r="BM775" t="str">
            <v>=</v>
          </cell>
          <cell r="BN775" t="str">
            <v>=</v>
          </cell>
          <cell r="BO775" t="str">
            <v>=</v>
          </cell>
          <cell r="BP775" t="str">
            <v>=</v>
          </cell>
          <cell r="BQ775" t="str">
            <v>=</v>
          </cell>
          <cell r="BR775" t="str">
            <v>=</v>
          </cell>
          <cell r="BS775" t="str">
            <v>=</v>
          </cell>
          <cell r="BT775" t="str">
            <v>=</v>
          </cell>
          <cell r="BU775" t="str">
            <v>=</v>
          </cell>
          <cell r="BV775" t="str">
            <v>=</v>
          </cell>
          <cell r="BW775" t="str">
            <v>=</v>
          </cell>
          <cell r="BX775" t="str">
            <v>=</v>
          </cell>
          <cell r="BY775" t="str">
            <v>=</v>
          </cell>
          <cell r="BZ775" t="str">
            <v>=</v>
          </cell>
          <cell r="CA775" t="str">
            <v>=</v>
          </cell>
          <cell r="CB775" t="str">
            <v>=</v>
          </cell>
          <cell r="CC775" t="str">
            <v>=</v>
          </cell>
          <cell r="CD775" t="str">
            <v>=</v>
          </cell>
          <cell r="CE775" t="str">
            <v>=</v>
          </cell>
          <cell r="CF775" t="str">
            <v>=</v>
          </cell>
          <cell r="CG775" t="str">
            <v>=</v>
          </cell>
          <cell r="CH775" t="str">
            <v>=</v>
          </cell>
          <cell r="CI775" t="str">
            <v>=</v>
          </cell>
          <cell r="CJ775" t="str">
            <v>=</v>
          </cell>
          <cell r="CK775" t="str">
            <v>=</v>
          </cell>
          <cell r="CL775" t="str">
            <v>=</v>
          </cell>
          <cell r="CM775" t="str">
            <v>=</v>
          </cell>
          <cell r="CN775" t="str">
            <v>=</v>
          </cell>
          <cell r="CO775" t="str">
            <v>=</v>
          </cell>
          <cell r="CP775" t="str">
            <v>=</v>
          </cell>
          <cell r="CQ775" t="str">
            <v>=</v>
          </cell>
          <cell r="CR775" t="str">
            <v>=</v>
          </cell>
          <cell r="CS775" t="str">
            <v>=</v>
          </cell>
          <cell r="CT775" t="str">
            <v>=</v>
          </cell>
          <cell r="CU775" t="str">
            <v>=</v>
          </cell>
          <cell r="CV775" t="str">
            <v>=</v>
          </cell>
          <cell r="CW775" t="str">
            <v>=</v>
          </cell>
          <cell r="CX775" t="str">
            <v>=</v>
          </cell>
          <cell r="CY775" t="str">
            <v>=</v>
          </cell>
          <cell r="CZ775" t="str">
            <v>=</v>
          </cell>
          <cell r="DA775" t="str">
            <v>=</v>
          </cell>
          <cell r="DB775" t="str">
            <v>=</v>
          </cell>
          <cell r="DC775" t="str">
            <v>=</v>
          </cell>
          <cell r="DD775" t="str">
            <v>=</v>
          </cell>
          <cell r="DE775" t="str">
            <v>=</v>
          </cell>
          <cell r="DF775" t="str">
            <v>=</v>
          </cell>
          <cell r="DG775" t="str">
            <v>=</v>
          </cell>
          <cell r="DH775" t="str">
            <v>=</v>
          </cell>
          <cell r="DI775" t="str">
            <v>=</v>
          </cell>
          <cell r="DJ775" t="str">
            <v>=</v>
          </cell>
          <cell r="DK775" t="str">
            <v>=</v>
          </cell>
          <cell r="DL775" t="str">
            <v>=</v>
          </cell>
          <cell r="DM775" t="str">
            <v>=</v>
          </cell>
          <cell r="DN775" t="str">
            <v>=</v>
          </cell>
          <cell r="DO775" t="str">
            <v>=</v>
          </cell>
          <cell r="DP775" t="str">
            <v>=</v>
          </cell>
          <cell r="DQ775" t="str">
            <v>=</v>
          </cell>
          <cell r="DR775" t="str">
            <v>=</v>
          </cell>
          <cell r="DS775" t="str">
            <v>=</v>
          </cell>
          <cell r="DT775" t="str">
            <v>=</v>
          </cell>
          <cell r="DU775" t="str">
            <v>=</v>
          </cell>
          <cell r="DV775" t="str">
            <v>=</v>
          </cell>
          <cell r="DW775" t="str">
            <v>=</v>
          </cell>
          <cell r="DX775" t="str">
            <v>=</v>
          </cell>
          <cell r="DY775" t="str">
            <v>=</v>
          </cell>
          <cell r="DZ775" t="str">
            <v>=</v>
          </cell>
          <cell r="EA775" t="str">
            <v>=</v>
          </cell>
          <cell r="EB775" t="str">
            <v>=</v>
          </cell>
          <cell r="EC775" t="str">
            <v>=</v>
          </cell>
          <cell r="ED775" t="str">
            <v>=</v>
          </cell>
        </row>
        <row r="776">
          <cell r="A776" t="str">
            <v>Total Resources</v>
          </cell>
          <cell r="F776">
            <v>507.55511699989438</v>
          </cell>
          <cell r="G776">
            <v>1292.7544670002535</v>
          </cell>
          <cell r="H776">
            <v>1848.2383230002597</v>
          </cell>
          <cell r="I776">
            <v>2127.0345860999078</v>
          </cell>
          <cell r="J776">
            <v>1803.9425759995356</v>
          </cell>
          <cell r="K776">
            <v>1102.1433559991419</v>
          </cell>
          <cell r="L776">
            <v>3212.0569504005834</v>
          </cell>
          <cell r="M776">
            <v>978.49371969979256</v>
          </cell>
          <cell r="N776">
            <v>1049.6314550014213</v>
          </cell>
          <cell r="O776">
            <v>714.90668499842286</v>
          </cell>
          <cell r="P776">
            <v>1842.6157599994913</v>
          </cell>
          <cell r="Q776">
            <v>2723.0538448998705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</row>
        <row r="777">
          <cell r="F777" t="str">
            <v>=</v>
          </cell>
          <cell r="G777" t="str">
            <v>=</v>
          </cell>
          <cell r="H777" t="str">
            <v>=</v>
          </cell>
          <cell r="I777" t="str">
            <v>=</v>
          </cell>
          <cell r="J777" t="str">
            <v>=</v>
          </cell>
          <cell r="K777" t="str">
            <v>=</v>
          </cell>
          <cell r="L777" t="str">
            <v>=</v>
          </cell>
          <cell r="M777" t="str">
            <v>=</v>
          </cell>
          <cell r="N777" t="str">
            <v>=</v>
          </cell>
          <cell r="O777" t="str">
            <v>=</v>
          </cell>
          <cell r="P777" t="str">
            <v>=</v>
          </cell>
          <cell r="Q777" t="str">
            <v>=</v>
          </cell>
          <cell r="R777" t="str">
            <v>=</v>
          </cell>
          <cell r="S777" t="str">
            <v>=</v>
          </cell>
          <cell r="T777" t="str">
            <v>=</v>
          </cell>
          <cell r="U777" t="str">
            <v>=</v>
          </cell>
          <cell r="V777" t="str">
            <v>=</v>
          </cell>
          <cell r="W777" t="str">
            <v>=</v>
          </cell>
          <cell r="X777" t="str">
            <v>=</v>
          </cell>
          <cell r="Y777" t="str">
            <v>=</v>
          </cell>
          <cell r="Z777" t="str">
            <v>=</v>
          </cell>
          <cell r="AA777" t="str">
            <v>=</v>
          </cell>
          <cell r="AB777" t="str">
            <v>=</v>
          </cell>
          <cell r="AC777" t="str">
            <v>=</v>
          </cell>
          <cell r="AD777" t="str">
            <v>=</v>
          </cell>
          <cell r="AE777" t="str">
            <v>=</v>
          </cell>
          <cell r="AF777" t="str">
            <v>=</v>
          </cell>
          <cell r="AG777" t="str">
            <v>=</v>
          </cell>
          <cell r="AH777" t="str">
            <v>=</v>
          </cell>
          <cell r="AI777" t="str">
            <v>=</v>
          </cell>
          <cell r="AJ777" t="str">
            <v>=</v>
          </cell>
          <cell r="AK777" t="str">
            <v>=</v>
          </cell>
          <cell r="AL777" t="str">
            <v>=</v>
          </cell>
          <cell r="AM777" t="str">
            <v>=</v>
          </cell>
          <cell r="AN777" t="str">
            <v>=</v>
          </cell>
          <cell r="AO777" t="str">
            <v>=</v>
          </cell>
          <cell r="AP777" t="str">
            <v>=</v>
          </cell>
          <cell r="AQ777" t="str">
            <v>=</v>
          </cell>
          <cell r="AR777" t="str">
            <v>=</v>
          </cell>
          <cell r="AS777" t="str">
            <v>=</v>
          </cell>
          <cell r="AT777" t="str">
            <v>=</v>
          </cell>
          <cell r="AU777" t="str">
            <v>=</v>
          </cell>
          <cell r="AV777" t="str">
            <v>=</v>
          </cell>
          <cell r="AW777" t="str">
            <v>=</v>
          </cell>
          <cell r="AX777" t="str">
            <v>=</v>
          </cell>
          <cell r="AY777" t="str">
            <v>=</v>
          </cell>
          <cell r="AZ777" t="str">
            <v>=</v>
          </cell>
          <cell r="BA777" t="str">
            <v>=</v>
          </cell>
          <cell r="BB777" t="str">
            <v>=</v>
          </cell>
          <cell r="BC777" t="str">
            <v>=</v>
          </cell>
          <cell r="BD777" t="str">
            <v>=</v>
          </cell>
          <cell r="BE777" t="str">
            <v>=</v>
          </cell>
          <cell r="BF777" t="str">
            <v>=</v>
          </cell>
          <cell r="BG777" t="str">
            <v>=</v>
          </cell>
          <cell r="BH777" t="str">
            <v>=</v>
          </cell>
          <cell r="BI777" t="str">
            <v>=</v>
          </cell>
          <cell r="BJ777" t="str">
            <v>=</v>
          </cell>
          <cell r="BK777" t="str">
            <v>=</v>
          </cell>
          <cell r="BL777" t="str">
            <v>=</v>
          </cell>
          <cell r="BM777" t="str">
            <v>=</v>
          </cell>
          <cell r="BN777" t="str">
            <v>=</v>
          </cell>
          <cell r="BO777" t="str">
            <v>=</v>
          </cell>
          <cell r="BP777" t="str">
            <v>=</v>
          </cell>
          <cell r="BQ777" t="str">
            <v>=</v>
          </cell>
          <cell r="BR777" t="str">
            <v>=</v>
          </cell>
          <cell r="BS777" t="str">
            <v>=</v>
          </cell>
          <cell r="BT777" t="str">
            <v>=</v>
          </cell>
          <cell r="BU777" t="str">
            <v>=</v>
          </cell>
          <cell r="BV777" t="str">
            <v>=</v>
          </cell>
          <cell r="BW777" t="str">
            <v>=</v>
          </cell>
          <cell r="BX777" t="str">
            <v>=</v>
          </cell>
          <cell r="BY777" t="str">
            <v>=</v>
          </cell>
          <cell r="BZ777" t="str">
            <v>=</v>
          </cell>
          <cell r="CA777" t="str">
            <v>=</v>
          </cell>
          <cell r="CB777" t="str">
            <v>=</v>
          </cell>
          <cell r="CC777" t="str">
            <v>=</v>
          </cell>
          <cell r="CD777" t="str">
            <v>=</v>
          </cell>
          <cell r="CE777" t="str">
            <v>=</v>
          </cell>
          <cell r="CF777" t="str">
            <v>=</v>
          </cell>
          <cell r="CG777" t="str">
            <v>=</v>
          </cell>
          <cell r="CH777" t="str">
            <v>=</v>
          </cell>
          <cell r="CI777" t="str">
            <v>=</v>
          </cell>
          <cell r="CJ777" t="str">
            <v>=</v>
          </cell>
          <cell r="CK777" t="str">
            <v>=</v>
          </cell>
          <cell r="CL777" t="str">
            <v>=</v>
          </cell>
          <cell r="CM777" t="str">
            <v>=</v>
          </cell>
          <cell r="CN777" t="str">
            <v>=</v>
          </cell>
          <cell r="CO777" t="str">
            <v>=</v>
          </cell>
          <cell r="CP777" t="str">
            <v>=</v>
          </cell>
          <cell r="CQ777" t="str">
            <v>=</v>
          </cell>
          <cell r="CR777" t="str">
            <v>=</v>
          </cell>
          <cell r="CS777" t="str">
            <v>=</v>
          </cell>
          <cell r="CT777" t="str">
            <v>=</v>
          </cell>
          <cell r="CU777" t="str">
            <v>=</v>
          </cell>
          <cell r="CV777" t="str">
            <v>=</v>
          </cell>
          <cell r="CW777" t="str">
            <v>=</v>
          </cell>
          <cell r="CX777" t="str">
            <v>=</v>
          </cell>
          <cell r="CY777" t="str">
            <v>=</v>
          </cell>
          <cell r="CZ777" t="str">
            <v>=</v>
          </cell>
          <cell r="DA777" t="str">
            <v>=</v>
          </cell>
          <cell r="DB777" t="str">
            <v>=</v>
          </cell>
          <cell r="DC777" t="str">
            <v>=</v>
          </cell>
          <cell r="DD777" t="str">
            <v>=</v>
          </cell>
          <cell r="DE777" t="str">
            <v>=</v>
          </cell>
          <cell r="DF777" t="str">
            <v>=</v>
          </cell>
          <cell r="DG777" t="str">
            <v>=</v>
          </cell>
          <cell r="DH777" t="str">
            <v>=</v>
          </cell>
          <cell r="DI777" t="str">
            <v>=</v>
          </cell>
          <cell r="DJ777" t="str">
            <v>=</v>
          </cell>
          <cell r="DK777" t="str">
            <v>=</v>
          </cell>
          <cell r="DL777" t="str">
            <v>=</v>
          </cell>
          <cell r="DM777" t="str">
            <v>=</v>
          </cell>
          <cell r="DN777" t="str">
            <v>=</v>
          </cell>
          <cell r="DO777" t="str">
            <v>=</v>
          </cell>
          <cell r="DP777" t="str">
            <v>=</v>
          </cell>
          <cell r="DQ777" t="str">
            <v>=</v>
          </cell>
          <cell r="DR777" t="str">
            <v>=</v>
          </cell>
          <cell r="DS777" t="str">
            <v>=</v>
          </cell>
          <cell r="DT777" t="str">
            <v>=</v>
          </cell>
          <cell r="DU777" t="str">
            <v>=</v>
          </cell>
          <cell r="DV777" t="str">
            <v>=</v>
          </cell>
          <cell r="DW777" t="str">
            <v>=</v>
          </cell>
          <cell r="DX777" t="str">
            <v>=</v>
          </cell>
          <cell r="DY777" t="str">
            <v>=</v>
          </cell>
          <cell r="DZ777" t="str">
            <v>=</v>
          </cell>
          <cell r="EA777" t="str">
            <v>=</v>
          </cell>
          <cell r="EB777" t="str">
            <v>=</v>
          </cell>
          <cell r="EC777" t="str">
            <v>=</v>
          </cell>
          <cell r="ED777" t="str">
            <v>=</v>
          </cell>
        </row>
        <row r="778"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/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F778" t="str">
            <v/>
          </cell>
          <cell r="AG778" t="str">
            <v/>
          </cell>
          <cell r="AH778" t="str">
            <v/>
          </cell>
          <cell r="AI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/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  <cell r="BI778" t="str">
            <v/>
          </cell>
          <cell r="BJ778" t="str">
            <v/>
          </cell>
          <cell r="BK778" t="str">
            <v/>
          </cell>
          <cell r="BL778" t="str">
            <v/>
          </cell>
          <cell r="BM778" t="str">
            <v/>
          </cell>
          <cell r="BN778" t="str">
            <v/>
          </cell>
          <cell r="BO778" t="str">
            <v/>
          </cell>
          <cell r="BP778" t="str">
            <v/>
          </cell>
          <cell r="BQ778" t="str">
            <v/>
          </cell>
          <cell r="BR778" t="str">
            <v/>
          </cell>
          <cell r="BS778" t="str">
            <v/>
          </cell>
          <cell r="BT778" t="str">
            <v/>
          </cell>
          <cell r="BU778" t="str">
            <v/>
          </cell>
          <cell r="BV778" t="str">
            <v/>
          </cell>
          <cell r="BW778" t="str">
            <v/>
          </cell>
          <cell r="BX778" t="str">
            <v/>
          </cell>
          <cell r="BY778" t="str">
            <v/>
          </cell>
          <cell r="BZ778" t="str">
            <v/>
          </cell>
          <cell r="CA778" t="str">
            <v/>
          </cell>
          <cell r="CB778" t="str">
            <v/>
          </cell>
          <cell r="CC778" t="str">
            <v/>
          </cell>
          <cell r="CD778" t="str">
            <v/>
          </cell>
          <cell r="CE778" t="str">
            <v/>
          </cell>
          <cell r="CF778" t="str">
            <v/>
          </cell>
          <cell r="CG778" t="str">
            <v/>
          </cell>
          <cell r="CH778" t="str">
            <v/>
          </cell>
          <cell r="CI778" t="str">
            <v/>
          </cell>
          <cell r="CJ778" t="str">
            <v/>
          </cell>
          <cell r="CK778" t="str">
            <v/>
          </cell>
          <cell r="CL778" t="str">
            <v/>
          </cell>
          <cell r="CM778" t="str">
            <v/>
          </cell>
          <cell r="CN778" t="str">
            <v/>
          </cell>
          <cell r="CO778" t="str">
            <v/>
          </cell>
          <cell r="CP778" t="str">
            <v/>
          </cell>
          <cell r="CQ778" t="str">
            <v/>
          </cell>
          <cell r="CR778" t="str">
            <v/>
          </cell>
          <cell r="CS778" t="str">
            <v/>
          </cell>
          <cell r="CT778" t="str">
            <v/>
          </cell>
          <cell r="CU778" t="str">
            <v/>
          </cell>
          <cell r="CV778" t="str">
            <v/>
          </cell>
          <cell r="CW778" t="str">
            <v/>
          </cell>
          <cell r="CX778" t="str">
            <v/>
          </cell>
          <cell r="CY778" t="str">
            <v/>
          </cell>
          <cell r="CZ778" t="str">
            <v/>
          </cell>
          <cell r="DA778" t="str">
            <v/>
          </cell>
          <cell r="DB778" t="str">
            <v/>
          </cell>
          <cell r="DC778" t="str">
            <v/>
          </cell>
          <cell r="DD778" t="str">
            <v/>
          </cell>
          <cell r="DE778" t="str">
            <v/>
          </cell>
          <cell r="DF778" t="str">
            <v/>
          </cell>
          <cell r="DG778" t="str">
            <v/>
          </cell>
          <cell r="DH778" t="str">
            <v/>
          </cell>
          <cell r="DI778" t="str">
            <v/>
          </cell>
          <cell r="DJ778" t="str">
            <v/>
          </cell>
          <cell r="DK778" t="str">
            <v/>
          </cell>
          <cell r="DL778" t="str">
            <v/>
          </cell>
          <cell r="DM778" t="str">
            <v/>
          </cell>
          <cell r="DN778" t="str">
            <v/>
          </cell>
          <cell r="DO778" t="str">
            <v/>
          </cell>
          <cell r="DP778" t="str">
            <v/>
          </cell>
          <cell r="DQ778" t="str">
            <v/>
          </cell>
          <cell r="DR778" t="str">
            <v/>
          </cell>
          <cell r="DS778" t="str">
            <v/>
          </cell>
          <cell r="DT778" t="str">
            <v/>
          </cell>
          <cell r="DU778" t="str">
            <v/>
          </cell>
          <cell r="DV778" t="str">
            <v/>
          </cell>
          <cell r="DW778" t="str">
            <v/>
          </cell>
          <cell r="DX778" t="str">
            <v/>
          </cell>
          <cell r="DY778" t="str">
            <v/>
          </cell>
          <cell r="DZ778" t="str">
            <v/>
          </cell>
          <cell r="EA778" t="str">
            <v/>
          </cell>
          <cell r="EB778" t="str">
            <v/>
          </cell>
          <cell r="EC778" t="str">
            <v/>
          </cell>
          <cell r="ED778" t="str">
            <v/>
          </cell>
        </row>
        <row r="779"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/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F779" t="str">
            <v/>
          </cell>
          <cell r="AG779" t="str">
            <v/>
          </cell>
          <cell r="AH779" t="str">
            <v/>
          </cell>
          <cell r="AI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/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  <cell r="BI779" t="str">
            <v/>
          </cell>
          <cell r="BJ779" t="str">
            <v/>
          </cell>
          <cell r="BK779" t="str">
            <v/>
          </cell>
          <cell r="BL779" t="str">
            <v/>
          </cell>
          <cell r="BM779" t="str">
            <v/>
          </cell>
          <cell r="BN779" t="str">
            <v/>
          </cell>
          <cell r="BO779" t="str">
            <v/>
          </cell>
          <cell r="BP779" t="str">
            <v/>
          </cell>
          <cell r="BQ779" t="str">
            <v/>
          </cell>
          <cell r="BR779" t="str">
            <v/>
          </cell>
          <cell r="BS779" t="str">
            <v/>
          </cell>
          <cell r="BT779" t="str">
            <v/>
          </cell>
          <cell r="BU779" t="str">
            <v/>
          </cell>
          <cell r="BV779" t="str">
            <v/>
          </cell>
          <cell r="BW779" t="str">
            <v/>
          </cell>
          <cell r="BX779" t="str">
            <v/>
          </cell>
          <cell r="BY779" t="str">
            <v/>
          </cell>
          <cell r="BZ779" t="str">
            <v/>
          </cell>
          <cell r="CA779" t="str">
            <v/>
          </cell>
          <cell r="CB779" t="str">
            <v/>
          </cell>
          <cell r="CC779" t="str">
            <v/>
          </cell>
          <cell r="CD779" t="str">
            <v/>
          </cell>
          <cell r="CE779" t="str">
            <v/>
          </cell>
          <cell r="CF779" t="str">
            <v/>
          </cell>
          <cell r="CG779" t="str">
            <v/>
          </cell>
          <cell r="CH779" t="str">
            <v/>
          </cell>
          <cell r="CI779" t="str">
            <v/>
          </cell>
          <cell r="CJ779" t="str">
            <v/>
          </cell>
          <cell r="CK779" t="str">
            <v/>
          </cell>
          <cell r="CL779" t="str">
            <v/>
          </cell>
          <cell r="CM779" t="str">
            <v/>
          </cell>
          <cell r="CN779" t="str">
            <v/>
          </cell>
          <cell r="CO779" t="str">
            <v/>
          </cell>
          <cell r="CP779" t="str">
            <v/>
          </cell>
          <cell r="CQ779" t="str">
            <v/>
          </cell>
          <cell r="CR779" t="str">
            <v/>
          </cell>
          <cell r="CS779" t="str">
            <v/>
          </cell>
          <cell r="CT779" t="str">
            <v/>
          </cell>
          <cell r="CU779" t="str">
            <v/>
          </cell>
          <cell r="CV779" t="str">
            <v/>
          </cell>
          <cell r="CW779" t="str">
            <v/>
          </cell>
          <cell r="CX779" t="str">
            <v/>
          </cell>
          <cell r="CY779" t="str">
            <v/>
          </cell>
          <cell r="CZ779" t="str">
            <v/>
          </cell>
          <cell r="DA779" t="str">
            <v/>
          </cell>
          <cell r="DB779" t="str">
            <v/>
          </cell>
          <cell r="DC779" t="str">
            <v/>
          </cell>
          <cell r="DD779" t="str">
            <v/>
          </cell>
          <cell r="DE779" t="str">
            <v/>
          </cell>
          <cell r="DF779" t="str">
            <v/>
          </cell>
          <cell r="DG779" t="str">
            <v/>
          </cell>
          <cell r="DH779" t="str">
            <v/>
          </cell>
          <cell r="DI779" t="str">
            <v/>
          </cell>
          <cell r="DJ779" t="str">
            <v/>
          </cell>
          <cell r="DK779" t="str">
            <v/>
          </cell>
          <cell r="DL779" t="str">
            <v/>
          </cell>
          <cell r="DM779" t="str">
            <v/>
          </cell>
          <cell r="DN779" t="str">
            <v/>
          </cell>
          <cell r="DO779" t="str">
            <v/>
          </cell>
          <cell r="DP779" t="str">
            <v/>
          </cell>
          <cell r="DQ779" t="str">
            <v/>
          </cell>
          <cell r="DR779" t="str">
            <v/>
          </cell>
          <cell r="DS779" t="str">
            <v/>
          </cell>
          <cell r="DT779" t="str">
            <v/>
          </cell>
          <cell r="DU779" t="str">
            <v/>
          </cell>
          <cell r="DV779" t="str">
            <v/>
          </cell>
          <cell r="DW779" t="str">
            <v/>
          </cell>
          <cell r="DX779" t="str">
            <v/>
          </cell>
          <cell r="DY779" t="str">
            <v/>
          </cell>
          <cell r="DZ779" t="str">
            <v/>
          </cell>
          <cell r="EA779" t="str">
            <v/>
          </cell>
          <cell r="EB779" t="str">
            <v/>
          </cell>
          <cell r="EC779" t="str">
            <v/>
          </cell>
          <cell r="ED779" t="str">
            <v/>
          </cell>
        </row>
        <row r="780">
          <cell r="J780" t="str">
            <v>"The Rack"</v>
          </cell>
          <cell r="W780" t="str">
            <v>"The Rack"</v>
          </cell>
          <cell r="AJ780" t="str">
            <v>"The Rack"</v>
          </cell>
          <cell r="AW780" t="str">
            <v>"The Rack"</v>
          </cell>
          <cell r="BJ780" t="str">
            <v>"The Rack"</v>
          </cell>
          <cell r="BW780" t="str">
            <v>"The Rack"</v>
          </cell>
          <cell r="CJ780" t="str">
            <v>"The Rack"</v>
          </cell>
          <cell r="CW780" t="str">
            <v>"The Rack"</v>
          </cell>
          <cell r="DJ780" t="str">
            <v>"The Rack"</v>
          </cell>
          <cell r="DW780" t="str">
            <v>"The Rack"</v>
          </cell>
        </row>
        <row r="782">
          <cell r="A782" t="str">
            <v>Fuel Burned  (MMBtu)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</row>
        <row r="784">
          <cell r="F784">
            <v>0</v>
          </cell>
          <cell r="G784">
            <v>-192.85999999998603</v>
          </cell>
          <cell r="H784">
            <v>-212.31000000005588</v>
          </cell>
          <cell r="I784">
            <v>-395.27000000001863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</row>
        <row r="786">
          <cell r="F786">
            <v>0</v>
          </cell>
          <cell r="G786">
            <v>0</v>
          </cell>
          <cell r="H786">
            <v>-640.02000000048429</v>
          </cell>
          <cell r="I786">
            <v>-439.10000000055879</v>
          </cell>
          <cell r="J786">
            <v>-2182.5999999996275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</row>
        <row r="787">
          <cell r="F787">
            <v>-2606.5799999999581</v>
          </cell>
          <cell r="G787">
            <v>-1973.7200000000303</v>
          </cell>
          <cell r="H787">
            <v>-904.90000000002328</v>
          </cell>
          <cell r="I787">
            <v>-506.17499999998836</v>
          </cell>
          <cell r="J787">
            <v>-730.13999999995576</v>
          </cell>
          <cell r="K787">
            <v>-1333.5100000000093</v>
          </cell>
          <cell r="L787">
            <v>-1529.9500000000116</v>
          </cell>
          <cell r="M787">
            <v>-2636.2699999999604</v>
          </cell>
          <cell r="N787">
            <v>-1573.7099999999627</v>
          </cell>
          <cell r="O787">
            <v>-2384.3239999999641</v>
          </cell>
          <cell r="P787">
            <v>-2791.0800000000163</v>
          </cell>
          <cell r="Q787">
            <v>-2473.0200000000186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</row>
        <row r="788">
          <cell r="F788">
            <v>-34031.799999999814</v>
          </cell>
          <cell r="G788">
            <v>-18940</v>
          </cell>
          <cell r="H788">
            <v>-17789.100000000559</v>
          </cell>
          <cell r="I788">
            <v>-19829.700000001118</v>
          </cell>
          <cell r="J788">
            <v>-35677.200000000186</v>
          </cell>
          <cell r="K788">
            <v>-18902.5</v>
          </cell>
          <cell r="L788">
            <v>-9385.2999999998137</v>
          </cell>
          <cell r="M788">
            <v>-11659.799999999814</v>
          </cell>
          <cell r="N788">
            <v>-16913.5</v>
          </cell>
          <cell r="O788">
            <v>-44231.199999999255</v>
          </cell>
          <cell r="P788">
            <v>-29025.099999999627</v>
          </cell>
          <cell r="Q788">
            <v>-17065.900000000373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</row>
        <row r="789">
          <cell r="F789">
            <v>-73758.699999999721</v>
          </cell>
          <cell r="G789">
            <v>-50237.999999999534</v>
          </cell>
          <cell r="H789">
            <v>-42063.800000000745</v>
          </cell>
          <cell r="I789">
            <v>-35925</v>
          </cell>
          <cell r="J789">
            <v>-45469.200000000186</v>
          </cell>
          <cell r="K789">
            <v>-34664.799999999814</v>
          </cell>
          <cell r="L789">
            <v>-39124.400000000373</v>
          </cell>
          <cell r="M789">
            <v>-33328.700000000186</v>
          </cell>
          <cell r="N789">
            <v>-39028</v>
          </cell>
          <cell r="O789">
            <v>-36391.799999999814</v>
          </cell>
          <cell r="P789">
            <v>-43085.200000000186</v>
          </cell>
          <cell r="Q789">
            <v>-38994.799999999814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</row>
        <row r="790">
          <cell r="F790">
            <v>-2780.7000000011176</v>
          </cell>
          <cell r="G790">
            <v>-3255.7000000001863</v>
          </cell>
          <cell r="H790">
            <v>-13434.499999999069</v>
          </cell>
          <cell r="I790">
            <v>-10101.299999999814</v>
          </cell>
          <cell r="J790">
            <v>-4937.5999999996275</v>
          </cell>
          <cell r="K790">
            <v>-5635.1000000005588</v>
          </cell>
          <cell r="L790">
            <v>-2106.5999999996275</v>
          </cell>
          <cell r="M790">
            <v>-400.20000000111759</v>
          </cell>
          <cell r="N790">
            <v>-4683.0999999996275</v>
          </cell>
          <cell r="O790">
            <v>-8874.8000000007451</v>
          </cell>
          <cell r="P790">
            <v>-4504.6000000014901</v>
          </cell>
          <cell r="Q790">
            <v>-360.80000000074506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-18811.419999999925</v>
          </cell>
          <cell r="G791">
            <v>-18131.560000000056</v>
          </cell>
          <cell r="H791">
            <v>-14867.370000000112</v>
          </cell>
          <cell r="I791">
            <v>-12233.129999999888</v>
          </cell>
          <cell r="J791">
            <v>-8590.5</v>
          </cell>
          <cell r="K791">
            <v>-22316.660000000149</v>
          </cell>
          <cell r="L791">
            <v>-15828.209999999963</v>
          </cell>
          <cell r="M791">
            <v>-23871.799999999814</v>
          </cell>
          <cell r="N791">
            <v>-22651.750000000233</v>
          </cell>
          <cell r="O791">
            <v>-13087.239999999991</v>
          </cell>
          <cell r="P791">
            <v>-18433.459999999963</v>
          </cell>
          <cell r="Q791">
            <v>-23283.200000000186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-686.0999999998603</v>
          </cell>
          <cell r="J792">
            <v>-954.20000000018626</v>
          </cell>
          <cell r="K792">
            <v>-197.9000000001397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4">
          <cell r="F794">
            <v>0</v>
          </cell>
          <cell r="G794">
            <v>-189.39999999990687</v>
          </cell>
          <cell r="H794">
            <v>-1919.6000000000931</v>
          </cell>
          <cell r="I794">
            <v>-1582.3499999999767</v>
          </cell>
          <cell r="J794">
            <v>-2376.6000000000931</v>
          </cell>
          <cell r="K794">
            <v>-4605.3000000000466</v>
          </cell>
          <cell r="L794">
            <v>-3161.8999999999069</v>
          </cell>
          <cell r="M794">
            <v>-1587.1999999999534</v>
          </cell>
          <cell r="N794">
            <v>-2841.7999999998137</v>
          </cell>
          <cell r="O794">
            <v>-1213.6000000000931</v>
          </cell>
          <cell r="P794">
            <v>-2445.6000000000931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-1072.089999999851</v>
          </cell>
          <cell r="G796">
            <v>-2127.8499999998603</v>
          </cell>
          <cell r="H796">
            <v>-1131.8920000002254</v>
          </cell>
          <cell r="I796">
            <v>-2016.3319999999367</v>
          </cell>
          <cell r="J796">
            <v>-805.75800000014715</v>
          </cell>
          <cell r="K796">
            <v>-3597.5600000000559</v>
          </cell>
          <cell r="L796">
            <v>-6827.0500000000466</v>
          </cell>
          <cell r="M796">
            <v>-5794.5100000000093</v>
          </cell>
          <cell r="N796">
            <v>-4828.9199999999255</v>
          </cell>
          <cell r="O796">
            <v>-1509.2909999999683</v>
          </cell>
          <cell r="P796">
            <v>-2254.1399999998976</v>
          </cell>
          <cell r="Q796">
            <v>-1963.8740000000689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-2.7000000000116415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-39.184000000008382</v>
          </cell>
          <cell r="H798">
            <v>-22.331999999994878</v>
          </cell>
          <cell r="I798">
            <v>-13.399999999994179</v>
          </cell>
          <cell r="J798">
            <v>-4.4600000000209548</v>
          </cell>
          <cell r="K798">
            <v>-384.95400000002701</v>
          </cell>
          <cell r="L798">
            <v>-598.54399999999441</v>
          </cell>
          <cell r="M798">
            <v>-2135.7300000000978</v>
          </cell>
          <cell r="N798">
            <v>-342.08100000000559</v>
          </cell>
          <cell r="O798">
            <v>-168.32999999995809</v>
          </cell>
          <cell r="P798">
            <v>-17.869999999995343</v>
          </cell>
          <cell r="Q798">
            <v>-22.320000000006985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-259.25</v>
          </cell>
          <cell r="G799">
            <v>-405.20000000001164</v>
          </cell>
          <cell r="H799">
            <v>-205.45000000001164</v>
          </cell>
          <cell r="I799">
            <v>-764.5</v>
          </cell>
          <cell r="J799">
            <v>-718.63499999998021</v>
          </cell>
          <cell r="K799">
            <v>-882.8300000000163</v>
          </cell>
          <cell r="L799">
            <v>-1154.7999999999884</v>
          </cell>
          <cell r="M799">
            <v>-806.40000000002328</v>
          </cell>
          <cell r="N799">
            <v>-1474.6999999999534</v>
          </cell>
          <cell r="O799">
            <v>-722.53000000002794</v>
          </cell>
          <cell r="P799">
            <v>-720.93999999994412</v>
          </cell>
          <cell r="Q799">
            <v>-456.72499999997672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-1939.5999999998603</v>
          </cell>
          <cell r="G800">
            <v>-3488</v>
          </cell>
          <cell r="H800">
            <v>-3446</v>
          </cell>
          <cell r="I800">
            <v>-2750</v>
          </cell>
          <cell r="J800">
            <v>-2410</v>
          </cell>
          <cell r="K800">
            <v>-6918</v>
          </cell>
          <cell r="L800">
            <v>-7592.8999999999069</v>
          </cell>
          <cell r="M800">
            <v>-10632</v>
          </cell>
          <cell r="N800">
            <v>-4437.1999999997206</v>
          </cell>
          <cell r="O800">
            <v>-3083.2000000001863</v>
          </cell>
          <cell r="P800">
            <v>-4302.5999999998603</v>
          </cell>
          <cell r="Q800">
            <v>-4490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-411.4000000001397</v>
          </cell>
          <cell r="G801">
            <v>-1318.1499999999069</v>
          </cell>
          <cell r="H801">
            <v>-1285.9569999999367</v>
          </cell>
          <cell r="I801">
            <v>-690.03300000005402</v>
          </cell>
          <cell r="J801">
            <v>-198.89999999990687</v>
          </cell>
          <cell r="K801">
            <v>-1600.6199999998789</v>
          </cell>
          <cell r="L801">
            <v>-4346.7299999999814</v>
          </cell>
          <cell r="M801">
            <v>-3956.2700000000186</v>
          </cell>
          <cell r="N801">
            <v>-2362.3300000000745</v>
          </cell>
          <cell r="O801">
            <v>-1322.0559999998659</v>
          </cell>
          <cell r="P801">
            <v>-836.73999999999069</v>
          </cell>
          <cell r="Q801">
            <v>-329.30000000004657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-563.65750000000025</v>
          </cell>
          <cell r="G802">
            <v>-334.57400000000052</v>
          </cell>
          <cell r="H802">
            <v>0</v>
          </cell>
          <cell r="I802">
            <v>-363.6929999999993</v>
          </cell>
          <cell r="J802">
            <v>-185.94300000000294</v>
          </cell>
          <cell r="K802">
            <v>-863.77999999999884</v>
          </cell>
          <cell r="L802">
            <v>-4225.3400000000256</v>
          </cell>
          <cell r="M802">
            <v>-5718.1899999999441</v>
          </cell>
          <cell r="N802">
            <v>-3631.6500000000233</v>
          </cell>
          <cell r="O802">
            <v>-573.0399999999936</v>
          </cell>
          <cell r="P802">
            <v>-871.26200000000244</v>
          </cell>
          <cell r="Q802">
            <v>-951.27599999999802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5">
          <cell r="A815" t="str">
            <v>Burn Rate (MMBtu/MWh)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1E-3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1E-3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</row>
        <row r="820">
          <cell r="F820">
            <v>1.2E-2</v>
          </cell>
          <cell r="G820">
            <v>8.0000000000000002E-3</v>
          </cell>
          <cell r="H820">
            <v>4.0000000000000001E-3</v>
          </cell>
          <cell r="I820">
            <v>2E-3</v>
          </cell>
          <cell r="J820">
            <v>3.0000000000000001E-3</v>
          </cell>
          <cell r="K820">
            <v>4.0000000000000001E-3</v>
          </cell>
          <cell r="L820">
            <v>4.0000000000000001E-3</v>
          </cell>
          <cell r="M820">
            <v>8.0000000000000002E-3</v>
          </cell>
          <cell r="N820">
            <v>5.0000000000000001E-3</v>
          </cell>
          <cell r="O820">
            <v>0.01</v>
          </cell>
          <cell r="P820">
            <v>8.9999999999999993E-3</v>
          </cell>
          <cell r="Q820">
            <v>7.0000000000000001E-3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</row>
        <row r="821">
          <cell r="F821">
            <v>6.0000000000000001E-3</v>
          </cell>
          <cell r="G821">
            <v>4.0000000000000001E-3</v>
          </cell>
          <cell r="H821">
            <v>4.0000000000000001E-3</v>
          </cell>
          <cell r="I821">
            <v>7.0000000000000001E-3</v>
          </cell>
          <cell r="J821">
            <v>8.9999999999999993E-3</v>
          </cell>
          <cell r="K821">
            <v>4.0000000000000001E-3</v>
          </cell>
          <cell r="L821">
            <v>2E-3</v>
          </cell>
          <cell r="M821">
            <v>2E-3</v>
          </cell>
          <cell r="N821">
            <v>3.0000000000000001E-3</v>
          </cell>
          <cell r="O821">
            <v>0.01</v>
          </cell>
          <cell r="P821">
            <v>6.0000000000000001E-3</v>
          </cell>
          <cell r="Q821">
            <v>3.0000000000000001E-3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</row>
        <row r="822">
          <cell r="F822">
            <v>3.4000000000000002E-2</v>
          </cell>
          <cell r="G822">
            <v>1.7000000000000001E-2</v>
          </cell>
          <cell r="H822">
            <v>1.6E-2</v>
          </cell>
          <cell r="I822">
            <v>1.6E-2</v>
          </cell>
          <cell r="J822">
            <v>2.8000000000000001E-2</v>
          </cell>
          <cell r="K822">
            <v>1.2E-2</v>
          </cell>
          <cell r="L822">
            <v>8.0000000000000002E-3</v>
          </cell>
          <cell r="M822">
            <v>5.0000000000000001E-3</v>
          </cell>
          <cell r="N822">
            <v>1.2E-2</v>
          </cell>
          <cell r="O822">
            <v>2.5000000000000001E-2</v>
          </cell>
          <cell r="P822">
            <v>1.7000000000000001E-2</v>
          </cell>
          <cell r="Q822">
            <v>8.9999999999999993E-3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</row>
        <row r="823">
          <cell r="F823">
            <v>0</v>
          </cell>
          <cell r="G823">
            <v>0</v>
          </cell>
          <cell r="H823">
            <v>2E-3</v>
          </cell>
          <cell r="I823">
            <v>2E-3</v>
          </cell>
          <cell r="J823">
            <v>1E-3</v>
          </cell>
          <cell r="K823">
            <v>1E-3</v>
          </cell>
          <cell r="L823">
            <v>0</v>
          </cell>
          <cell r="M823">
            <v>0</v>
          </cell>
          <cell r="N823">
            <v>1E-3</v>
          </cell>
          <cell r="O823">
            <v>1E-3</v>
          </cell>
          <cell r="P823">
            <v>1E-3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</row>
        <row r="824">
          <cell r="F824">
            <v>0.14399999999999999</v>
          </cell>
          <cell r="G824">
            <v>7.0999999999999994E-2</v>
          </cell>
          <cell r="H824">
            <v>5.0999999999999997E-2</v>
          </cell>
          <cell r="I824">
            <v>4.7E-2</v>
          </cell>
          <cell r="J824">
            <v>6.8000000000000005E-2</v>
          </cell>
          <cell r="K824">
            <v>0.04</v>
          </cell>
          <cell r="L824">
            <v>0.02</v>
          </cell>
          <cell r="M824">
            <v>2.8000000000000001E-2</v>
          </cell>
          <cell r="N824">
            <v>4.2999999999999997E-2</v>
          </cell>
          <cell r="O824">
            <v>5.0999999999999997E-2</v>
          </cell>
          <cell r="P824">
            <v>5.5E-2</v>
          </cell>
          <cell r="Q824">
            <v>4.8000000000000001E-2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1E-3</v>
          </cell>
          <cell r="J825">
            <v>1E-3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</row>
        <row r="827">
          <cell r="F827">
            <v>0</v>
          </cell>
          <cell r="G827">
            <v>0</v>
          </cell>
          <cell r="H827">
            <v>2E-3</v>
          </cell>
          <cell r="I827">
            <v>3.0000000000000001E-3</v>
          </cell>
          <cell r="J827">
            <v>3.0000000000000001E-3</v>
          </cell>
          <cell r="K827">
            <v>6.0000000000000001E-3</v>
          </cell>
          <cell r="L827">
            <v>3.0000000000000001E-3</v>
          </cell>
          <cell r="M827">
            <v>1E-3</v>
          </cell>
          <cell r="N827">
            <v>3.0000000000000001E-3</v>
          </cell>
          <cell r="O827">
            <v>1E-3</v>
          </cell>
          <cell r="P827">
            <v>3.0000000000000001E-3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</row>
        <row r="829">
          <cell r="F829">
            <v>1E-3</v>
          </cell>
          <cell r="G829">
            <v>3.0000000000000001E-3</v>
          </cell>
          <cell r="H829">
            <v>1E-3</v>
          </cell>
          <cell r="I829">
            <v>3.0000000000000001E-3</v>
          </cell>
          <cell r="J829">
            <v>2E-3</v>
          </cell>
          <cell r="K829">
            <v>4.0000000000000001E-3</v>
          </cell>
          <cell r="L829">
            <v>5.0000000000000001E-3</v>
          </cell>
          <cell r="M829">
            <v>4.0000000000000001E-3</v>
          </cell>
          <cell r="N829">
            <v>6.0000000000000001E-3</v>
          </cell>
          <cell r="O829">
            <v>2E-3</v>
          </cell>
          <cell r="P829">
            <v>2E-3</v>
          </cell>
          <cell r="Q829">
            <v>1E-3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</row>
        <row r="831">
          <cell r="F831">
            <v>0</v>
          </cell>
          <cell r="G831">
            <v>3.0000000000000001E-3</v>
          </cell>
          <cell r="H831">
            <v>2E-3</v>
          </cell>
          <cell r="I831">
            <v>1E-3</v>
          </cell>
          <cell r="J831">
            <v>0</v>
          </cell>
          <cell r="K831">
            <v>0.02</v>
          </cell>
          <cell r="L831">
            <v>2.3E-2</v>
          </cell>
          <cell r="M831">
            <v>5.6000000000000001E-2</v>
          </cell>
          <cell r="N831">
            <v>1.6E-2</v>
          </cell>
          <cell r="O831">
            <v>0.01</v>
          </cell>
          <cell r="P831">
            <v>1E-3</v>
          </cell>
          <cell r="Q831">
            <v>2E-3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</row>
        <row r="832">
          <cell r="F832">
            <v>1E-3</v>
          </cell>
          <cell r="G832">
            <v>2E-3</v>
          </cell>
          <cell r="H832">
            <v>2E-3</v>
          </cell>
          <cell r="I832">
            <v>5.0000000000000001E-3</v>
          </cell>
          <cell r="J832">
            <v>8.0000000000000002E-3</v>
          </cell>
          <cell r="K832">
            <v>6.0000000000000001E-3</v>
          </cell>
          <cell r="L832">
            <v>5.0000000000000001E-3</v>
          </cell>
          <cell r="M832">
            <v>3.0000000000000001E-3</v>
          </cell>
          <cell r="N832">
            <v>7.0000000000000001E-3</v>
          </cell>
          <cell r="O832">
            <v>3.0000000000000001E-3</v>
          </cell>
          <cell r="P832">
            <v>3.0000000000000001E-3</v>
          </cell>
          <cell r="Q832">
            <v>2E-3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</row>
        <row r="833">
          <cell r="F833">
            <v>1E-3</v>
          </cell>
          <cell r="G833">
            <v>2E-3</v>
          </cell>
          <cell r="H833">
            <v>2E-3</v>
          </cell>
          <cell r="I833">
            <v>2E-3</v>
          </cell>
          <cell r="J833">
            <v>2E-3</v>
          </cell>
          <cell r="K833">
            <v>4.0000000000000001E-3</v>
          </cell>
          <cell r="L833">
            <v>4.0000000000000001E-3</v>
          </cell>
          <cell r="M833">
            <v>6.0000000000000001E-3</v>
          </cell>
          <cell r="N833">
            <v>3.0000000000000001E-3</v>
          </cell>
          <cell r="O833">
            <v>2E-3</v>
          </cell>
          <cell r="P833">
            <v>3.0000000000000001E-3</v>
          </cell>
          <cell r="Q833">
            <v>3.0000000000000001E-3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</row>
        <row r="834">
          <cell r="F834">
            <v>0</v>
          </cell>
          <cell r="G834">
            <v>1E-3</v>
          </cell>
          <cell r="H834">
            <v>2E-3</v>
          </cell>
          <cell r="I834">
            <v>1E-3</v>
          </cell>
          <cell r="J834">
            <v>0</v>
          </cell>
          <cell r="K834">
            <v>1E-3</v>
          </cell>
          <cell r="L834">
            <v>2E-3</v>
          </cell>
          <cell r="M834">
            <v>1E-3</v>
          </cell>
          <cell r="N834">
            <v>0</v>
          </cell>
          <cell r="O834">
            <v>1E-3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</row>
        <row r="835">
          <cell r="F835">
            <v>2.3330000000000002</v>
          </cell>
          <cell r="G835">
            <v>0.17299999999999999</v>
          </cell>
          <cell r="H835">
            <v>0</v>
          </cell>
          <cell r="I835">
            <v>0.34100000000000003</v>
          </cell>
          <cell r="J835">
            <v>0.308</v>
          </cell>
          <cell r="K835">
            <v>0.159</v>
          </cell>
          <cell r="L835">
            <v>0.24</v>
          </cell>
          <cell r="M835">
            <v>0.32900000000000001</v>
          </cell>
          <cell r="N835">
            <v>0.40400000000000003</v>
          </cell>
          <cell r="O835">
            <v>0.182</v>
          </cell>
          <cell r="P835">
            <v>0.43</v>
          </cell>
          <cell r="Q835">
            <v>0.09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</row>
        <row r="848">
          <cell r="A848" t="str">
            <v>Average Fuel Cost ($/MMBtu)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  <cell r="DF866">
            <v>0</v>
          </cell>
          <cell r="DG866">
            <v>0</v>
          </cell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T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0</v>
          </cell>
          <cell r="CW878">
            <v>0</v>
          </cell>
          <cell r="CX878">
            <v>0</v>
          </cell>
          <cell r="CY878">
            <v>0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  <cell r="DF878">
            <v>0</v>
          </cell>
          <cell r="DG878">
            <v>0</v>
          </cell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T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1">
          <cell r="A881" t="str">
            <v>Peak Capacity (Nameplate)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  <cell r="DD885">
            <v>0</v>
          </cell>
          <cell r="DE885">
            <v>0</v>
          </cell>
          <cell r="DF885">
            <v>0</v>
          </cell>
          <cell r="DG885">
            <v>0</v>
          </cell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T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  <cell r="DF890">
            <v>0</v>
          </cell>
          <cell r="DG890">
            <v>0</v>
          </cell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T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899"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0</v>
          </cell>
          <cell r="CY899">
            <v>0</v>
          </cell>
          <cell r="CZ899">
            <v>0</v>
          </cell>
          <cell r="DA899">
            <v>0</v>
          </cell>
          <cell r="DB899">
            <v>0</v>
          </cell>
          <cell r="DC899">
            <v>0</v>
          </cell>
          <cell r="DD899">
            <v>0</v>
          </cell>
          <cell r="DE899">
            <v>0</v>
          </cell>
          <cell r="DF899">
            <v>0</v>
          </cell>
          <cell r="DG899">
            <v>0</v>
          </cell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T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</row>
        <row r="901"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0</v>
          </cell>
          <cell r="CU901">
            <v>0</v>
          </cell>
          <cell r="CV901">
            <v>0</v>
          </cell>
          <cell r="CW901">
            <v>0</v>
          </cell>
          <cell r="CX901">
            <v>0</v>
          </cell>
          <cell r="CY901">
            <v>0</v>
          </cell>
          <cell r="CZ901">
            <v>0</v>
          </cell>
          <cell r="DA901">
            <v>0</v>
          </cell>
          <cell r="DB901">
            <v>0</v>
          </cell>
          <cell r="DC901">
            <v>0</v>
          </cell>
          <cell r="DD901">
            <v>0</v>
          </cell>
          <cell r="DE901">
            <v>0</v>
          </cell>
          <cell r="DF901">
            <v>0</v>
          </cell>
          <cell r="DG901">
            <v>0</v>
          </cell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T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0</v>
          </cell>
          <cell r="DA912">
            <v>0</v>
          </cell>
          <cell r="DB912">
            <v>0</v>
          </cell>
          <cell r="DC912">
            <v>0</v>
          </cell>
          <cell r="DD912">
            <v>0</v>
          </cell>
          <cell r="DE912">
            <v>0</v>
          </cell>
          <cell r="DF912">
            <v>0</v>
          </cell>
          <cell r="DG912">
            <v>0</v>
          </cell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T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0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  <cell r="DF913">
            <v>0</v>
          </cell>
          <cell r="DG913">
            <v>0</v>
          </cell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T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  <cell r="DF914">
            <v>0</v>
          </cell>
          <cell r="DG914">
            <v>0</v>
          </cell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T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0</v>
          </cell>
          <cell r="CJ915">
            <v>0</v>
          </cell>
          <cell r="CK915">
            <v>0</v>
          </cell>
          <cell r="CL915">
            <v>0</v>
          </cell>
          <cell r="CM915">
            <v>0</v>
          </cell>
          <cell r="CN915">
            <v>0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0</v>
          </cell>
          <cell r="CU915">
            <v>0</v>
          </cell>
          <cell r="CV915">
            <v>0</v>
          </cell>
          <cell r="CW915">
            <v>0</v>
          </cell>
          <cell r="CX915">
            <v>0</v>
          </cell>
          <cell r="CY915">
            <v>0</v>
          </cell>
          <cell r="CZ915">
            <v>0</v>
          </cell>
          <cell r="DA915">
            <v>0</v>
          </cell>
          <cell r="DB915">
            <v>0</v>
          </cell>
          <cell r="DC915">
            <v>0</v>
          </cell>
          <cell r="DD915">
            <v>0</v>
          </cell>
          <cell r="DE915">
            <v>0</v>
          </cell>
          <cell r="DF915">
            <v>0</v>
          </cell>
          <cell r="DG915">
            <v>0</v>
          </cell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T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  <cell r="DF919">
            <v>0</v>
          </cell>
          <cell r="DG919">
            <v>0</v>
          </cell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T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  <cell r="DF920">
            <v>0</v>
          </cell>
          <cell r="DG920">
            <v>0</v>
          </cell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T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  <cell r="DD921">
            <v>0</v>
          </cell>
          <cell r="DE921">
            <v>0</v>
          </cell>
          <cell r="DF921">
            <v>0</v>
          </cell>
          <cell r="DG921">
            <v>0</v>
          </cell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T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3"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  <cell r="DD923">
            <v>0</v>
          </cell>
          <cell r="DE923">
            <v>0</v>
          </cell>
          <cell r="DF923">
            <v>0</v>
          </cell>
          <cell r="DG923">
            <v>0</v>
          </cell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T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</row>
        <row r="925">
          <cell r="A925" t="str">
            <v>Capacity Factor</v>
          </cell>
        </row>
        <row r="926"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  <cell r="DD926">
            <v>0</v>
          </cell>
          <cell r="DE926">
            <v>0</v>
          </cell>
          <cell r="DF926">
            <v>0</v>
          </cell>
          <cell r="DG926">
            <v>0</v>
          </cell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T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2">
          <cell r="F932">
            <v>-5.0000000000000001E-3</v>
          </cell>
          <cell r="G932">
            <v>-4.0000000000000001E-3</v>
          </cell>
          <cell r="H932">
            <v>-2E-3</v>
          </cell>
          <cell r="I932">
            <v>-1E-3</v>
          </cell>
          <cell r="J932">
            <v>-1E-3</v>
          </cell>
          <cell r="K932">
            <v>-3.0000000000000001E-3</v>
          </cell>
          <cell r="L932">
            <v>-3.0000000000000001E-3</v>
          </cell>
          <cell r="M932">
            <v>-5.0000000000000001E-3</v>
          </cell>
          <cell r="N932">
            <v>-3.0000000000000001E-3</v>
          </cell>
          <cell r="O932">
            <v>-4.0000000000000001E-3</v>
          </cell>
          <cell r="P932">
            <v>-5.0000000000000001E-3</v>
          </cell>
          <cell r="Q932">
            <v>-5.0000000000000001E-3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</row>
        <row r="933">
          <cell r="F933">
            <v>-5.0000000000000001E-3</v>
          </cell>
          <cell r="G933">
            <v>-3.0000000000000001E-3</v>
          </cell>
          <cell r="H933">
            <v>-2E-3</v>
          </cell>
          <cell r="I933">
            <v>-3.0000000000000001E-3</v>
          </cell>
          <cell r="J933">
            <v>-5.0000000000000001E-3</v>
          </cell>
          <cell r="K933">
            <v>-3.0000000000000001E-3</v>
          </cell>
          <cell r="L933">
            <v>-1E-3</v>
          </cell>
          <cell r="M933">
            <v>-2E-3</v>
          </cell>
          <cell r="N933">
            <v>-2E-3</v>
          </cell>
          <cell r="O933">
            <v>-6.0000000000000001E-3</v>
          </cell>
          <cell r="P933">
            <v>-4.0000000000000001E-3</v>
          </cell>
          <cell r="Q933">
            <v>-2E-3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</row>
        <row r="934">
          <cell r="F934">
            <v>-1.2E-2</v>
          </cell>
          <cell r="G934">
            <v>-8.9999999999999993E-3</v>
          </cell>
          <cell r="H934">
            <v>-7.0000000000000001E-3</v>
          </cell>
          <cell r="I934">
            <v>-6.0000000000000001E-3</v>
          </cell>
          <cell r="J934">
            <v>-7.0000000000000001E-3</v>
          </cell>
          <cell r="K934">
            <v>-6.0000000000000001E-3</v>
          </cell>
          <cell r="L934">
            <v>-6.0000000000000001E-3</v>
          </cell>
          <cell r="M934">
            <v>-5.0000000000000001E-3</v>
          </cell>
          <cell r="N934">
            <v>-6.0000000000000001E-3</v>
          </cell>
          <cell r="O934">
            <v>-6.0000000000000001E-3</v>
          </cell>
          <cell r="P934">
            <v>-7.0000000000000001E-3</v>
          </cell>
          <cell r="Q934">
            <v>-6.0000000000000001E-3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  <cell r="BI934">
            <v>0</v>
          </cell>
          <cell r="BJ934">
            <v>0</v>
          </cell>
          <cell r="BK934">
            <v>0</v>
          </cell>
          <cell r="BL934">
            <v>0</v>
          </cell>
          <cell r="BM934">
            <v>0</v>
          </cell>
          <cell r="BN934">
            <v>0</v>
          </cell>
          <cell r="BO934">
            <v>0</v>
          </cell>
          <cell r="BP934">
            <v>0</v>
          </cell>
          <cell r="BQ934">
            <v>0</v>
          </cell>
          <cell r="BR934">
            <v>0</v>
          </cell>
          <cell r="BS934">
            <v>0</v>
          </cell>
          <cell r="BT934">
            <v>0</v>
          </cell>
          <cell r="BU934">
            <v>0</v>
          </cell>
          <cell r="BV934">
            <v>0</v>
          </cell>
          <cell r="BW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M934">
            <v>0</v>
          </cell>
          <cell r="CN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0</v>
          </cell>
          <cell r="CU934">
            <v>0</v>
          </cell>
          <cell r="CV934">
            <v>0</v>
          </cell>
          <cell r="CW934">
            <v>0</v>
          </cell>
          <cell r="CX934">
            <v>0</v>
          </cell>
          <cell r="CY934">
            <v>0</v>
          </cell>
          <cell r="CZ934">
            <v>0</v>
          </cell>
          <cell r="DA934">
            <v>0</v>
          </cell>
          <cell r="DB934">
            <v>0</v>
          </cell>
          <cell r="DC934">
            <v>0</v>
          </cell>
          <cell r="DD934">
            <v>0</v>
          </cell>
          <cell r="DE934">
            <v>0</v>
          </cell>
          <cell r="DF934">
            <v>0</v>
          </cell>
          <cell r="DG934">
            <v>0</v>
          </cell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T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</row>
        <row r="935">
          <cell r="F935">
            <v>0</v>
          </cell>
          <cell r="G935">
            <v>0</v>
          </cell>
          <cell r="H935">
            <v>-1E-3</v>
          </cell>
          <cell r="I935">
            <v>-1E-3</v>
          </cell>
          <cell r="J935">
            <v>-1E-3</v>
          </cell>
          <cell r="K935">
            <v>-1E-3</v>
          </cell>
          <cell r="L935">
            <v>0</v>
          </cell>
          <cell r="M935">
            <v>0</v>
          </cell>
          <cell r="N935">
            <v>-1E-3</v>
          </cell>
          <cell r="O935">
            <v>-1E-3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6">
          <cell r="F936">
            <v>-7.0000000000000001E-3</v>
          </cell>
          <cell r="G936">
            <v>-8.0000000000000002E-3</v>
          </cell>
          <cell r="H936">
            <v>-6.0000000000000001E-3</v>
          </cell>
          <cell r="I936">
            <v>-5.0000000000000001E-3</v>
          </cell>
          <cell r="J936">
            <v>-3.0000000000000001E-3</v>
          </cell>
          <cell r="K936">
            <v>-8.9999999999999993E-3</v>
          </cell>
          <cell r="L936">
            <v>-6.0000000000000001E-3</v>
          </cell>
          <cell r="M936">
            <v>-8.9999999999999993E-3</v>
          </cell>
          <cell r="N936">
            <v>-8.9999999999999993E-3</v>
          </cell>
          <cell r="O936">
            <v>-5.0000000000000001E-3</v>
          </cell>
          <cell r="P936">
            <v>-7.0000000000000001E-3</v>
          </cell>
          <cell r="Q936">
            <v>-8.9999999999999993E-3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0</v>
          </cell>
          <cell r="CH936">
            <v>0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0</v>
          </cell>
          <cell r="CU936">
            <v>0</v>
          </cell>
          <cell r="CV936">
            <v>0</v>
          </cell>
          <cell r="CW936">
            <v>0</v>
          </cell>
          <cell r="CX936">
            <v>0</v>
          </cell>
          <cell r="CY936">
            <v>0</v>
          </cell>
          <cell r="CZ936">
            <v>0</v>
          </cell>
          <cell r="DA936">
            <v>0</v>
          </cell>
          <cell r="DB936">
            <v>0</v>
          </cell>
          <cell r="DC936">
            <v>0</v>
          </cell>
          <cell r="DD936">
            <v>0</v>
          </cell>
          <cell r="DE936">
            <v>0</v>
          </cell>
          <cell r="DF936">
            <v>0</v>
          </cell>
          <cell r="DG936">
            <v>0</v>
          </cell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T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</row>
        <row r="937"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</row>
        <row r="939">
          <cell r="F939">
            <v>0</v>
          </cell>
          <cell r="G939">
            <v>0</v>
          </cell>
          <cell r="H939">
            <v>-1E-3</v>
          </cell>
          <cell r="I939">
            <v>-1E-3</v>
          </cell>
          <cell r="J939">
            <v>-1E-3</v>
          </cell>
          <cell r="K939">
            <v>-2E-3</v>
          </cell>
          <cell r="L939">
            <v>-1E-3</v>
          </cell>
          <cell r="M939">
            <v>-1E-3</v>
          </cell>
          <cell r="N939">
            <v>-1E-3</v>
          </cell>
          <cell r="O939">
            <v>-1E-3</v>
          </cell>
          <cell r="P939">
            <v>-1E-3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  <cell r="DF939">
            <v>0</v>
          </cell>
          <cell r="DG939">
            <v>0</v>
          </cell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T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</row>
        <row r="941">
          <cell r="F941">
            <v>0</v>
          </cell>
          <cell r="G941">
            <v>-1E-3</v>
          </cell>
          <cell r="H941">
            <v>0</v>
          </cell>
          <cell r="I941">
            <v>-1E-3</v>
          </cell>
          <cell r="J941">
            <v>0</v>
          </cell>
          <cell r="K941">
            <v>-2E-3</v>
          </cell>
          <cell r="L941">
            <v>-3.0000000000000001E-3</v>
          </cell>
          <cell r="M941">
            <v>-2E-3</v>
          </cell>
          <cell r="N941">
            <v>-2E-3</v>
          </cell>
          <cell r="O941">
            <v>-1E-3</v>
          </cell>
          <cell r="P941">
            <v>-1E-3</v>
          </cell>
          <cell r="Q941">
            <v>-1E-3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-1E-3</v>
          </cell>
          <cell r="L943">
            <v>-1E-3</v>
          </cell>
          <cell r="M943">
            <v>-3.0000000000000001E-3</v>
          </cell>
          <cell r="N943">
            <v>-1E-3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4">
          <cell r="F944">
            <v>-1E-3</v>
          </cell>
          <cell r="G944">
            <v>-1E-3</v>
          </cell>
          <cell r="H944">
            <v>0</v>
          </cell>
          <cell r="I944">
            <v>-2E-3</v>
          </cell>
          <cell r="J944">
            <v>-1E-3</v>
          </cell>
          <cell r="K944">
            <v>-2E-3</v>
          </cell>
          <cell r="L944">
            <v>-2E-3</v>
          </cell>
          <cell r="M944">
            <v>-2E-3</v>
          </cell>
          <cell r="N944">
            <v>-3.0000000000000001E-3</v>
          </cell>
          <cell r="O944">
            <v>-1E-3</v>
          </cell>
          <cell r="P944">
            <v>-1E-3</v>
          </cell>
          <cell r="Q944">
            <v>-1E-3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</row>
        <row r="945">
          <cell r="F945">
            <v>-1E-3</v>
          </cell>
          <cell r="G945">
            <v>-1E-3</v>
          </cell>
          <cell r="H945">
            <v>-1E-3</v>
          </cell>
          <cell r="I945">
            <v>-1E-3</v>
          </cell>
          <cell r="J945">
            <v>-1E-3</v>
          </cell>
          <cell r="K945">
            <v>-3.0000000000000001E-3</v>
          </cell>
          <cell r="L945">
            <v>-3.0000000000000001E-3</v>
          </cell>
          <cell r="M945">
            <v>-4.0000000000000001E-3</v>
          </cell>
          <cell r="N945">
            <v>-2E-3</v>
          </cell>
          <cell r="O945">
            <v>-1E-3</v>
          </cell>
          <cell r="P945">
            <v>-2E-3</v>
          </cell>
          <cell r="Q945">
            <v>-2E-3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-1E-3</v>
          </cell>
          <cell r="L946">
            <v>-1E-3</v>
          </cell>
          <cell r="M946">
            <v>-1E-3</v>
          </cell>
          <cell r="N946">
            <v>-1E-3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-1E-3</v>
          </cell>
          <cell r="L947">
            <v>-2E-3</v>
          </cell>
          <cell r="M947">
            <v>-3.0000000000000001E-3</v>
          </cell>
          <cell r="N947">
            <v>-2E-3</v>
          </cell>
          <cell r="O947">
            <v>0</v>
          </cell>
          <cell r="P947">
            <v>-1E-3</v>
          </cell>
          <cell r="Q947">
            <v>-1E-3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</row>
        <row r="960">
          <cell r="F960" t="e">
            <v>#VALUE!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</row>
        <row r="961">
          <cell r="F961" t="e">
            <v>#VALUE!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 t="e">
            <v>#VALUE!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 t="e">
            <v>#VALUE!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 t="e">
            <v>#VALUE!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5">
          <cell r="F965" t="e">
            <v>#VALUE!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</row>
        <row r="966">
          <cell r="F966" t="e">
            <v>#VALUE!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7">
          <cell r="F967" t="e">
            <v>#VALUE!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</row>
        <row r="968">
          <cell r="F968" t="e">
            <v>#VALUE!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</row>
        <row r="969">
          <cell r="F969" t="e">
            <v>#VALUE!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0">
          <cell r="F970" t="e">
            <v>#VALUE!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</row>
        <row r="971">
          <cell r="F971" t="e">
            <v>#VALUE!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</row>
        <row r="972">
          <cell r="F972" t="e">
            <v>#VALUE!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3">
          <cell r="F973" t="e">
            <v>#VALUE!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  <cell r="DF973">
            <v>0</v>
          </cell>
          <cell r="DG973">
            <v>0</v>
          </cell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T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</row>
        <row r="974">
          <cell r="F974" t="e">
            <v>#VALUE!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</row>
        <row r="976">
          <cell r="F976" t="e">
            <v>#VALUE!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</row>
        <row r="977">
          <cell r="F977" t="e">
            <v>#VALUE!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 t="e">
            <v>#VALUE!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 t="e">
            <v>#VALUE!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 t="e">
            <v>#VALUE!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2">
          <cell r="A982" t="str">
            <v>Integration Charge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3">
        <row r="3">
          <cell r="F3">
            <v>44927</v>
          </cell>
        </row>
        <row r="107">
          <cell r="EI107" t="str">
            <v>Not Used</v>
          </cell>
          <cell r="EK107" t="str">
            <v>Not Used</v>
          </cell>
          <cell r="EM107" t="str">
            <v>QF - 435 - UT - Gas</v>
          </cell>
          <cell r="EO107" t="str">
            <v>Not Used</v>
          </cell>
          <cell r="EQ107">
            <v>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4" zoomScale="70" zoomScaleNormal="70" zoomScaleSheetLayoutView="70" workbookViewId="0">
      <selection activeCell="G13" sqref="G1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5'!$B$12:$B$240,FALSE)+ROW('Table 5'!B11)</f>
        <v>13</v>
      </c>
      <c r="DB3" s="178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Tesoro Non Firm - 25.0 MW and 85.0%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0.93399999999999994</v>
      </c>
      <c r="AG5" s="166"/>
      <c r="AH5" s="166"/>
      <c r="AI5" s="166"/>
      <c r="AJ5" s="166"/>
      <c r="AK5" s="166"/>
      <c r="DB5" s="171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196" t="s">
        <v>74</v>
      </c>
      <c r="AM7" s="196"/>
    </row>
    <row r="8" spans="2:107" s="193" customFormat="1" ht="40.700000000000003" customHeight="1">
      <c r="B8" s="184"/>
      <c r="C8" s="184"/>
      <c r="D8" s="184"/>
      <c r="E8" s="186"/>
      <c r="F8" s="187"/>
      <c r="G8" s="185" t="s">
        <v>14</v>
      </c>
      <c r="H8" s="189"/>
      <c r="I8" s="195"/>
      <c r="K8"/>
      <c r="L8"/>
      <c r="M8"/>
      <c r="P8" s="201"/>
      <c r="Q8" s="201"/>
      <c r="R8" s="201"/>
      <c r="T8" s="201"/>
      <c r="U8" s="198"/>
      <c r="V8" s="201"/>
      <c r="W8" s="201"/>
      <c r="X8" s="201"/>
      <c r="Y8" s="201"/>
      <c r="Z8" s="198"/>
      <c r="AB8" s="201"/>
      <c r="AC8" s="201"/>
      <c r="AE8" s="201"/>
      <c r="AF8" s="201"/>
      <c r="AG8" s="201"/>
      <c r="AL8" s="201">
        <f>P8</f>
        <v>0</v>
      </c>
      <c r="AM8" s="201"/>
      <c r="AN8" s="201">
        <f t="shared" ref="AN8" si="0">R8</f>
        <v>0</v>
      </c>
      <c r="AO8" s="201">
        <f t="shared" ref="AO8" si="1">S8</f>
        <v>0</v>
      </c>
      <c r="AP8" s="201">
        <f t="shared" ref="AP8" si="2">T8</f>
        <v>0</v>
      </c>
      <c r="AQ8" s="201">
        <f t="shared" ref="AQ8" si="3">U8</f>
        <v>0</v>
      </c>
      <c r="AR8" s="201">
        <f t="shared" ref="AR8" si="4">V8</f>
        <v>0</v>
      </c>
      <c r="AS8" s="201">
        <f t="shared" ref="AS8" si="5">W8</f>
        <v>0</v>
      </c>
      <c r="AT8" s="201">
        <f t="shared" ref="AT8" si="6">X8</f>
        <v>0</v>
      </c>
      <c r="AU8" s="201">
        <f t="shared" ref="AU8" si="7">Y8</f>
        <v>0</v>
      </c>
      <c r="AV8" s="201">
        <f t="shared" ref="AV8" si="8">Z8</f>
        <v>0</v>
      </c>
      <c r="AW8" s="201">
        <f t="shared" ref="AW8" si="9">AA8</f>
        <v>0</v>
      </c>
      <c r="AX8" s="201">
        <f t="shared" ref="AX8" si="10">AB8</f>
        <v>0</v>
      </c>
      <c r="AY8" s="201">
        <f t="shared" ref="AY8" si="11">AC8</f>
        <v>0</v>
      </c>
      <c r="AZ8" s="201">
        <f t="shared" ref="AZ8" si="12">AD8</f>
        <v>0</v>
      </c>
      <c r="BA8" s="201">
        <f t="shared" ref="BA8" si="13">AE8</f>
        <v>0</v>
      </c>
      <c r="BB8" s="201">
        <f>AF8</f>
        <v>0</v>
      </c>
      <c r="BC8" s="201">
        <f>AG8</f>
        <v>0</v>
      </c>
      <c r="BD8" s="201"/>
      <c r="BE8" s="201"/>
      <c r="BF8" s="201"/>
      <c r="BH8" s="196" t="s">
        <v>75</v>
      </c>
      <c r="BI8" s="196"/>
      <c r="BJ8" s="196"/>
      <c r="BK8" s="201"/>
      <c r="BL8" s="201"/>
      <c r="BM8" s="201">
        <f t="shared" ref="BL8:BY9" si="14">U8</f>
        <v>0</v>
      </c>
      <c r="BN8" s="201">
        <f t="shared" si="14"/>
        <v>0</v>
      </c>
      <c r="BO8" s="201">
        <f t="shared" si="14"/>
        <v>0</v>
      </c>
      <c r="BP8" s="201">
        <f t="shared" si="14"/>
        <v>0</v>
      </c>
      <c r="BQ8" s="201">
        <f t="shared" si="14"/>
        <v>0</v>
      </c>
      <c r="BR8" s="201">
        <f t="shared" si="14"/>
        <v>0</v>
      </c>
      <c r="BS8" s="201">
        <f t="shared" si="14"/>
        <v>0</v>
      </c>
      <c r="BT8" s="201">
        <f t="shared" si="14"/>
        <v>0</v>
      </c>
      <c r="BU8" s="201">
        <f t="shared" si="14"/>
        <v>0</v>
      </c>
      <c r="BV8" s="201">
        <f t="shared" si="14"/>
        <v>0</v>
      </c>
      <c r="BW8" s="201">
        <f t="shared" si="14"/>
        <v>0</v>
      </c>
      <c r="BX8" s="201">
        <f t="shared" si="14"/>
        <v>0</v>
      </c>
      <c r="BY8" s="201">
        <f t="shared" si="14"/>
        <v>0</v>
      </c>
      <c r="BZ8" s="201"/>
      <c r="CA8" s="201"/>
      <c r="CB8" s="201"/>
      <c r="CD8" s="196" t="s">
        <v>76</v>
      </c>
      <c r="CE8" s="196"/>
      <c r="CF8" s="196"/>
      <c r="CI8" s="201"/>
      <c r="CN8" s="201"/>
      <c r="DB8" s="174" t="s">
        <v>75</v>
      </c>
      <c r="DC8" s="175" t="s">
        <v>76</v>
      </c>
    </row>
    <row r="9" spans="2:107" s="180" customFormat="1" ht="76.7" customHeight="1">
      <c r="B9" s="184"/>
      <c r="C9" s="185" t="s">
        <v>6</v>
      </c>
      <c r="D9" s="185"/>
      <c r="E9" s="186" t="s">
        <v>18</v>
      </c>
      <c r="F9" s="187"/>
      <c r="G9" s="188">
        <f ca="1">Study_CF</f>
        <v>0.85</v>
      </c>
      <c r="H9" s="189"/>
      <c r="I9" s="190"/>
      <c r="K9"/>
      <c r="L9"/>
      <c r="M9"/>
      <c r="P9" s="180" t="s">
        <v>186</v>
      </c>
      <c r="Q9" s="201" t="s">
        <v>187</v>
      </c>
      <c r="R9" s="180" t="s">
        <v>188</v>
      </c>
      <c r="S9" s="201" t="s">
        <v>189</v>
      </c>
      <c r="T9" s="201" t="s">
        <v>190</v>
      </c>
      <c r="U9" s="198" t="s">
        <v>191</v>
      </c>
      <c r="V9" s="180" t="s">
        <v>192</v>
      </c>
      <c r="W9" s="201" t="s">
        <v>193</v>
      </c>
      <c r="X9" s="180" t="s">
        <v>194</v>
      </c>
      <c r="Y9" s="201" t="s">
        <v>195</v>
      </c>
      <c r="Z9" s="198" t="s">
        <v>196</v>
      </c>
      <c r="AA9" s="180" t="s">
        <v>197</v>
      </c>
      <c r="AB9" s="201"/>
      <c r="AC9" s="201"/>
      <c r="AD9" s="201" t="s">
        <v>199</v>
      </c>
      <c r="AE9" s="201" t="s">
        <v>203</v>
      </c>
      <c r="AF9" s="201" t="s">
        <v>204</v>
      </c>
      <c r="AG9" s="193"/>
      <c r="AH9" s="193"/>
      <c r="AI9" s="193"/>
      <c r="AK9" s="192"/>
      <c r="AL9" s="180" t="str">
        <f>P9</f>
        <v>IRP21_WD_PX_PNC_006_WD_T</v>
      </c>
      <c r="AM9" s="201" t="str">
        <f t="shared" ref="AM9:BA9" si="15">Q9</f>
        <v>IRP21_WD_PX_PNC_WD_T</v>
      </c>
      <c r="AN9" s="180" t="str">
        <f t="shared" si="15"/>
        <v>IRP21_WD_PX_WMV_006_WD_T</v>
      </c>
      <c r="AO9" s="180" t="str">
        <f t="shared" si="15"/>
        <v>IRP21_WD_PX_WYE_WD_T</v>
      </c>
      <c r="AP9" s="180" t="str">
        <f t="shared" si="15"/>
        <v>IRP21_WD_PX_WYE_Djohns_WD_T</v>
      </c>
      <c r="AQ9" s="198" t="str">
        <f t="shared" si="15"/>
        <v>IRP21_PWS_PX_YAK_WD_T</v>
      </c>
      <c r="AR9" s="180" t="str">
        <f t="shared" si="15"/>
        <v>IRP21_PVS_PX_BOR_002_PV_T</v>
      </c>
      <c r="AS9" s="180" t="str">
        <f t="shared" si="15"/>
        <v>IRP21_PVS_PX_SOR_C_PV_ 2028_T</v>
      </c>
      <c r="AT9" s="180" t="str">
        <f t="shared" si="15"/>
        <v>IRP21_PVS_PX_SOR_PV_T</v>
      </c>
      <c r="AU9" s="180" t="str">
        <f t="shared" si="15"/>
        <v>IRP21_PVS_PX_YAK_PV_T</v>
      </c>
      <c r="AV9" s="198" t="str">
        <f t="shared" si="15"/>
        <v>IRP21_PVS_PX_UTN_PV_T</v>
      </c>
      <c r="AW9" s="180" t="str">
        <f t="shared" si="15"/>
        <v>IRP21_PVS_PX_UTS_PV_T</v>
      </c>
      <c r="AX9" s="193">
        <f t="shared" si="15"/>
        <v>0</v>
      </c>
      <c r="AY9" s="193">
        <f t="shared" si="15"/>
        <v>0</v>
      </c>
      <c r="AZ9" s="193" t="str">
        <f t="shared" si="15"/>
        <v>IRP21_BAT_WYE_DJ_Wyodak</v>
      </c>
      <c r="BA9" s="193" t="str">
        <f t="shared" si="15"/>
        <v>IRP21_UTN_Non_Emitting_2031_T</v>
      </c>
      <c r="BB9" s="193" t="str">
        <f>AF9</f>
        <v>IRP21_Huntington_Non_Emitting_2037_T</v>
      </c>
      <c r="BC9" s="201">
        <f>AG9</f>
        <v>0</v>
      </c>
      <c r="BD9" s="193"/>
      <c r="BE9" s="193"/>
      <c r="BF9" s="193"/>
      <c r="BH9" s="201" t="str">
        <f t="shared" ref="BH9" si="16">P9</f>
        <v>IRP21_WD_PX_PNC_006_WD_T</v>
      </c>
      <c r="BI9" s="201" t="str">
        <f t="shared" ref="BI9" si="17">Q9</f>
        <v>IRP21_WD_PX_PNC_WD_T</v>
      </c>
      <c r="BJ9" s="201" t="str">
        <f t="shared" ref="BJ9" si="18">R9</f>
        <v>IRP21_WD_PX_WMV_006_WD_T</v>
      </c>
      <c r="BK9" s="201" t="str">
        <f t="shared" ref="BK9" si="19">S9</f>
        <v>IRP21_WD_PX_WYE_WD_T</v>
      </c>
      <c r="BL9" s="201" t="str">
        <f t="shared" si="14"/>
        <v>IRP21_WD_PX_WYE_Djohns_WD_T</v>
      </c>
      <c r="BM9" s="201" t="str">
        <f t="shared" si="14"/>
        <v>IRP21_PWS_PX_YAK_WD_T</v>
      </c>
      <c r="BN9" s="201" t="str">
        <f t="shared" si="14"/>
        <v>IRP21_PVS_PX_BOR_002_PV_T</v>
      </c>
      <c r="BO9" s="201" t="str">
        <f t="shared" si="14"/>
        <v>IRP21_PVS_PX_SOR_C_PV_ 2028_T</v>
      </c>
      <c r="BP9" s="201" t="str">
        <f t="shared" si="14"/>
        <v>IRP21_PVS_PX_SOR_PV_T</v>
      </c>
      <c r="BQ9" s="201" t="str">
        <f t="shared" si="14"/>
        <v>IRP21_PVS_PX_YAK_PV_T</v>
      </c>
      <c r="BR9" s="201" t="str">
        <f t="shared" si="14"/>
        <v>IRP21_PVS_PX_UTN_PV_T</v>
      </c>
      <c r="BS9" s="201" t="str">
        <f t="shared" si="14"/>
        <v>IRP21_PVS_PX_UTS_PV_T</v>
      </c>
      <c r="BT9" s="201">
        <f t="shared" si="14"/>
        <v>0</v>
      </c>
      <c r="BU9" s="201">
        <f t="shared" si="14"/>
        <v>0</v>
      </c>
      <c r="BV9" s="201" t="str">
        <f t="shared" si="14"/>
        <v>IRP21_BAT_WYE_DJ_Wyodak</v>
      </c>
      <c r="BW9" s="201" t="str">
        <f t="shared" si="14"/>
        <v>IRP21_UTN_Non_Emitting_2031_T</v>
      </c>
      <c r="BX9" s="201" t="str">
        <f t="shared" si="14"/>
        <v>IRP21_Huntington_Non_Emitting_2037_T</v>
      </c>
      <c r="BY9" s="201">
        <f t="shared" si="14"/>
        <v>0</v>
      </c>
      <c r="BZ9" s="201"/>
      <c r="CA9" s="201"/>
      <c r="CB9" s="201"/>
      <c r="CD9" s="180" t="str">
        <f t="shared" ref="CD9:CX9" si="20">BH9</f>
        <v>IRP21_WD_PX_PNC_006_WD_T</v>
      </c>
      <c r="CE9" s="201" t="str">
        <f t="shared" si="20"/>
        <v>IRP21_WD_PX_PNC_WD_T</v>
      </c>
      <c r="CF9" s="193" t="str">
        <f t="shared" si="20"/>
        <v>IRP21_WD_PX_WMV_006_WD_T</v>
      </c>
      <c r="CG9" s="193" t="str">
        <f t="shared" si="20"/>
        <v>IRP21_WD_PX_WYE_WD_T</v>
      </c>
      <c r="CH9" s="193" t="str">
        <f t="shared" si="20"/>
        <v>IRP21_WD_PX_WYE_Djohns_WD_T</v>
      </c>
      <c r="CI9" s="199" t="str">
        <f t="shared" si="20"/>
        <v>IRP21_PWS_PX_YAK_WD_T</v>
      </c>
      <c r="CJ9" s="193" t="str">
        <f t="shared" si="20"/>
        <v>IRP21_PVS_PX_BOR_002_PV_T</v>
      </c>
      <c r="CK9" s="193" t="str">
        <f t="shared" si="20"/>
        <v>IRP21_PVS_PX_SOR_C_PV_ 2028_T</v>
      </c>
      <c r="CL9" s="193" t="str">
        <f t="shared" si="20"/>
        <v>IRP21_PVS_PX_SOR_PV_T</v>
      </c>
      <c r="CM9" s="193" t="str">
        <f t="shared" si="20"/>
        <v>IRP21_PVS_PX_YAK_PV_T</v>
      </c>
      <c r="CN9" s="199" t="str">
        <f t="shared" si="20"/>
        <v>IRP21_PVS_PX_UTN_PV_T</v>
      </c>
      <c r="CO9" s="193" t="str">
        <f t="shared" si="20"/>
        <v>IRP21_PVS_PX_UTS_PV_T</v>
      </c>
      <c r="CP9" s="193">
        <f t="shared" si="20"/>
        <v>0</v>
      </c>
      <c r="CQ9" s="193">
        <f t="shared" si="20"/>
        <v>0</v>
      </c>
      <c r="CR9" s="193" t="str">
        <f t="shared" si="20"/>
        <v>IRP21_BAT_WYE_DJ_Wyodak</v>
      </c>
      <c r="CS9" s="193" t="str">
        <f t="shared" si="20"/>
        <v>IRP21_UTN_Non_Emitting_2031_T</v>
      </c>
      <c r="CT9" s="193" t="str">
        <f t="shared" si="20"/>
        <v>IRP21_Huntington_Non_Emitting_2037_T</v>
      </c>
      <c r="CU9" s="193">
        <f t="shared" si="20"/>
        <v>0</v>
      </c>
      <c r="CV9" s="193">
        <f t="shared" si="20"/>
        <v>0</v>
      </c>
      <c r="CW9" s="193">
        <f t="shared" si="20"/>
        <v>0</v>
      </c>
      <c r="CX9" s="193">
        <f t="shared" si="20"/>
        <v>0</v>
      </c>
      <c r="CY9" s="180" t="s">
        <v>77</v>
      </c>
      <c r="DB9" s="180" t="s">
        <v>163</v>
      </c>
      <c r="DC9" s="201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41"/>
    </row>
    <row r="13" spans="2:107" customFormat="1">
      <c r="B13" s="15">
        <f>'Table 5'!J13</f>
        <v>2023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36.069508550017709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36.069508550017709</v>
      </c>
      <c r="H13" s="36"/>
      <c r="I13" s="171"/>
      <c r="J13" s="171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71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71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70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 hidden="1">
      <c r="B14" s="15">
        <f t="shared" ref="B14:B34" si="41">B13+1</f>
        <v>2024</v>
      </c>
      <c r="C14" s="9">
        <f t="shared" si="21"/>
        <v>0</v>
      </c>
      <c r="D14" s="45"/>
      <c r="E14" s="9" t="e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71"/>
      <c r="J14" s="171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71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70"/>
      <c r="BU14" s="371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70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9">
        <f>IFERROR(VLOOKUP($DA14,'Table 3 TransCost'!$AA$10:$AD$32,4,FALSE),0)</f>
        <v>0</v>
      </c>
      <c r="DC14" s="171">
        <f t="shared" ref="DC14:DC30" si="44">$DB$5*DB14/1000</f>
        <v>0</v>
      </c>
    </row>
    <row r="15" spans="2:107" customFormat="1" hidden="1">
      <c r="B15" s="15">
        <f t="shared" si="41"/>
        <v>2025</v>
      </c>
      <c r="C15" s="9">
        <f t="shared" si="21"/>
        <v>0</v>
      </c>
      <c r="D15" s="45"/>
      <c r="E15" s="9" t="e">
        <f t="shared" ca="1" si="42"/>
        <v>#DIV/0!</v>
      </c>
      <c r="F15" s="37"/>
      <c r="G15" s="14" t="e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71"/>
      <c r="J15" s="171"/>
      <c r="N15" s="89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71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70"/>
      <c r="BU15" s="371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70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9">
        <f>IFERROR(VLOOKUP($DA15,'Table 3 TransCost'!$AA$10:$AD$32,4,FALSE),0)</f>
        <v>0</v>
      </c>
      <c r="DC15" s="171">
        <f t="shared" si="44"/>
        <v>0</v>
      </c>
    </row>
    <row r="16" spans="2:107" customFormat="1" hidden="1">
      <c r="B16" s="15">
        <f t="shared" si="41"/>
        <v>2026</v>
      </c>
      <c r="C16" s="9">
        <f t="shared" si="21"/>
        <v>0</v>
      </c>
      <c r="D16" s="45"/>
      <c r="E16" s="9" t="e">
        <f t="shared" ca="1" si="42"/>
        <v>#DIV/0!</v>
      </c>
      <c r="F16" s="37"/>
      <c r="G16" s="14" t="e">
        <f t="shared" ca="1" si="45"/>
        <v>#DIV/0!</v>
      </c>
      <c r="H16" s="36"/>
      <c r="I16" s="171"/>
      <c r="J16" s="89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29">
        <f>IFERROR(VLOOKUP($O16,'Table 3 PNC Wind_2026'!$B$10:$L$37,11,FALSE),0)</f>
        <v>191.59144468071452</v>
      </c>
      <c r="BI16" s="129">
        <f>IFERROR(VLOOKUP($O16,'Table 3 PNC Wind_2038'!$B$10:$L$37,11,FALSE),0)</f>
        <v>0</v>
      </c>
      <c r="BJ16" s="129">
        <f>IFERROR(VLOOKUP($O16,'Table 3 WV Wind_2026'!$B$10:$L$37,11,FALSE),0)</f>
        <v>175.02113373468126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183.64304804045611</v>
      </c>
      <c r="BO16" s="371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70"/>
      <c r="BU16" s="371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70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2026</v>
      </c>
      <c r="DB16" s="89">
        <f>IFERROR(VLOOKUP($DA16,'Table 3 TransCost'!$AA$10:$AD$32,4,FALSE),0)</f>
        <v>54.441007169221002</v>
      </c>
      <c r="DC16" s="171">
        <f t="shared" si="44"/>
        <v>0</v>
      </c>
    </row>
    <row r="17" spans="2:107" hidden="1">
      <c r="B17" s="15">
        <f t="shared" si="41"/>
        <v>2027</v>
      </c>
      <c r="C17" s="9">
        <f t="shared" si="21"/>
        <v>0</v>
      </c>
      <c r="D17" s="45"/>
      <c r="E17" s="9" t="e">
        <f t="shared" ca="1" si="42"/>
        <v>#DIV/0!</v>
      </c>
      <c r="F17" s="37"/>
      <c r="G17" s="14" t="e">
        <f t="shared" ca="1" si="45"/>
        <v>#DIV/0!</v>
      </c>
      <c r="H17" s="36"/>
      <c r="I17" s="171"/>
      <c r="J17" s="89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/>
      <c r="BG17">
        <f t="shared" si="43"/>
        <v>2027</v>
      </c>
      <c r="BH17" s="129">
        <f>IFERROR(VLOOKUP($O17,'Table 3 PNC Wind_2026'!$B$10:$L$37,11,FALSE),0)</f>
        <v>195.72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178.79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187.60999999999999</v>
      </c>
      <c r="BO17" s="371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70"/>
      <c r="BU17" s="371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70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0</v>
      </c>
      <c r="DA17">
        <f t="shared" si="40"/>
        <v>2027</v>
      </c>
      <c r="DB17" s="89">
        <f>IFERROR(VLOOKUP($DA17,'Table 3 TransCost'!$AA$10:$AD$32,4,FALSE),0)</f>
        <v>55.609999999999992</v>
      </c>
      <c r="DC17" s="171">
        <f t="shared" si="44"/>
        <v>0</v>
      </c>
    </row>
    <row r="18" spans="2:107" hidden="1">
      <c r="B18" s="15">
        <f t="shared" si="41"/>
        <v>2028</v>
      </c>
      <c r="C18" s="9">
        <f t="shared" si="21"/>
        <v>0</v>
      </c>
      <c r="D18" s="45"/>
      <c r="E18" s="9" t="e">
        <f t="shared" ca="1" si="42"/>
        <v>#DIV/0!</v>
      </c>
      <c r="F18" s="37"/>
      <c r="G18" s="14" t="e">
        <f t="shared" ca="1" si="45"/>
        <v>#DIV/0!</v>
      </c>
      <c r="H18" s="36"/>
      <c r="I18" s="171"/>
      <c r="J18" s="89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29">
        <f>IFERROR(VLOOKUP($O18,'Table 3 PNC Wind_2026'!$B$10:$L$37,11,FALSE),0)</f>
        <v>199.93</v>
      </c>
      <c r="BI18" s="129">
        <f>IFERROR(VLOOKUP($O18,'Table 3 PNC Wind_2038'!$B$10:$L$37,11,FALSE),0)</f>
        <v>0</v>
      </c>
      <c r="BJ18" s="129">
        <f>IFERROR(VLOOKUP($O18,'Table 3 WV Wind_2026'!$B$10:$L$37,11,FALSE),0)</f>
        <v>182.64000000000001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135.93478100351612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191.66</v>
      </c>
      <c r="BO18" s="371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70"/>
      <c r="BU18" s="371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70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0</v>
      </c>
      <c r="DA18">
        <f t="shared" si="40"/>
        <v>2028</v>
      </c>
      <c r="DB18" s="89">
        <f>IFERROR(VLOOKUP($DA18,'Table 3 TransCost'!$AA$10:$AD$32,4,FALSE),0)</f>
        <v>56.81</v>
      </c>
      <c r="DC18" s="171">
        <f t="shared" si="44"/>
        <v>0</v>
      </c>
    </row>
    <row r="19" spans="2:107" hidden="1">
      <c r="B19" s="15">
        <f t="shared" si="41"/>
        <v>2029</v>
      </c>
      <c r="C19" s="9">
        <f t="shared" si="21"/>
        <v>0</v>
      </c>
      <c r="D19" s="45"/>
      <c r="E19" s="9" t="e">
        <f t="shared" ca="1" si="42"/>
        <v>#DIV/0!</v>
      </c>
      <c r="F19" s="37"/>
      <c r="G19" s="14" t="e">
        <f t="shared" ca="1" si="45"/>
        <v>#DIV/0!</v>
      </c>
      <c r="H19" s="36"/>
      <c r="I19" s="171"/>
      <c r="J19" s="89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29">
        <f>IFERROR(VLOOKUP($O19,'Table 3 PNC Wind_2026'!$B$10:$L$37,11,FALSE),0)</f>
        <v>204.25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186.58</v>
      </c>
      <c r="BK19" s="129">
        <f>IFERROR(VLOOKUP($O19,'Table 3 WYE Wind_2029'!$B$10:$L$37,11,FALSE),0)</f>
        <v>201.85568416390288</v>
      </c>
      <c r="BL19" s="129">
        <f>IFERROR(VLOOKUP($O19,'Table 3 WYE_DJ Wind_2028'!$B$10:$L$37,11,FALSE),0)</f>
        <v>138.86000000000001</v>
      </c>
      <c r="BM19" s="129">
        <f>IFERROR(VLOOKUP($O19,'Table 3 YK WindwS_2029'!$B$10:$L$37,11,FALSE),0)</f>
        <v>187.50399602844064</v>
      </c>
      <c r="BN19" s="129">
        <f>IFERROR(VLOOKUP($O19,'Table 3 PV wS Borah_2026'!$B$10:$K$37,10,FALSE),0)</f>
        <v>195.79000000000002</v>
      </c>
      <c r="BO19" s="371"/>
      <c r="BP19" s="129">
        <f>IFERROR(VLOOKUP($O19,'Table 3 PV wS SOR_2030'!$B$10:$K$37,10,FALSE),0)</f>
        <v>0</v>
      </c>
      <c r="BQ19" s="129">
        <f>IFERROR(VLOOKUP($O19,'Table 3 PV wS YK_2029'!$B$10:$K$37,10,FALSE),0)</f>
        <v>188.42976759019373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70"/>
      <c r="BU19" s="371"/>
      <c r="BV19" s="129">
        <f>IFERROR(VLOOKUP($O19,'Table 3 StdBat  DJ_2029'!$B$15:$K$37,10,FALSE),0)</f>
        <v>109.22031613353437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70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0</v>
      </c>
      <c r="DA19">
        <f t="shared" si="40"/>
        <v>2029</v>
      </c>
      <c r="DB19" s="89">
        <f>IFERROR(VLOOKUP($DA19,'Table 3 TransCost'!$AA$10:$AD$32,4,FALSE),0)</f>
        <v>58.03</v>
      </c>
      <c r="DC19" s="171">
        <f t="shared" si="44"/>
        <v>0</v>
      </c>
    </row>
    <row r="20" spans="2:107" hidden="1">
      <c r="B20" s="15">
        <f t="shared" si="41"/>
        <v>2030</v>
      </c>
      <c r="C20" s="9">
        <f t="shared" si="21"/>
        <v>0</v>
      </c>
      <c r="D20" s="45"/>
      <c r="E20" s="9" t="e">
        <f t="shared" ca="1" si="42"/>
        <v>#DIV/0!</v>
      </c>
      <c r="F20" s="37"/>
      <c r="G20" s="14" t="e">
        <f t="shared" ca="1" si="45"/>
        <v>#DIV/0!</v>
      </c>
      <c r="H20" s="36"/>
      <c r="I20" s="171"/>
      <c r="J20" s="89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29">
        <f>IFERROR(VLOOKUP($O20,'Table 3 PNC Wind_2026'!$B$10:$L$37,11,FALSE),0)</f>
        <v>208.65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190.60000000000002</v>
      </c>
      <c r="BK20" s="129">
        <f>IFERROR(VLOOKUP($O20,'Table 3 WYE Wind_2029'!$B$10:$L$37,11,FALSE),0)</f>
        <v>206.2</v>
      </c>
      <c r="BL20" s="129">
        <f>IFERROR(VLOOKUP($O20,'Table 3 WYE_DJ Wind_2028'!$B$10:$L$37,11,FALSE),0)</f>
        <v>141.85999999999999</v>
      </c>
      <c r="BM20" s="129">
        <f>IFERROR(VLOOKUP($O20,'Table 3 YK WindwS_2029'!$B$10:$L$37,11,FALSE),0)</f>
        <v>191.55</v>
      </c>
      <c r="BN20" s="129">
        <f>IFERROR(VLOOKUP($O20,'Table 3 PV wS Borah_2026'!$B$10:$K$37,10,FALSE),0)</f>
        <v>200.01</v>
      </c>
      <c r="BO20" s="371"/>
      <c r="BP20" s="129">
        <f>IFERROR(VLOOKUP($O20,'Table 3 PV wS SOR_2030'!$B$10:$K$37,10,FALSE),0)</f>
        <v>219.45386985142773</v>
      </c>
      <c r="BQ20" s="129">
        <f>IFERROR(VLOOKUP($O20,'Table 3 PV wS YK_2029'!$B$10:$K$37,10,FALSE),0)</f>
        <v>192.50000000000003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70"/>
      <c r="BU20" s="371"/>
      <c r="BV20" s="129">
        <f>IFERROR(VLOOKUP($O20,'Table 3 StdBat  DJ_2029'!$B$15:$K$37,10,FALSE),0)</f>
        <v>111.57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70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0</v>
      </c>
      <c r="DA20">
        <f t="shared" si="40"/>
        <v>2030</v>
      </c>
      <c r="DB20" s="89">
        <f>IFERROR(VLOOKUP($DA20,'Table 3 TransCost'!$AA$10:$AD$32,4,FALSE),0)</f>
        <v>59.28</v>
      </c>
      <c r="DC20" s="171">
        <f t="shared" si="44"/>
        <v>0</v>
      </c>
    </row>
    <row r="21" spans="2:107" hidden="1">
      <c r="B21" s="15">
        <f t="shared" si="41"/>
        <v>2031</v>
      </c>
      <c r="C21" s="9">
        <f t="shared" si="21"/>
        <v>0</v>
      </c>
      <c r="D21" s="45"/>
      <c r="E21" s="9" t="e">
        <f t="shared" ca="1" si="42"/>
        <v>#DIV/0!</v>
      </c>
      <c r="F21" s="37"/>
      <c r="G21" s="14" t="e">
        <f t="shared" ca="1" si="45"/>
        <v>#DIV/0!</v>
      </c>
      <c r="H21" s="36"/>
      <c r="I21" s="171"/>
      <c r="J21" s="89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29">
        <f>IFERROR(VLOOKUP($O21,'Table 3 PNC Wind_2026'!$B$10:$L$37,11,FALSE),0)</f>
        <v>213.14000000000001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194.70000000000002</v>
      </c>
      <c r="BK21" s="129">
        <f>IFERROR(VLOOKUP($O21,'Table 3 WYE Wind_2029'!$B$10:$L$37,11,FALSE),0)</f>
        <v>210.64</v>
      </c>
      <c r="BL21" s="129">
        <f>IFERROR(VLOOKUP($O21,'Table 3 WYE_DJ Wind_2028'!$B$10:$L$37,11,FALSE),0)</f>
        <v>144.91999999999999</v>
      </c>
      <c r="BM21" s="129">
        <f>IFERROR(VLOOKUP($O21,'Table 3 YK WindwS_2029'!$B$10:$L$37,11,FALSE),0)</f>
        <v>195.67</v>
      </c>
      <c r="BN21" s="129">
        <f>IFERROR(VLOOKUP($O21,'Table 3 PV wS Borah_2026'!$B$10:$K$37,10,FALSE),0)</f>
        <v>204.32</v>
      </c>
      <c r="BO21" s="371"/>
      <c r="BP21" s="129">
        <f>IFERROR(VLOOKUP($O21,'Table 3 PV wS SOR_2030'!$B$10:$K$37,10,FALSE),0)</f>
        <v>224.18</v>
      </c>
      <c r="BQ21" s="129">
        <f>IFERROR(VLOOKUP($O21,'Table 3 PV wS YK_2029'!$B$10:$K$37,10,FALSE),0)</f>
        <v>196.64000000000001</v>
      </c>
      <c r="BR21" s="129">
        <f>IFERROR(VLOOKUP($O21,'Table 3 PV wS UTN_2031'!$B$15:$K$37,10,FALSE),0)</f>
        <v>190.34566275538936</v>
      </c>
      <c r="BS21" s="129">
        <f>IFERROR(VLOOKUP($O21,'Table 3 PV wS UTS_2032'!B23:K45,10,FALSE),0)</f>
        <v>0</v>
      </c>
      <c r="BT21" s="370"/>
      <c r="BU21" s="371"/>
      <c r="BV21" s="129">
        <f>IFERROR(VLOOKUP($O21,'Table 3 StdBat  DJ_2029'!$B$15:$K$37,10,FALSE),0)</f>
        <v>113.97</v>
      </c>
      <c r="BW21" s="129">
        <f>IFERROR(VLOOKUP($O21,'Table 3 NonE 206MW (UTN) 2031'!$B$14:$M$36,12,FALSE),0)</f>
        <v>111.41513744317196</v>
      </c>
      <c r="BX21" s="129">
        <f>IFERROR(VLOOKUP($O21,'Table 3 NonE 206MW (Hgtn)'!$B$14:$M$36,12,FALSE),0)</f>
        <v>0</v>
      </c>
      <c r="BY21" s="370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0</v>
      </c>
      <c r="DA21">
        <f t="shared" si="40"/>
        <v>2031</v>
      </c>
      <c r="DB21" s="89">
        <f>IFERROR(VLOOKUP($DA21,'Table 3 TransCost'!$AA$10:$AD$32,4,FALSE),0)</f>
        <v>60.56</v>
      </c>
      <c r="DC21" s="171">
        <f t="shared" si="44"/>
        <v>0</v>
      </c>
    </row>
    <row r="22" spans="2:107" hidden="1">
      <c r="B22" s="15">
        <f t="shared" si="41"/>
        <v>2032</v>
      </c>
      <c r="C22" s="9">
        <f t="shared" si="21"/>
        <v>0</v>
      </c>
      <c r="D22" s="45"/>
      <c r="E22" s="9" t="e">
        <f t="shared" ca="1" si="42"/>
        <v>#DIV/0!</v>
      </c>
      <c r="F22" s="37"/>
      <c r="G22" s="14" t="e">
        <f t="shared" ca="1" si="45"/>
        <v>#DIV/0!</v>
      </c>
      <c r="H22" s="36"/>
      <c r="I22" s="171"/>
      <c r="J22" s="89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29">
        <f>IFERROR(VLOOKUP($O22,'Table 3 PNC Wind_2026'!$B$10:$L$37,11,FALSE),0)</f>
        <v>217.73000000000002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198.89999999999998</v>
      </c>
      <c r="BK22" s="129">
        <f>IFERROR(VLOOKUP($O22,'Table 3 WYE Wind_2029'!$B$10:$L$37,11,FALSE),0)</f>
        <v>215.17</v>
      </c>
      <c r="BL22" s="129">
        <f>IFERROR(VLOOKUP($O22,'Table 3 WYE_DJ Wind_2028'!$B$10:$L$37,11,FALSE),0)</f>
        <v>148.05000000000001</v>
      </c>
      <c r="BM22" s="129">
        <f>IFERROR(VLOOKUP($O22,'Table 3 YK WindwS_2029'!$B$10:$L$37,11,FALSE),0)</f>
        <v>199.89000000000001</v>
      </c>
      <c r="BN22" s="129">
        <f>IFERROR(VLOOKUP($O22,'Table 3 PV wS Borah_2026'!$B$10:$K$37,10,FALSE),0)</f>
        <v>208.72</v>
      </c>
      <c r="BO22" s="371"/>
      <c r="BP22" s="129">
        <f>IFERROR(VLOOKUP($O22,'Table 3 PV wS SOR_2030'!$B$10:$K$37,10,FALSE),0)</f>
        <v>229.01000000000002</v>
      </c>
      <c r="BQ22" s="129">
        <f>IFERROR(VLOOKUP($O22,'Table 3 PV wS YK_2029'!$B$10:$K$37,10,FALSE),0)</f>
        <v>200.88000000000002</v>
      </c>
      <c r="BR22" s="129">
        <f>IFERROR(VLOOKUP($O22,'Table 3 PV wS UTN_2031'!$B$15:$K$37,10,FALSE),0)</f>
        <v>194.43999999999997</v>
      </c>
      <c r="BS22" s="129">
        <f>IFERROR(VLOOKUP($O22,'Table 3 PV wS UTS_2032'!B24:K46,10,FALSE),0)</f>
        <v>191.64159812273908</v>
      </c>
      <c r="BT22" s="370"/>
      <c r="BU22" s="371"/>
      <c r="BV22" s="129">
        <f>IFERROR(VLOOKUP($O22,'Table 3 StdBat  DJ_2029'!$B$15:$K$37,10,FALSE),0)</f>
        <v>116.42</v>
      </c>
      <c r="BW22" s="129">
        <f>IFERROR(VLOOKUP($O22,'Table 3 NonE 206MW (UTN) 2031'!$B$14:$M$36,12,FALSE),0)</f>
        <v>113.81</v>
      </c>
      <c r="BX22" s="129">
        <f>IFERROR(VLOOKUP($O22,'Table 3 NonE 206MW (Hgtn)'!$B$14:$M$36,12,FALSE),0)</f>
        <v>0</v>
      </c>
      <c r="BY22" s="370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0</v>
      </c>
      <c r="DA22">
        <f t="shared" si="40"/>
        <v>2032</v>
      </c>
      <c r="DB22" s="89">
        <f>IFERROR(VLOOKUP($DA22,'Table 3 TransCost'!$AA$10:$AD$32,4,FALSE),0)</f>
        <v>61.87</v>
      </c>
      <c r="DC22" s="171">
        <f t="shared" si="44"/>
        <v>0</v>
      </c>
    </row>
    <row r="23" spans="2:107" hidden="1">
      <c r="B23" s="15">
        <f t="shared" si="41"/>
        <v>2033</v>
      </c>
      <c r="C23" s="9">
        <f t="shared" si="21"/>
        <v>0</v>
      </c>
      <c r="D23" s="45"/>
      <c r="E23" s="9" t="e">
        <f t="shared" ca="1" si="42"/>
        <v>#DIV/0!</v>
      </c>
      <c r="F23" s="37"/>
      <c r="G23" s="14" t="e">
        <f t="shared" ca="1" si="45"/>
        <v>#DIV/0!</v>
      </c>
      <c r="H23" s="36"/>
      <c r="I23" s="171"/>
      <c r="J23" s="89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29">
        <f>IFERROR(VLOOKUP($O23,'Table 3 PNC Wind_2026'!$B$10:$L$37,11,FALSE),0)</f>
        <v>222.42</v>
      </c>
      <c r="BI23" s="129">
        <f>IFERROR(VLOOKUP($O23,'Table 3 PNC Wind_2038'!$B$10:$L$37,11,FALSE),0)</f>
        <v>0</v>
      </c>
      <c r="BJ23" s="129">
        <f>IFERROR(VLOOKUP($O23,'Table 3 WV Wind_2026'!$B$10:$L$37,11,FALSE),0)</f>
        <v>203.18</v>
      </c>
      <c r="BK23" s="129">
        <f>IFERROR(VLOOKUP($O23,'Table 3 WYE Wind_2029'!$B$10:$L$37,11,FALSE),0)</f>
        <v>219.8</v>
      </c>
      <c r="BL23" s="129">
        <f>IFERROR(VLOOKUP($O23,'Table 3 WYE_DJ Wind_2028'!$B$10:$L$37,11,FALSE),0)</f>
        <v>151.24</v>
      </c>
      <c r="BM23" s="129">
        <f>IFERROR(VLOOKUP($O23,'Table 3 YK WindwS_2029'!$B$10:$L$37,11,FALSE),0)</f>
        <v>204.19</v>
      </c>
      <c r="BN23" s="129">
        <f>IFERROR(VLOOKUP($O23,'Table 3 PV wS Borah_2026'!$B$10:$K$37,10,FALSE),0)</f>
        <v>213.22000000000003</v>
      </c>
      <c r="BO23" s="371"/>
      <c r="BP23" s="129">
        <f>IFERROR(VLOOKUP($O23,'Table 3 PV wS SOR_2030'!$B$10:$K$37,10,FALSE),0)</f>
        <v>233.94</v>
      </c>
      <c r="BQ23" s="129">
        <f>IFERROR(VLOOKUP($O23,'Table 3 PV wS YK_2029'!$B$10:$K$37,10,FALSE),0)</f>
        <v>205.2</v>
      </c>
      <c r="BR23" s="129">
        <f>IFERROR(VLOOKUP($O23,'Table 3 PV wS UTN_2031'!$B$15:$K$37,10,FALSE),0)</f>
        <v>198.63</v>
      </c>
      <c r="BS23" s="129">
        <f>IFERROR(VLOOKUP($O23,'Table 3 PV wS UTS_2032'!B25:K47,10,FALSE),0)</f>
        <v>195.77</v>
      </c>
      <c r="BT23" s="370"/>
      <c r="BU23" s="371"/>
      <c r="BV23" s="129">
        <f>IFERROR(VLOOKUP($O23,'Table 3 StdBat  DJ_2029'!$B$15:$K$37,10,FALSE),0)</f>
        <v>118.92999999999999</v>
      </c>
      <c r="BW23" s="129">
        <f>IFERROR(VLOOKUP($O23,'Table 3 NonE 206MW (UTN) 2031'!$B$14:$M$36,12,FALSE),0)</f>
        <v>116.25999999999999</v>
      </c>
      <c r="BX23" s="129">
        <f>IFERROR(VLOOKUP($O23,'Table 3 NonE 206MW (Hgtn)'!$B$14:$M$36,12,FALSE),0)</f>
        <v>0</v>
      </c>
      <c r="BY23" s="370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0</v>
      </c>
      <c r="DA23">
        <f t="shared" si="40"/>
        <v>2033</v>
      </c>
      <c r="DB23" s="89">
        <f>IFERROR(VLOOKUP($DA23,'Table 3 TransCost'!$AA$10:$AD$32,4,FALSE),0)</f>
        <v>63.20000000000001</v>
      </c>
      <c r="DC23" s="171">
        <f t="shared" si="44"/>
        <v>0</v>
      </c>
    </row>
    <row r="24" spans="2:107" hidden="1">
      <c r="B24" s="15">
        <f t="shared" si="41"/>
        <v>2034</v>
      </c>
      <c r="C24" s="9">
        <f t="shared" si="21"/>
        <v>0</v>
      </c>
      <c r="D24" s="45"/>
      <c r="E24" s="9" t="e">
        <f t="shared" ca="1" si="42"/>
        <v>#DIV/0!</v>
      </c>
      <c r="F24" s="37"/>
      <c r="G24" s="14" t="e">
        <f t="shared" ca="1" si="45"/>
        <v>#DIV/0!</v>
      </c>
      <c r="H24" s="36"/>
      <c r="I24" s="171"/>
      <c r="J24" s="89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29">
        <f>IFERROR(VLOOKUP($O24,'Table 3 PNC Wind_2026'!$B$10:$L$37,11,FALSE),0)</f>
        <v>227.22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207.56</v>
      </c>
      <c r="BK24" s="129">
        <f>IFERROR(VLOOKUP($O24,'Table 3 WYE Wind_2029'!$B$10:$L$37,11,FALSE),0)</f>
        <v>224.54</v>
      </c>
      <c r="BL24" s="129">
        <f>IFERROR(VLOOKUP($O24,'Table 3 WYE_DJ Wind_2028'!$B$10:$L$37,11,FALSE),0)</f>
        <v>154.5</v>
      </c>
      <c r="BM24" s="129">
        <f>IFERROR(VLOOKUP($O24,'Table 3 YK WindwS_2029'!$B$10:$L$37,11,FALSE),0)</f>
        <v>208.59</v>
      </c>
      <c r="BN24" s="129">
        <f>IFERROR(VLOOKUP($O24,'Table 3 PV wS Borah_2026'!$B$10:$K$37,10,FALSE),0)</f>
        <v>217.82</v>
      </c>
      <c r="BO24" s="371"/>
      <c r="BP24" s="129">
        <f>IFERROR(VLOOKUP($O24,'Table 3 PV wS SOR_2030'!$B$10:$K$37,10,FALSE),0)</f>
        <v>238.98</v>
      </c>
      <c r="BQ24" s="129">
        <f>IFERROR(VLOOKUP($O24,'Table 3 PV wS YK_2029'!$B$10:$K$37,10,FALSE),0)</f>
        <v>209.62</v>
      </c>
      <c r="BR24" s="129">
        <f>IFERROR(VLOOKUP($O24,'Table 3 PV wS UTN_2031'!$B$15:$K$37,10,FALSE),0)</f>
        <v>202.91000000000003</v>
      </c>
      <c r="BS24" s="129">
        <f>IFERROR(VLOOKUP($O24,'Table 3 PV wS UTS_2032'!B26:K48,10,FALSE),0)</f>
        <v>199.99</v>
      </c>
      <c r="BT24" s="370"/>
      <c r="BU24" s="371"/>
      <c r="BV24" s="129">
        <f>IFERROR(VLOOKUP($O24,'Table 3 StdBat  DJ_2029'!$B$15:$K$37,10,FALSE),0)</f>
        <v>121.49000000000001</v>
      </c>
      <c r="BW24" s="129">
        <f>IFERROR(VLOOKUP($O24,'Table 3 NonE 206MW (UTN) 2031'!$B$14:$M$36,12,FALSE),0)</f>
        <v>118.77</v>
      </c>
      <c r="BX24" s="129">
        <f>IFERROR(VLOOKUP($O24,'Table 3 NonE 206MW (Hgtn)'!$B$14:$M$36,12,FALSE),0)</f>
        <v>0</v>
      </c>
      <c r="BY24" s="370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0</v>
      </c>
      <c r="DA24">
        <f t="shared" si="40"/>
        <v>2034</v>
      </c>
      <c r="DB24" s="89">
        <f>IFERROR(VLOOKUP($DA24,'Table 3 TransCost'!$AA$10:$AD$32,4,FALSE),0)</f>
        <v>64.56</v>
      </c>
      <c r="DC24" s="171">
        <f t="shared" si="44"/>
        <v>0</v>
      </c>
    </row>
    <row r="25" spans="2:107" hidden="1">
      <c r="B25" s="15">
        <f t="shared" si="41"/>
        <v>2035</v>
      </c>
      <c r="C25" s="9">
        <f t="shared" si="21"/>
        <v>0</v>
      </c>
      <c r="D25" s="45"/>
      <c r="E25" s="9" t="e">
        <f t="shared" ca="1" si="42"/>
        <v>#DIV/0!</v>
      </c>
      <c r="F25" s="37"/>
      <c r="G25" s="14" t="e">
        <f t="shared" ca="1" si="45"/>
        <v>#DIV/0!</v>
      </c>
      <c r="H25" s="36"/>
      <c r="I25" s="171"/>
      <c r="J25" s="89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29">
        <f>IFERROR(VLOOKUP($O25,'Table 3 PNC Wind_2026'!$B$10:$L$37,11,FALSE),0)</f>
        <v>232.10999999999999</v>
      </c>
      <c r="BI25" s="129">
        <f>IFERROR(VLOOKUP($O25,'Table 3 PNC Wind_2038'!$B$10:$L$37,11,FALSE),0)</f>
        <v>0</v>
      </c>
      <c r="BJ25" s="129">
        <f>IFERROR(VLOOKUP($O25,'Table 3 WV Wind_2026'!$B$10:$L$37,11,FALSE),0)</f>
        <v>212.01999999999998</v>
      </c>
      <c r="BK25" s="129">
        <f>IFERROR(VLOOKUP($O25,'Table 3 WYE Wind_2029'!$B$10:$L$37,11,FALSE),0)</f>
        <v>229.38</v>
      </c>
      <c r="BL25" s="129">
        <f>IFERROR(VLOOKUP($O25,'Table 3 WYE_DJ Wind_2028'!$B$10:$L$37,11,FALSE),0)</f>
        <v>157.83000000000001</v>
      </c>
      <c r="BM25" s="129">
        <f>IFERROR(VLOOKUP($O25,'Table 3 YK WindwS_2029'!$B$10:$L$37,11,FALSE),0)</f>
        <v>213.07999999999998</v>
      </c>
      <c r="BN25" s="129">
        <f>IFERROR(VLOOKUP($O25,'Table 3 PV wS Borah_2026'!$B$10:$K$37,10,FALSE),0)</f>
        <v>222.51</v>
      </c>
      <c r="BO25" s="371"/>
      <c r="BP25" s="129">
        <f>IFERROR(VLOOKUP($O25,'Table 3 PV wS SOR_2030'!$B$10:$K$37,10,FALSE),0)</f>
        <v>244.12</v>
      </c>
      <c r="BQ25" s="129">
        <f>IFERROR(VLOOKUP($O25,'Table 3 PV wS YK_2029'!$B$10:$K$37,10,FALSE),0)</f>
        <v>214.14</v>
      </c>
      <c r="BR25" s="129">
        <f>IFERROR(VLOOKUP($O25,'Table 3 PV wS UTN_2031'!$B$15:$K$37,10,FALSE),0)</f>
        <v>207.28</v>
      </c>
      <c r="BS25" s="129">
        <f>IFERROR(VLOOKUP($O25,'Table 3 PV wS UTS_2032'!B27:K49,10,FALSE),0)</f>
        <v>204.3</v>
      </c>
      <c r="BT25" s="370"/>
      <c r="BU25" s="371"/>
      <c r="BV25" s="129">
        <f>IFERROR(VLOOKUP($O25,'Table 3 StdBat  DJ_2029'!$B$15:$K$37,10,FALSE),0)</f>
        <v>124.1</v>
      </c>
      <c r="BW25" s="129">
        <f>IFERROR(VLOOKUP($O25,'Table 3 NonE 206MW (UTN) 2031'!$B$14:$M$36,12,FALSE),0)</f>
        <v>121.33</v>
      </c>
      <c r="BX25" s="129">
        <f>IFERROR(VLOOKUP($O25,'Table 3 NonE 206MW (Hgtn)'!$B$14:$M$36,12,FALSE),0)</f>
        <v>0</v>
      </c>
      <c r="BY25" s="370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0</v>
      </c>
      <c r="DA25">
        <f t="shared" si="40"/>
        <v>2035</v>
      </c>
      <c r="DB25" s="89">
        <f>IFERROR(VLOOKUP($DA25,'Table 3 TransCost'!$AA$10:$AD$32,4,FALSE),0)</f>
        <v>65.95</v>
      </c>
      <c r="DC25" s="171">
        <f t="shared" si="44"/>
        <v>0</v>
      </c>
    </row>
    <row r="26" spans="2:107" hidden="1">
      <c r="B26" s="15">
        <f t="shared" si="41"/>
        <v>2036</v>
      </c>
      <c r="C26" s="9">
        <f t="shared" si="21"/>
        <v>0</v>
      </c>
      <c r="D26" s="45"/>
      <c r="E26" s="9" t="e">
        <f t="shared" ca="1" si="42"/>
        <v>#DIV/0!</v>
      </c>
      <c r="F26" s="37"/>
      <c r="G26" s="14" t="e">
        <f t="shared" ca="1" si="45"/>
        <v>#DIV/0!</v>
      </c>
      <c r="H26" s="36"/>
      <c r="I26" s="171"/>
      <c r="J26" s="89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29">
        <f>IFERROR(VLOOKUP($O26,'Table 3 PNC Wind_2026'!$B$10:$L$37,11,FALSE),0)</f>
        <v>237.11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216.58999999999997</v>
      </c>
      <c r="BK26" s="129">
        <f>IFERROR(VLOOKUP($O26,'Table 3 WYE Wind_2029'!$B$10:$L$37,11,FALSE),0)</f>
        <v>234.32999999999998</v>
      </c>
      <c r="BL26" s="129">
        <f>IFERROR(VLOOKUP($O26,'Table 3 WYE_DJ Wind_2028'!$B$10:$L$37,11,FALSE),0)</f>
        <v>161.23000000000002</v>
      </c>
      <c r="BM26" s="129">
        <f>IFERROR(VLOOKUP($O26,'Table 3 YK WindwS_2029'!$B$10:$L$37,11,FALSE),0)</f>
        <v>217.67</v>
      </c>
      <c r="BN26" s="129">
        <f>IFERROR(VLOOKUP($O26,'Table 3 PV wS Borah_2026'!$B$10:$K$37,10,FALSE),0)</f>
        <v>227.3</v>
      </c>
      <c r="BO26" s="371"/>
      <c r="BP26" s="129">
        <f>IFERROR(VLOOKUP($O26,'Table 3 PV wS SOR_2030'!$B$10:$K$37,10,FALSE),0)</f>
        <v>249.38</v>
      </c>
      <c r="BQ26" s="129">
        <f>IFERROR(VLOOKUP($O26,'Table 3 PV wS YK_2029'!$B$10:$K$37,10,FALSE),0)</f>
        <v>218.76000000000002</v>
      </c>
      <c r="BR26" s="129">
        <f>IFERROR(VLOOKUP($O26,'Table 3 PV wS UTN_2031'!$B$15:$K$37,10,FALSE),0)</f>
        <v>211.73999999999998</v>
      </c>
      <c r="BS26" s="129">
        <f>IFERROR(VLOOKUP($O26,'Table 3 PV wS UTS_2032'!B28:K50,10,FALSE),0)</f>
        <v>208.70000000000002</v>
      </c>
      <c r="BT26" s="370"/>
      <c r="BU26" s="371"/>
      <c r="BV26" s="129">
        <f>IFERROR(VLOOKUP($O26,'Table 3 StdBat  DJ_2029'!$B$15:$K$37,10,FALSE),0)</f>
        <v>126.78</v>
      </c>
      <c r="BW26" s="129">
        <f>IFERROR(VLOOKUP($O26,'Table 3 NonE 206MW (UTN) 2031'!$B$14:$M$36,12,FALSE),0)</f>
        <v>123.94</v>
      </c>
      <c r="BX26" s="129">
        <f>IFERROR(VLOOKUP($O26,'Table 3 NonE 206MW (Hgtn)'!$B$14:$M$36,12,FALSE),0)</f>
        <v>0</v>
      </c>
      <c r="BY26" s="370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0</v>
      </c>
      <c r="DA26">
        <f t="shared" si="40"/>
        <v>2036</v>
      </c>
      <c r="DB26" s="89">
        <f>IFERROR(VLOOKUP($DA26,'Table 3 TransCost'!$AA$10:$AD$32,4,FALSE),0)</f>
        <v>67.37</v>
      </c>
      <c r="DC26" s="171">
        <f t="shared" si="44"/>
        <v>0</v>
      </c>
    </row>
    <row r="27" spans="2:107" hidden="1">
      <c r="B27" s="15">
        <f t="shared" si="41"/>
        <v>2037</v>
      </c>
      <c r="C27" s="9">
        <f t="shared" si="21"/>
        <v>0</v>
      </c>
      <c r="D27" s="45"/>
      <c r="E27" s="9" t="e">
        <f t="shared" ca="1" si="42"/>
        <v>#DIV/0!</v>
      </c>
      <c r="F27" s="37"/>
      <c r="G27" s="14" t="e">
        <f t="shared" ca="1" si="45"/>
        <v>#DIV/0!</v>
      </c>
      <c r="H27" s="36"/>
      <c r="I27" s="171"/>
      <c r="J27" s="89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29">
        <f>IFERROR(VLOOKUP($O27,'Table 3 PNC Wind_2026'!$B$10:$L$37,11,FALSE),0)</f>
        <v>242.22</v>
      </c>
      <c r="BI27" s="129">
        <f>IFERROR(VLOOKUP($O27,'Table 3 PNC Wind_2038'!$B$10:$L$37,11,FALSE),0)</f>
        <v>0</v>
      </c>
      <c r="BJ27" s="129">
        <f>IFERROR(VLOOKUP($O27,'Table 3 WV Wind_2026'!$B$10:$L$37,11,FALSE),0)</f>
        <v>221.26</v>
      </c>
      <c r="BK27" s="129">
        <f>IFERROR(VLOOKUP($O27,'Table 3 WYE Wind_2029'!$B$10:$L$37,11,FALSE),0)</f>
        <v>239.38</v>
      </c>
      <c r="BL27" s="129">
        <f>IFERROR(VLOOKUP($O27,'Table 3 WYE_DJ Wind_2028'!$B$10:$L$37,11,FALSE),0)</f>
        <v>164.7</v>
      </c>
      <c r="BM27" s="129">
        <f>IFERROR(VLOOKUP($O27,'Table 3 YK WindwS_2029'!$B$10:$L$37,11,FALSE),0)</f>
        <v>222.35999999999999</v>
      </c>
      <c r="BN27" s="129">
        <f>IFERROR(VLOOKUP($O27,'Table 3 PV wS Borah_2026'!$B$10:$K$37,10,FALSE),0)</f>
        <v>232.20000000000002</v>
      </c>
      <c r="BO27" s="371"/>
      <c r="BP27" s="129">
        <f>IFERROR(VLOOKUP($O27,'Table 3 PV wS SOR_2030'!$B$10:$K$37,10,FALSE),0)</f>
        <v>254.76</v>
      </c>
      <c r="BQ27" s="129">
        <f>IFERROR(VLOOKUP($O27,'Table 3 PV wS YK_2029'!$B$10:$K$37,10,FALSE),0)</f>
        <v>223.47</v>
      </c>
      <c r="BR27" s="129">
        <f>IFERROR(VLOOKUP($O27,'Table 3 PV wS UTN_2031'!$B$15:$K$37,10,FALSE),0)</f>
        <v>216.31</v>
      </c>
      <c r="BS27" s="129">
        <f>IFERROR(VLOOKUP($O27,'Table 3 PV wS UTS_2032'!B29:K51,10,FALSE),0)</f>
        <v>213.2</v>
      </c>
      <c r="BT27" s="370"/>
      <c r="BU27" s="371"/>
      <c r="BV27" s="129">
        <f>IFERROR(VLOOKUP($O27,'Table 3 StdBat  DJ_2029'!$B$15:$K$37,10,FALSE),0)</f>
        <v>129.51</v>
      </c>
      <c r="BW27" s="129">
        <f>IFERROR(VLOOKUP($O27,'Table 3 NonE 206MW (UTN) 2031'!$B$14:$M$36,12,FALSE),0)</f>
        <v>126.61</v>
      </c>
      <c r="BX27" s="129">
        <f>IFERROR(VLOOKUP($O27,'Table 3 NonE 206MW (Hgtn)'!$B$14:$M$36,12,FALSE),0)</f>
        <v>103.9</v>
      </c>
      <c r="BY27" s="370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0</v>
      </c>
      <c r="DA27">
        <f t="shared" si="40"/>
        <v>2037</v>
      </c>
      <c r="DB27" s="89">
        <f>IFERROR(VLOOKUP($DA27,'Table 3 TransCost'!$AA$10:$AD$32,4,FALSE),0)</f>
        <v>68.819999999999993</v>
      </c>
      <c r="DC27" s="171">
        <f t="shared" si="44"/>
        <v>0</v>
      </c>
    </row>
    <row r="28" spans="2:107" hidden="1">
      <c r="B28" s="15">
        <f t="shared" si="41"/>
        <v>2038</v>
      </c>
      <c r="C28" s="9">
        <f t="shared" si="21"/>
        <v>0</v>
      </c>
      <c r="D28" s="45"/>
      <c r="E28" s="9" t="e">
        <f t="shared" ca="1" si="42"/>
        <v>#DIV/0!</v>
      </c>
      <c r="F28" s="37"/>
      <c r="G28" s="14" t="e">
        <f t="shared" ca="1" si="45"/>
        <v>#DIV/0!</v>
      </c>
      <c r="H28" s="36"/>
      <c r="I28" s="171"/>
      <c r="J28" s="89"/>
      <c r="M28" s="111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29">
        <f>IFERROR(VLOOKUP($O28,'Table 3 PNC Wind_2026'!$B$10:$L$37,11,FALSE),0)</f>
        <v>247.44</v>
      </c>
      <c r="BI28" s="129">
        <f>IFERROR(VLOOKUP($O28,'Table 3 PNC Wind_2038'!$B$10:$L$37,11,FALSE),0)</f>
        <v>250.03791492447499</v>
      </c>
      <c r="BJ28" s="129">
        <f>IFERROR(VLOOKUP($O28,'Table 3 WV Wind_2026'!$B$10:$L$37,11,FALSE),0)</f>
        <v>226.03</v>
      </c>
      <c r="BK28" s="129">
        <f>IFERROR(VLOOKUP($O28,'Table 3 WYE Wind_2029'!$B$10:$L$37,11,FALSE),0)</f>
        <v>244.54000000000002</v>
      </c>
      <c r="BL28" s="129">
        <f>IFERROR(VLOOKUP($O28,'Table 3 WYE_DJ Wind_2028'!$B$10:$L$37,11,FALSE),0)</f>
        <v>168.25</v>
      </c>
      <c r="BM28" s="129">
        <f>IFERROR(VLOOKUP($O28,'Table 3 YK WindwS_2029'!$B$10:$L$37,11,FALSE),0)</f>
        <v>227.16000000000003</v>
      </c>
      <c r="BN28" s="129">
        <f>IFERROR(VLOOKUP($O28,'Table 3 PV wS Borah_2026'!$B$10:$K$37,10,FALSE),0)</f>
        <v>237.2</v>
      </c>
      <c r="BO28" s="371"/>
      <c r="BP28" s="129">
        <f>IFERROR(VLOOKUP($O28,'Table 3 PV wS SOR_2030'!$B$10:$K$37,10,FALSE),0)</f>
        <v>260.25</v>
      </c>
      <c r="BQ28" s="129">
        <f>IFERROR(VLOOKUP($O28,'Table 3 PV wS YK_2029'!$B$10:$K$37,10,FALSE),0)</f>
        <v>228.29</v>
      </c>
      <c r="BR28" s="129">
        <f>IFERROR(VLOOKUP($O28,'Table 3 PV wS UTN_2031'!$B$15:$K$37,10,FALSE),0)</f>
        <v>220.96999999999997</v>
      </c>
      <c r="BS28" s="129">
        <f>IFERROR(VLOOKUP($O28,'Table 3 PV wS UTS_2032'!B30:K52,10,FALSE),0)</f>
        <v>217.79999999999998</v>
      </c>
      <c r="BT28" s="370"/>
      <c r="BU28" s="371"/>
      <c r="BV28" s="129">
        <f>IFERROR(VLOOKUP($O28,'Table 3 StdBat  DJ_2029'!$B$15:$K$37,10,FALSE),0)</f>
        <v>132.30000000000001</v>
      </c>
      <c r="BW28" s="129">
        <f>IFERROR(VLOOKUP($O28,'Table 3 NonE 206MW (UTN) 2031'!$B$14:$M$36,12,FALSE),0)</f>
        <v>129.32999999999998</v>
      </c>
      <c r="BX28" s="129">
        <f>IFERROR(VLOOKUP($O28,'Table 3 NonE 206MW (Hgtn)'!$B$14:$M$36,12,FALSE),0)</f>
        <v>106.14</v>
      </c>
      <c r="BY28" s="370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0</v>
      </c>
      <c r="DA28">
        <f t="shared" si="40"/>
        <v>2038</v>
      </c>
      <c r="DB28" s="89">
        <f>IFERROR(VLOOKUP($DA28,'Table 3 TransCost'!$AA$10:$AD$32,4,FALSE),0)</f>
        <v>70.3</v>
      </c>
      <c r="DC28" s="171">
        <f t="shared" si="44"/>
        <v>0</v>
      </c>
    </row>
    <row r="29" spans="2:107" hidden="1">
      <c r="B29" s="15">
        <f t="shared" si="41"/>
        <v>2039</v>
      </c>
      <c r="C29" s="9">
        <f t="shared" si="21"/>
        <v>0</v>
      </c>
      <c r="D29" s="45"/>
      <c r="E29" s="9" t="e">
        <f t="shared" ca="1" si="42"/>
        <v>#DIV/0!</v>
      </c>
      <c r="F29" s="37"/>
      <c r="G29" s="14" t="e">
        <f t="shared" ca="1" si="45"/>
        <v>#DIV/0!</v>
      </c>
      <c r="H29" s="36"/>
      <c r="I29" s="171"/>
      <c r="J29" s="171"/>
      <c r="M29" s="111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29">
        <f>IFERROR(VLOOKUP($O29,'Table 3 PNC Wind_2026'!$B$10:$L$37,11,FALSE),0)</f>
        <v>252.76999999999998</v>
      </c>
      <c r="BI29" s="129">
        <f>IFERROR(VLOOKUP($O29,'Table 3 PNC Wind_2038'!$B$10:$L$37,11,FALSE),0)</f>
        <v>255.43</v>
      </c>
      <c r="BJ29" s="129">
        <f>IFERROR(VLOOKUP($O29,'Table 3 WV Wind_2026'!$B$10:$L$37,11,FALSE),0)</f>
        <v>230.9</v>
      </c>
      <c r="BK29" s="129">
        <f>IFERROR(VLOOKUP($O29,'Table 3 WYE Wind_2029'!$B$10:$L$37,11,FALSE),0)</f>
        <v>249.81</v>
      </c>
      <c r="BL29" s="129">
        <f>IFERROR(VLOOKUP($O29,'Table 3 WYE_DJ Wind_2028'!$B$10:$L$37,11,FALSE),0)</f>
        <v>171.88</v>
      </c>
      <c r="BM29" s="129">
        <f>IFERROR(VLOOKUP($O29,'Table 3 YK WindwS_2029'!$B$10:$L$37,11,FALSE),0)</f>
        <v>232.06</v>
      </c>
      <c r="BN29" s="129">
        <f>IFERROR(VLOOKUP($O29,'Table 3 PV wS Borah_2026'!$B$10:$K$37,10,FALSE),0)</f>
        <v>242.32</v>
      </c>
      <c r="BO29" s="371"/>
      <c r="BP29" s="129">
        <f>IFERROR(VLOOKUP($O29,'Table 3 PV wS SOR_2030'!$B$10:$K$37,10,FALSE),0)</f>
        <v>265.84999999999997</v>
      </c>
      <c r="BQ29" s="129">
        <f>IFERROR(VLOOKUP($O29,'Table 3 PV wS YK_2029'!$B$10:$K$37,10,FALSE),0)</f>
        <v>233.21</v>
      </c>
      <c r="BR29" s="129">
        <f>IFERROR(VLOOKUP($O29,'Table 3 PV wS UTN_2031'!$B$15:$K$37,10,FALSE),0)</f>
        <v>225.73</v>
      </c>
      <c r="BS29" s="129">
        <f>IFERROR(VLOOKUP($O29,'Table 3 PV wS UTS_2032'!B31:K53,10,FALSE),0)</f>
        <v>222.49</v>
      </c>
      <c r="BT29" s="370"/>
      <c r="BU29" s="371"/>
      <c r="BV29" s="129">
        <f>IFERROR(VLOOKUP($O29,'Table 3 StdBat  DJ_2029'!$B$15:$K$37,10,FALSE),0)</f>
        <v>135.14999999999998</v>
      </c>
      <c r="BW29" s="129">
        <f>IFERROR(VLOOKUP($O29,'Table 3 NonE 206MW (UTN) 2031'!$B$14:$M$36,12,FALSE),0)</f>
        <v>132.12</v>
      </c>
      <c r="BX29" s="129">
        <f>IFERROR(VLOOKUP($O29,'Table 3 NonE 206MW (Hgtn)'!$B$14:$M$36,12,FALSE),0)</f>
        <v>108.43</v>
      </c>
      <c r="BY29" s="370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0</v>
      </c>
      <c r="DA29">
        <f t="shared" si="40"/>
        <v>2039</v>
      </c>
      <c r="DB29" s="89">
        <f>IFERROR(VLOOKUP($DA29,'Table 3 TransCost'!$AA$10:$AD$32,4,FALSE),0)</f>
        <v>71.81</v>
      </c>
      <c r="DC29" s="171">
        <f t="shared" si="44"/>
        <v>0</v>
      </c>
    </row>
    <row r="30" spans="2:107" hidden="1">
      <c r="B30" s="15">
        <f t="shared" si="41"/>
        <v>2040</v>
      </c>
      <c r="C30" s="9">
        <f t="shared" si="21"/>
        <v>0</v>
      </c>
      <c r="D30" s="45"/>
      <c r="E30" s="9" t="e">
        <f t="shared" ca="1" si="42"/>
        <v>#DIV/0!</v>
      </c>
      <c r="F30" s="37"/>
      <c r="G30" s="14" t="e">
        <f t="shared" ca="1" si="45"/>
        <v>#DIV/0!</v>
      </c>
      <c r="H30" s="36"/>
      <c r="I30" s="171"/>
      <c r="J30" s="171"/>
      <c r="M30" s="111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29">
        <f>IFERROR(VLOOKUP($O30,'Table 3 PNC Wind_2026'!$B$10:$L$37,11,FALSE),0)</f>
        <v>258.21000000000004</v>
      </c>
      <c r="BI30" s="129">
        <f>IFERROR(VLOOKUP($O30,'Table 3 PNC Wind_2038'!$B$10:$L$37,11,FALSE),0)</f>
        <v>260.93</v>
      </c>
      <c r="BJ30" s="129">
        <f>IFERROR(VLOOKUP($O30,'Table 3 WV Wind_2026'!$B$10:$L$37,11,FALSE),0)</f>
        <v>235.86999999999998</v>
      </c>
      <c r="BK30" s="129">
        <f>IFERROR(VLOOKUP($O30,'Table 3 WYE Wind_2029'!$B$10:$L$37,11,FALSE),0)</f>
        <v>255.19</v>
      </c>
      <c r="BL30" s="129">
        <f>IFERROR(VLOOKUP($O30,'Table 3 WYE_DJ Wind_2028'!$B$10:$L$37,11,FALSE),0)</f>
        <v>175.59</v>
      </c>
      <c r="BM30" s="129">
        <f>IFERROR(VLOOKUP($O30,'Table 3 YK WindwS_2029'!$B$10:$L$37,11,FALSE),0)</f>
        <v>237.06</v>
      </c>
      <c r="BN30" s="129">
        <f>IFERROR(VLOOKUP($O30,'Table 3 PV wS Borah_2026'!$B$10:$K$37,10,FALSE),0)</f>
        <v>247.54</v>
      </c>
      <c r="BO30" s="371"/>
      <c r="BP30" s="129">
        <f>IFERROR(VLOOKUP($O30,'Table 3 PV wS SOR_2030'!$B$10:$K$37,10,FALSE),0)</f>
        <v>271.58000000000004</v>
      </c>
      <c r="BQ30" s="129">
        <f>IFERROR(VLOOKUP($O30,'Table 3 PV wS YK_2029'!$B$10:$K$37,10,FALSE),0)</f>
        <v>238.24</v>
      </c>
      <c r="BR30" s="129">
        <f>IFERROR(VLOOKUP($O30,'Table 3 PV wS UTN_2031'!$B$15:$K$37,10,FALSE),0)</f>
        <v>230.59</v>
      </c>
      <c r="BS30" s="129">
        <f>IFERROR(VLOOKUP($O30,'Table 3 PV wS UTS_2032'!B32:K54,10,FALSE),0)</f>
        <v>227.28</v>
      </c>
      <c r="BT30" s="370"/>
      <c r="BU30" s="371"/>
      <c r="BV30" s="129">
        <f>IFERROR(VLOOKUP($O30,'Table 3 StdBat  DJ_2029'!$B$15:$K$37,10,FALSE),0)</f>
        <v>138.06</v>
      </c>
      <c r="BW30" s="129">
        <f>IFERROR(VLOOKUP($O30,'Table 3 NonE 206MW (UTN) 2031'!$B$14:$M$36,12,FALSE),0)</f>
        <v>134.97</v>
      </c>
      <c r="BX30" s="129">
        <f>IFERROR(VLOOKUP($O30,'Table 3 NonE 206MW (Hgtn)'!$B$14:$M$36,12,FALSE),0)</f>
        <v>110.77</v>
      </c>
      <c r="BY30" s="370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0</v>
      </c>
      <c r="DA30">
        <f t="shared" si="40"/>
        <v>2040</v>
      </c>
      <c r="DB30" s="89">
        <f>IFERROR(VLOOKUP($DA30,'Table 3 TransCost'!$AA$10:$AD$32,4,FALSE),0)</f>
        <v>73.36</v>
      </c>
      <c r="DC30" s="171">
        <f t="shared" si="44"/>
        <v>0</v>
      </c>
    </row>
    <row r="31" spans="2:107" hidden="1">
      <c r="B31" s="15">
        <f t="shared" si="41"/>
        <v>2041</v>
      </c>
      <c r="C31" s="9" t="e">
        <f t="shared" si="21"/>
        <v>#N/A</v>
      </c>
      <c r="D31" s="45"/>
      <c r="E31" s="9" t="e">
        <f t="shared" ca="1" si="42"/>
        <v>#DIV/0!</v>
      </c>
      <c r="F31" s="37"/>
      <c r="G31" s="14" t="e">
        <f t="shared" ca="1" si="45"/>
        <v>#DIV/0!</v>
      </c>
      <c r="H31" s="36"/>
      <c r="I31" s="171"/>
      <c r="J31" s="171"/>
      <c r="M31" s="111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29">
        <f>IFERROR(VLOOKUP($O31,'Table 3 PNC Wind_2026'!$B$10:$L$37,11,FALSE),0)</f>
        <v>263.77</v>
      </c>
      <c r="BI31" s="129">
        <f>IFERROR(VLOOKUP($O31,'Table 3 PNC Wind_2038'!$B$10:$L$37,11,FALSE),0)</f>
        <v>266.55</v>
      </c>
      <c r="BJ31" s="129">
        <f>IFERROR(VLOOKUP($O31,'Table 3 WV Wind_2026'!$B$10:$L$37,11,FALSE),0)</f>
        <v>240.95</v>
      </c>
      <c r="BK31" s="129">
        <f>IFERROR(VLOOKUP($O31,'Table 3 WYE Wind_2029'!$B$10:$L$37,11,FALSE),0)</f>
        <v>260.68999999999994</v>
      </c>
      <c r="BL31" s="129">
        <f>IFERROR(VLOOKUP($O31,'Table 3 WYE_DJ Wind_2028'!$B$10:$L$37,11,FALSE),0)</f>
        <v>179.37</v>
      </c>
      <c r="BM31" s="129">
        <f>IFERROR(VLOOKUP($O31,'Table 3 YK WindwS_2029'!$B$10:$L$37,11,FALSE),0)</f>
        <v>242.16</v>
      </c>
      <c r="BN31" s="129">
        <f>IFERROR(VLOOKUP($O31,'Table 3 PV wS Borah_2026'!$B$10:$K$37,10,FALSE),0)</f>
        <v>252.87</v>
      </c>
      <c r="BO31" s="371"/>
      <c r="BP31" s="129">
        <f>IFERROR(VLOOKUP($O31,'Table 3 PV wS SOR_2030'!$B$10:$K$37,10,FALSE),0)</f>
        <v>277.43</v>
      </c>
      <c r="BQ31" s="129">
        <f>IFERROR(VLOOKUP($O31,'Table 3 PV wS YK_2029'!$B$10:$K$37,10,FALSE),0)</f>
        <v>243.37</v>
      </c>
      <c r="BR31" s="129">
        <f>IFERROR(VLOOKUP($O31,'Table 3 PV wS UTN_2031'!$B$15:$K$37,10,FALSE),0)</f>
        <v>235.56</v>
      </c>
      <c r="BS31" s="129">
        <f>IFERROR(VLOOKUP($O31,'Table 3 PV wS UTS_2032'!B33:K55,10,FALSE),0)</f>
        <v>232.17999999999998</v>
      </c>
      <c r="BT31" s="370"/>
      <c r="BU31" s="371"/>
      <c r="BV31" s="129">
        <f>IFERROR(VLOOKUP($O31,'Table 3 StdBat  DJ_2029'!$B$15:$K$37,10,FALSE),0)</f>
        <v>141.04</v>
      </c>
      <c r="BW31" s="129">
        <f>IFERROR(VLOOKUP($O31,'Table 3 NonE 206MW (UTN) 2031'!$B$14:$M$36,12,FALSE),0)</f>
        <v>137.87</v>
      </c>
      <c r="BX31" s="129">
        <f>IFERROR(VLOOKUP($O31,'Table 3 NonE 206MW (Hgtn)'!$B$14:$M$36,12,FALSE),0)</f>
        <v>113.16</v>
      </c>
      <c r="BY31" s="370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9">
        <f>IFERROR(VLOOKUP($DA31,'Table 3 TransCost'!$AA$10:$AD$32,4,FALSE),0)</f>
        <v>74.94</v>
      </c>
      <c r="DC31" s="171">
        <f t="shared" ref="DC31:DC32" si="67">$DB$5*DB31/1000</f>
        <v>0</v>
      </c>
    </row>
    <row r="32" spans="2:107" hidden="1">
      <c r="B32" s="15">
        <f t="shared" si="41"/>
        <v>2042</v>
      </c>
      <c r="C32" s="9" t="e">
        <f t="shared" si="21"/>
        <v>#N/A</v>
      </c>
      <c r="D32" s="45"/>
      <c r="E32" s="9" t="e">
        <f t="shared" ca="1" si="42"/>
        <v>#DIV/0!</v>
      </c>
      <c r="F32" s="37"/>
      <c r="G32" s="14" t="e">
        <f t="shared" ca="1" si="45"/>
        <v>#DIV/0!</v>
      </c>
      <c r="H32" s="36"/>
      <c r="I32" s="171"/>
      <c r="J32" s="171"/>
      <c r="M32" s="111"/>
      <c r="O32">
        <f t="shared" si="22"/>
        <v>2042</v>
      </c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G32" s="344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29">
        <f>IFERROR(VLOOKUP($O32,'Table 3 PNC Wind_2026'!$B$10:$L$37,11,FALSE),0)</f>
        <v>269.45</v>
      </c>
      <c r="BI32" s="129">
        <f>IFERROR(VLOOKUP($O32,'Table 3 PNC Wind_2038'!$B$10:$L$37,11,FALSE),0)</f>
        <v>272.29000000000002</v>
      </c>
      <c r="BJ32" s="129">
        <f>IFERROR(VLOOKUP($O32,'Table 3 WV Wind_2026'!$B$10:$L$37,11,FALSE),0)</f>
        <v>246.14</v>
      </c>
      <c r="BK32" s="129">
        <f>IFERROR(VLOOKUP($O32,'Table 3 WYE Wind_2029'!$B$10:$L$37,11,FALSE),0)</f>
        <v>266.29999999999995</v>
      </c>
      <c r="BL32" s="129">
        <f>IFERROR(VLOOKUP($O32,'Table 3 WYE_DJ Wind_2028'!$B$10:$L$37,11,FALSE),0)</f>
        <v>183.23</v>
      </c>
      <c r="BM32" s="129">
        <f>IFERROR(VLOOKUP($O32,'Table 3 YK WindwS_2029'!$B$10:$L$37,11,FALSE),0)</f>
        <v>247.38</v>
      </c>
      <c r="BN32" s="129">
        <f>IFERROR(VLOOKUP($O32,'Table 3 PV wS Borah_2026'!$B$10:$K$37,10,FALSE),0)</f>
        <v>258.31</v>
      </c>
      <c r="BO32" s="371"/>
      <c r="BP32" s="129">
        <f>IFERROR(VLOOKUP($O32,'Table 3 PV wS SOR_2030'!$B$10:$K$37,10,FALSE),0)</f>
        <v>283.41000000000003</v>
      </c>
      <c r="BQ32" s="129">
        <f>IFERROR(VLOOKUP($O32,'Table 3 PV wS YK_2029'!$B$10:$K$37,10,FALSE),0)</f>
        <v>248.62</v>
      </c>
      <c r="BR32" s="129">
        <f>IFERROR(VLOOKUP($O32,'Table 3 PV wS UTN_2031'!$B$15:$K$37,10,FALSE),0)</f>
        <v>240.63</v>
      </c>
      <c r="BS32" s="129">
        <f>IFERROR(VLOOKUP($O32,'Table 3 PV wS UTS_2032'!B34:K56,10,FALSE),0)</f>
        <v>237.18</v>
      </c>
      <c r="BT32" s="370"/>
      <c r="BU32" s="371"/>
      <c r="BV32" s="129">
        <f>IFERROR(VLOOKUP($O32,'Table 3 StdBat  DJ_2029'!$B$15:$K$37,10,FALSE),0)</f>
        <v>144.07999999999998</v>
      </c>
      <c r="BW32" s="129">
        <f>IFERROR(VLOOKUP($O32,'Table 3 NonE 206MW (UTN) 2031'!$B$14:$M$36,12,FALSE),0)</f>
        <v>140.84</v>
      </c>
      <c r="BX32" s="129">
        <f>IFERROR(VLOOKUP($O32,'Table 3 NonE 206MW (Hgtn)'!$B$14:$M$36,12,FALSE),0)</f>
        <v>115.6</v>
      </c>
      <c r="BY32" s="370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9">
        <f>IFERROR(VLOOKUP($DA32,'Table 3 TransCost'!$AA$10:$AD$32,4,FALSE),0)</f>
        <v>76.55</v>
      </c>
      <c r="DC32" s="171">
        <f t="shared" si="67"/>
        <v>0</v>
      </c>
    </row>
    <row r="33" spans="1:107" hidden="1">
      <c r="B33" s="15">
        <f t="shared" si="41"/>
        <v>2043</v>
      </c>
      <c r="C33" s="9" t="e">
        <f t="shared" si="21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5"/>
        <v>#DIV/0!</v>
      </c>
      <c r="H33" s="36"/>
      <c r="I33" s="171"/>
      <c r="J33" s="171"/>
      <c r="M33" s="111"/>
      <c r="O33">
        <f t="shared" ref="O33" si="68">B33</f>
        <v>2043</v>
      </c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G33" s="344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29">
        <f>IFERROR(VLOOKUP($O33,'Table 3 PNC Wind_2026'!$B$10:$L$37,11,FALSE),0)</f>
        <v>275.26</v>
      </c>
      <c r="BI33" s="129">
        <f>IFERROR(VLOOKUP($O33,'Table 3 PNC Wind_2038'!$B$10:$L$37,11,FALSE),0)</f>
        <v>278.16000000000003</v>
      </c>
      <c r="BJ33" s="129">
        <f>IFERROR(VLOOKUP($O33,'Table 3 WV Wind_2026'!$B$10:$L$37,11,FALSE),0)</f>
        <v>251.45000000000002</v>
      </c>
      <c r="BK33" s="129">
        <f>IFERROR(VLOOKUP($O33,'Table 3 WYE Wind_2029'!$B$10:$L$37,11,FALSE),0)</f>
        <v>272.04000000000002</v>
      </c>
      <c r="BL33" s="129">
        <f>IFERROR(VLOOKUP($O33,'Table 3 WYE_DJ Wind_2028'!$B$10:$L$37,11,FALSE),0)</f>
        <v>187.18</v>
      </c>
      <c r="BM33" s="129">
        <f>IFERROR(VLOOKUP($O33,'Table 3 YK WindwS_2029'!$B$10:$L$37,11,FALSE),0)</f>
        <v>252.71</v>
      </c>
      <c r="BN33" s="129">
        <f>IFERROR(VLOOKUP($O33,'Table 3 PV wS Borah_2026'!$B$10:$K$37,10,FALSE),0)</f>
        <v>263.88</v>
      </c>
      <c r="BO33" s="371"/>
      <c r="BP33" s="129">
        <f>IFERROR(VLOOKUP($O33,'Table 3 PV wS SOR_2030'!$B$10:$K$37,10,FALSE),0)</f>
        <v>289.51</v>
      </c>
      <c r="BQ33" s="129">
        <f>IFERROR(VLOOKUP($O33,'Table 3 PV wS YK_2029'!$B$10:$K$37,10,FALSE),0)</f>
        <v>253.97</v>
      </c>
      <c r="BR33" s="129">
        <f>IFERROR(VLOOKUP($O33,'Table 3 PV wS UTN_2031'!$B$15:$K$37,10,FALSE),0)</f>
        <v>245.82</v>
      </c>
      <c r="BS33" s="129">
        <f>IFERROR(VLOOKUP($O33,'Table 3 PV wS UTS_2032'!B35:K57,10,FALSE),0)</f>
        <v>242.29</v>
      </c>
      <c r="BT33" s="370"/>
      <c r="BU33" s="371"/>
      <c r="BV33" s="129">
        <f>IFERROR(VLOOKUP($O33,'Table 3 StdBat  DJ_2029'!$B$15:$K$37,10,FALSE),0)</f>
        <v>147.18</v>
      </c>
      <c r="BW33" s="129">
        <f>IFERROR(VLOOKUP($O33,'Table 3 NonE 206MW (UTN) 2031'!$B$14:$M$36,12,FALSE),0)</f>
        <v>0</v>
      </c>
      <c r="BX33" s="129">
        <f>IFERROR(VLOOKUP($O33,'Table 3 NonE 206MW (Hgtn)'!$B$14:$M$36,12,FALSE),0)</f>
        <v>0</v>
      </c>
      <c r="BY33" s="370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9">
        <f>IFERROR(VLOOKUP($DA33,'Table 3 TransCost'!$AA$10:$AD$32,4,FALSE),0)</f>
        <v>78.2</v>
      </c>
      <c r="DC33" s="171">
        <f t="shared" ref="DC33:DC34" si="72">$DB$5*DB33/1000</f>
        <v>0</v>
      </c>
    </row>
    <row r="34" spans="1:107" hidden="1">
      <c r="B34" s="15">
        <f t="shared" si="41"/>
        <v>2044</v>
      </c>
      <c r="C34" s="9" t="e">
        <f t="shared" si="21"/>
        <v>#N/A</v>
      </c>
      <c r="D34" s="45"/>
      <c r="E34" s="9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5"/>
        <v>#DIV/0!</v>
      </c>
      <c r="H34" s="36"/>
      <c r="I34" s="171"/>
      <c r="J34" s="171"/>
      <c r="M34" s="111"/>
      <c r="O34">
        <f t="shared" ref="O34" si="74">B34</f>
        <v>2044</v>
      </c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G34" s="344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29">
        <f>IFERROR(VLOOKUP($O34,'Table 3 PNC Wind_2026'!$B$10:$L$37,11,FALSE),0)</f>
        <v>0</v>
      </c>
      <c r="BI34" s="129">
        <f>IFERROR(VLOOKUP($O34,'Table 3 PNC Wind_2038'!$B$10:$L$37,11,FALSE),0)</f>
        <v>0</v>
      </c>
      <c r="BJ34" s="129">
        <f>IFERROR(VLOOKUP($O34,'Table 3 WV Wind_2026'!$B$10:$L$37,11,FALSE),0)</f>
        <v>0</v>
      </c>
      <c r="BK34" s="129">
        <f>IFERROR(VLOOKUP($O34,'Table 3 WYE Wind_2029'!$B$10:$L$37,11,FALSE),0)</f>
        <v>0</v>
      </c>
      <c r="BL34" s="129">
        <f>IFERROR(VLOOKUP($O34,'Table 3 WYE_DJ Wind_2028'!$B$10:$L$37,11,FALSE),0)</f>
        <v>0</v>
      </c>
      <c r="BM34" s="129">
        <f>IFERROR(VLOOKUP($O34,'Table 3 YK WindwS_2029'!$B$10:$L$37,11,FALSE),0)</f>
        <v>0</v>
      </c>
      <c r="BN34" s="129">
        <f>IFERROR(VLOOKUP($O34,'Table 3 PV wS Borah_2026'!$B$10:$K$37,10,FALSE),0)</f>
        <v>0</v>
      </c>
      <c r="BO34" s="371"/>
      <c r="BP34" s="129">
        <f>IFERROR(VLOOKUP($O34,'Table 3 PV wS SOR_2030'!$B$10:$K$37,10,FALSE),0)</f>
        <v>0</v>
      </c>
      <c r="BQ34" s="129">
        <f>IFERROR(VLOOKUP($O34,'Table 3 PV wS YK_2029'!$B$10:$K$37,10,FALSE),0)</f>
        <v>0</v>
      </c>
      <c r="BR34" s="129">
        <f>IFERROR(VLOOKUP($O34,'Table 3 PV wS UTN_2031'!$B$15:$K$37,10,FALSE),0)</f>
        <v>0</v>
      </c>
      <c r="BS34" s="129">
        <f>IFERROR(VLOOKUP($O34,'Table 3 PV wS UTS_2032'!B36:K58,10,FALSE),0)</f>
        <v>0</v>
      </c>
      <c r="BT34" s="370"/>
      <c r="BU34" s="371"/>
      <c r="BV34" s="129">
        <f>IFERROR(VLOOKUP($O34,'Table 3 StdBat  DJ_2029'!$B$15:$K$37,10,FALSE),0)</f>
        <v>0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70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9">
        <f>IFERROR(VLOOKUP($DA34,'Table 3 TransCost'!$AA$10:$AD$32,4,FALSE),0)</f>
        <v>79.89</v>
      </c>
      <c r="DC34" s="171">
        <f t="shared" si="72"/>
        <v>0</v>
      </c>
    </row>
    <row r="35" spans="1:107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BH35" s="129"/>
      <c r="BI35" s="129"/>
      <c r="BJ35" s="129"/>
      <c r="BK35" s="129"/>
      <c r="BL35" s="342"/>
      <c r="BM35" s="129"/>
      <c r="BN35" s="129"/>
      <c r="BO35" s="342"/>
      <c r="BP35" s="129"/>
      <c r="BQ35" s="342"/>
      <c r="BR35" s="129"/>
      <c r="BS35" s="129"/>
      <c r="BT35" s="129"/>
      <c r="BU35" s="342"/>
      <c r="BV35" s="129"/>
      <c r="BW35" s="129"/>
      <c r="BX35" s="341"/>
      <c r="BY35" s="129"/>
      <c r="DB35" s="89"/>
      <c r="DC35" s="171"/>
    </row>
    <row r="36" spans="1:107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BH36" s="129"/>
      <c r="BI36" s="129"/>
      <c r="BJ36" s="129"/>
      <c r="BK36" s="129"/>
      <c r="BL36" s="342"/>
      <c r="BM36" s="129"/>
      <c r="BN36" s="129"/>
      <c r="BO36" s="342"/>
      <c r="BP36" s="129"/>
      <c r="BQ36" s="342"/>
      <c r="BR36" s="129"/>
      <c r="BS36" s="129"/>
      <c r="BT36" s="129"/>
      <c r="BU36" s="342"/>
      <c r="BV36" s="129"/>
      <c r="BW36" s="129"/>
      <c r="BX36" s="341"/>
      <c r="BY36" s="129"/>
      <c r="DB36" s="89"/>
      <c r="DC36" s="171"/>
    </row>
    <row r="37" spans="1:107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BH37" s="129"/>
      <c r="BI37" s="129"/>
      <c r="BJ37" s="129"/>
      <c r="BK37" s="129"/>
      <c r="BL37" s="342"/>
      <c r="BM37" s="129"/>
      <c r="BN37" s="129"/>
      <c r="BO37" s="342"/>
      <c r="BP37" s="129"/>
      <c r="BQ37" s="342"/>
      <c r="BR37" s="129"/>
      <c r="BS37" s="129"/>
      <c r="BT37" s="129"/>
      <c r="BU37" s="342"/>
      <c r="BV37" s="129"/>
      <c r="BW37" s="129"/>
      <c r="BX37" s="341"/>
      <c r="BY37" s="129"/>
      <c r="DB37" s="89"/>
      <c r="DC37" s="171"/>
    </row>
    <row r="38" spans="1:107" hidden="1">
      <c r="B38" s="15"/>
      <c r="C38" s="9"/>
      <c r="D38" s="45"/>
      <c r="E38" s="9"/>
      <c r="F38" s="37"/>
      <c r="G38" s="14"/>
      <c r="H38" s="36"/>
      <c r="I38" s="171"/>
      <c r="J38" s="171"/>
      <c r="M38" s="111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BH38" s="129"/>
      <c r="BI38" s="129"/>
      <c r="BJ38" s="129"/>
      <c r="BK38" s="129"/>
      <c r="BL38" s="342"/>
      <c r="BM38" s="129"/>
      <c r="BN38" s="129"/>
      <c r="BO38" s="342"/>
      <c r="BP38" s="129"/>
      <c r="BQ38" s="342"/>
      <c r="BR38" s="129"/>
      <c r="BS38" s="129"/>
      <c r="BT38" s="129"/>
      <c r="BU38" s="342"/>
      <c r="BV38" s="129"/>
      <c r="BW38" s="129"/>
      <c r="BX38" s="341"/>
      <c r="BY38" s="129"/>
      <c r="DB38" s="89"/>
      <c r="DC38" s="171"/>
    </row>
    <row r="39" spans="1:107" hidden="1">
      <c r="B39" s="164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389"/>
      <c r="B41" s="389"/>
      <c r="D41" s="9"/>
      <c r="F41" s="37"/>
      <c r="H41" s="36"/>
      <c r="I41"/>
      <c r="N41" t="s">
        <v>153</v>
      </c>
      <c r="P41" s="194">
        <v>0</v>
      </c>
      <c r="Q41" s="194">
        <v>0</v>
      </c>
      <c r="R41" s="194">
        <v>0</v>
      </c>
      <c r="S41" s="194">
        <v>0</v>
      </c>
      <c r="T41" s="194">
        <v>0</v>
      </c>
      <c r="U41" s="194">
        <v>0</v>
      </c>
      <c r="V41" s="194">
        <v>0</v>
      </c>
      <c r="W41" s="194">
        <v>0</v>
      </c>
      <c r="X41" s="194">
        <v>0</v>
      </c>
      <c r="Y41" s="194">
        <v>0</v>
      </c>
      <c r="Z41" s="194">
        <v>0</v>
      </c>
      <c r="AA41" s="194">
        <v>0</v>
      </c>
      <c r="AB41" s="194"/>
      <c r="AC41" s="194"/>
      <c r="AD41" s="194">
        <v>0</v>
      </c>
      <c r="AE41" s="194">
        <v>0</v>
      </c>
      <c r="AF41" s="194">
        <v>0</v>
      </c>
      <c r="AG41" s="194"/>
      <c r="AH41" s="194"/>
      <c r="AI41" s="194"/>
      <c r="AJ41" s="194"/>
    </row>
    <row r="42" spans="1:107">
      <c r="A42" s="177"/>
      <c r="B42" s="55"/>
      <c r="E42" s="5"/>
      <c r="I42" s="49" t="s">
        <v>217</v>
      </c>
      <c r="P42" s="166"/>
      <c r="Q42" s="166"/>
      <c r="R42" s="166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79"/>
      <c r="H44" s="36"/>
    </row>
    <row r="45" spans="1:107">
      <c r="A45" s="390"/>
      <c r="B45" s="390"/>
      <c r="E45" s="9"/>
      <c r="G45" s="179"/>
      <c r="H45" s="36"/>
    </row>
    <row r="46" spans="1:107" ht="13.7" customHeight="1">
      <c r="A46" s="55"/>
      <c r="B46" s="55"/>
      <c r="E46" s="5"/>
      <c r="H46" s="36"/>
      <c r="I46" t="s">
        <v>218</v>
      </c>
    </row>
    <row r="47" spans="1:107" ht="21" customHeight="1">
      <c r="A47" s="390" t="str">
        <f>'Table 5'!A9</f>
        <v>15 Year</v>
      </c>
      <c r="B47" s="390"/>
      <c r="E47" s="9"/>
      <c r="G47" s="108"/>
      <c r="H47" s="36"/>
      <c r="I47" t="s">
        <v>100</v>
      </c>
      <c r="K47" s="358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0</v>
      </c>
      <c r="D49" s="9"/>
      <c r="H49" s="36"/>
      <c r="I49"/>
    </row>
    <row r="50" spans="1:19">
      <c r="B50" s="48" t="s">
        <v>31</v>
      </c>
      <c r="E50" s="9">
        <f ca="1">'Table 5'!$C$9/'Table 5'!$F$9</f>
        <v>35.962869436672491</v>
      </c>
      <c r="G50" s="179">
        <f ca="1">'Table 5'!$G$9</f>
        <v>35.962869436672491</v>
      </c>
      <c r="H50" s="36"/>
      <c r="I50" s="200"/>
      <c r="K50" s="89"/>
      <c r="S50" s="171"/>
    </row>
    <row r="51" spans="1:19" ht="8.25" customHeight="1">
      <c r="A51" s="390"/>
      <c r="B51" s="390"/>
      <c r="E51" s="9"/>
      <c r="G51" s="108"/>
      <c r="H51" s="36"/>
    </row>
    <row r="52" spans="1:19">
      <c r="A52" s="390">
        <f>'Table 5'!A7</f>
        <v>0</v>
      </c>
      <c r="B52" s="390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79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79"/>
      <c r="H55" s="36"/>
    </row>
    <row r="56" spans="1:19" hidden="1">
      <c r="A56" s="390">
        <f>'Table 5'!A10</f>
        <v>0</v>
      </c>
      <c r="B56" s="390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79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390"/>
      <c r="B61" s="390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79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0</v>
      </c>
      <c r="B72" s="94"/>
    </row>
    <row r="73" spans="1:13">
      <c r="A73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e">
        <f ca="1">"       Avoided Costs calculated annually are  "&amp;TEXT(PMT(Discount_Rate,COUNT($G$13:$G$27),-NPV(Discount_Rate,$G$13:$G$27)),"$0.00")&amp;"/MWH"</f>
        <v>#DIV/0!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7"/>
      <c r="O5" s="197"/>
      <c r="Q5" s="197"/>
      <c r="S5" s="259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73"/>
      <c r="R14" s="374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75"/>
      <c r="Q15" s="373"/>
      <c r="R15" s="374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55"/>
      <c r="G18" s="129"/>
      <c r="H18" s="127"/>
      <c r="I18" s="127"/>
      <c r="J18" s="129"/>
      <c r="K18" s="129"/>
      <c r="L18" s="127"/>
      <c r="M18" s="118"/>
      <c r="O18" s="116"/>
      <c r="Q18" s="36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55"/>
      <c r="G19" s="129"/>
      <c r="H19" s="127"/>
      <c r="I19" s="127"/>
      <c r="J19" s="129"/>
      <c r="K19" s="129"/>
      <c r="L19" s="127"/>
      <c r="M19" s="118"/>
      <c r="O19" s="116"/>
      <c r="Q19" s="369"/>
      <c r="R19" s="354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82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/>
      <c r="E26" s="146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/>
      <c r="E27" s="146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/>
      <c r="E28" s="146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/>
      <c r="E29" s="146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/>
      <c r="E30" s="146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/>
      <c r="E31" s="146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376">
        <f>713925.9/450</f>
        <v>1586.502</v>
      </c>
      <c r="D32" s="127">
        <f>C32*$C$62</f>
        <v>110.72639856681766</v>
      </c>
      <c r="E32" s="146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82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2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2038</v>
      </c>
    </row>
    <row r="55" spans="2:28">
      <c r="B55" s="343" t="s">
        <v>211</v>
      </c>
      <c r="C55" s="376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43" t="s">
        <v>211</v>
      </c>
      <c r="C56" s="146">
        <f>48312.6823609458/450</f>
        <v>107.36151635765734</v>
      </c>
      <c r="D56" s="116" t="s">
        <v>68</v>
      </c>
    </row>
    <row r="57" spans="2:28" ht="24" customHeight="1">
      <c r="B57" s="85"/>
      <c r="C57" s="151"/>
      <c r="D57" s="116" t="s">
        <v>99</v>
      </c>
      <c r="R57" s="197"/>
    </row>
    <row r="58" spans="2:28">
      <c r="B58" s="343"/>
      <c r="C58" s="146"/>
      <c r="D58" s="116" t="s">
        <v>69</v>
      </c>
      <c r="L58" s="118"/>
      <c r="M58" s="37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78" t="s">
        <v>90</v>
      </c>
      <c r="M59" s="37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3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379"/>
      <c r="M60" s="379"/>
      <c r="N60" s="37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3"/>
      <c r="L61" s="379"/>
      <c r="M61" s="379"/>
      <c r="N61" s="379"/>
      <c r="O61" s="161"/>
      <c r="P61" s="379"/>
      <c r="S61" s="118"/>
      <c r="U61" s="118"/>
      <c r="V61" s="118"/>
      <c r="W61" s="118"/>
      <c r="X61" s="118"/>
      <c r="Y61" s="118"/>
      <c r="Z61" s="118"/>
    </row>
    <row r="62" spans="2:28">
      <c r="C62" s="380">
        <v>6.9792788516382376E-2</v>
      </c>
      <c r="D62" s="116" t="s">
        <v>36</v>
      </c>
      <c r="L62" s="272"/>
      <c r="M62" s="154"/>
      <c r="N62" s="154"/>
      <c r="P62" s="155"/>
    </row>
    <row r="63" spans="2:28">
      <c r="C63" s="381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197"/>
      <c r="O5" s="197"/>
      <c r="Q5" s="197"/>
      <c r="S5" s="259"/>
      <c r="U5" s="256"/>
      <c r="V5" s="257"/>
      <c r="W5" s="256"/>
      <c r="X5" s="25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73"/>
      <c r="R14" s="374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75"/>
      <c r="Q15" s="373"/>
      <c r="R15" s="374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55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55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1498.7239999999999</v>
      </c>
      <c r="D20" s="127">
        <f>C20*$C$62</f>
        <v>104.60012717642665</v>
      </c>
      <c r="E20" s="146">
        <f>41749.5488472448/615</f>
        <v>67.885445280072844</v>
      </c>
      <c r="F20" s="182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82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2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43" t="s">
        <v>177</v>
      </c>
      <c r="C55" s="376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43" t="s">
        <v>177</v>
      </c>
      <c r="C56" s="146">
        <f>28172.4597912315/415</f>
        <v>67.885445280075899</v>
      </c>
      <c r="D56" s="116" t="s">
        <v>68</v>
      </c>
    </row>
    <row r="57" spans="2:28" ht="24" customHeight="1">
      <c r="B57" s="85"/>
      <c r="C57" s="151"/>
      <c r="D57" s="116" t="s">
        <v>99</v>
      </c>
      <c r="R57" s="197"/>
    </row>
    <row r="58" spans="2:28">
      <c r="B58" s="343"/>
      <c r="C58" s="146"/>
      <c r="D58" s="116" t="s">
        <v>69</v>
      </c>
      <c r="L58" s="118"/>
      <c r="M58" s="37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78" t="s">
        <v>90</v>
      </c>
      <c r="M59" s="37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3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379"/>
      <c r="M60" s="379"/>
      <c r="N60" s="37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3"/>
      <c r="L61" s="379"/>
      <c r="M61" s="379"/>
      <c r="N61" s="379"/>
      <c r="O61" s="161"/>
      <c r="P61" s="379"/>
      <c r="S61" s="118"/>
      <c r="U61" s="118"/>
      <c r="V61" s="118"/>
      <c r="W61" s="118"/>
      <c r="X61" s="118"/>
      <c r="Y61" s="118"/>
      <c r="Z61" s="118"/>
    </row>
    <row r="62" spans="2:28">
      <c r="C62" s="380">
        <v>6.9792788516382376E-2</v>
      </c>
      <c r="D62" s="116" t="s">
        <v>36</v>
      </c>
      <c r="L62" s="272"/>
      <c r="M62" s="154"/>
      <c r="N62" s="154"/>
      <c r="P62" s="155"/>
    </row>
    <row r="63" spans="2:28">
      <c r="C63" s="381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7"/>
      <c r="O5" s="197"/>
      <c r="Q5" s="197"/>
      <c r="S5" s="259"/>
      <c r="U5" s="256"/>
      <c r="V5" s="257"/>
      <c r="W5" s="256"/>
      <c r="X5" s="25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73"/>
      <c r="R14" s="374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75"/>
      <c r="Q15" s="373"/>
      <c r="R15" s="374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55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55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55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55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55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1568.354</v>
      </c>
      <c r="D23" s="127">
        <f>C23*$C$62</f>
        <v>109.45979904082236</v>
      </c>
      <c r="E23" s="146">
        <f>$C$56</f>
        <v>72.369493474950005</v>
      </c>
      <c r="F23" s="182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4">
        <f t="shared" si="0"/>
        <v>2043</v>
      </c>
      <c r="C37" s="135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82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2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43" t="s">
        <v>212</v>
      </c>
      <c r="C55" s="376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43" t="s">
        <v>212</v>
      </c>
      <c r="C56" s="146">
        <f>11579.118955992/160</f>
        <v>72.369493474950005</v>
      </c>
      <c r="D56" s="116" t="s">
        <v>68</v>
      </c>
    </row>
    <row r="57" spans="2:28" ht="24" customHeight="1">
      <c r="B57" s="85"/>
      <c r="C57" s="151"/>
      <c r="D57" s="116" t="s">
        <v>99</v>
      </c>
      <c r="R57" s="197"/>
    </row>
    <row r="58" spans="2:28">
      <c r="B58" s="343"/>
      <c r="C58" s="146"/>
      <c r="D58" s="116" t="s">
        <v>69</v>
      </c>
      <c r="L58" s="118"/>
      <c r="M58" s="37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78" t="s">
        <v>90</v>
      </c>
      <c r="M59" s="37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3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379"/>
      <c r="M60" s="379"/>
      <c r="N60" s="37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3"/>
      <c r="L61" s="379"/>
      <c r="M61" s="379"/>
      <c r="N61" s="379"/>
      <c r="O61" s="161"/>
      <c r="P61" s="379"/>
      <c r="S61" s="118"/>
      <c r="U61" s="118"/>
      <c r="V61" s="118"/>
      <c r="W61" s="118"/>
      <c r="X61" s="118"/>
      <c r="Y61" s="118"/>
      <c r="Z61" s="118"/>
    </row>
    <row r="62" spans="2:28">
      <c r="C62" s="380">
        <v>6.9792788516382376E-2</v>
      </c>
      <c r="D62" s="116" t="s">
        <v>36</v>
      </c>
      <c r="L62" s="272"/>
      <c r="M62" s="154"/>
      <c r="N62" s="154"/>
      <c r="P62" s="155"/>
    </row>
    <row r="63" spans="2:28">
      <c r="C63" s="381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7"/>
      <c r="O5" s="197"/>
      <c r="Q5" s="197"/>
      <c r="S5" s="259"/>
      <c r="U5" s="256"/>
      <c r="V5" s="257"/>
      <c r="W5" s="256"/>
      <c r="X5" s="25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73"/>
      <c r="R14" s="374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75"/>
      <c r="Q15" s="373"/>
      <c r="R15" s="374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55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182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si="1"/>
        <v>61.1</v>
      </c>
      <c r="G21" s="129"/>
      <c r="H21" s="182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62.42</v>
      </c>
      <c r="G22" s="129"/>
      <c r="H22" s="182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1530.337</v>
      </c>
      <c r="D23" s="127">
        <f>C23*$C$62</f>
        <v>106.80648659979505</v>
      </c>
      <c r="E23" s="146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382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4">
        <f t="shared" si="0"/>
        <v>2040</v>
      </c>
      <c r="C34" s="135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4">
        <f t="shared" si="0"/>
        <v>2041</v>
      </c>
      <c r="C35" s="135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4">
        <f t="shared" si="0"/>
        <v>2042</v>
      </c>
      <c r="C36" s="135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4">
        <f t="shared" si="0"/>
        <v>2043</v>
      </c>
      <c r="C37" s="135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82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2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43" t="s">
        <v>212</v>
      </c>
      <c r="C55" s="376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43" t="s">
        <v>212</v>
      </c>
      <c r="C56" s="146">
        <f>2552.03951355071/81.589034</f>
        <v>31.279197564107822</v>
      </c>
      <c r="D56" s="116" t="s">
        <v>68</v>
      </c>
    </row>
    <row r="57" spans="2:28" ht="24" customHeight="1">
      <c r="B57" s="85"/>
      <c r="C57" s="151"/>
      <c r="D57" s="116" t="s">
        <v>99</v>
      </c>
      <c r="R57" s="197"/>
    </row>
    <row r="58" spans="2:28">
      <c r="B58" s="343" t="s">
        <v>212</v>
      </c>
      <c r="C58" s="146">
        <v>0.78700000000000003</v>
      </c>
      <c r="D58" s="116" t="s">
        <v>69</v>
      </c>
      <c r="F58" s="116" t="s">
        <v>128</v>
      </c>
      <c r="L58" s="118"/>
      <c r="M58" s="37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78"/>
      <c r="M59" s="37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3" t="str">
        <f>LEFT(RIGHT(INDEX('Table 3 TransCost'!$39:$39,1,MATCH(F60,'Table 3 TransCost'!$4:$4,0)),6),5)</f>
        <v>2025$</v>
      </c>
      <c r="C60" s="151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379"/>
      <c r="M60" s="379"/>
      <c r="N60" s="37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3"/>
      <c r="L61" s="379"/>
      <c r="M61" s="379"/>
      <c r="N61" s="379"/>
      <c r="O61" s="161"/>
      <c r="P61" s="379"/>
      <c r="S61" s="118"/>
      <c r="U61" s="118"/>
      <c r="V61" s="118"/>
      <c r="W61" s="118"/>
      <c r="X61" s="118"/>
      <c r="Y61" s="118"/>
      <c r="Z61" s="118"/>
    </row>
    <row r="62" spans="2:28">
      <c r="C62" s="380">
        <v>6.9792788516382376E-2</v>
      </c>
      <c r="D62" s="116" t="s">
        <v>36</v>
      </c>
      <c r="L62" s="272"/>
      <c r="M62" s="154"/>
      <c r="N62" s="154"/>
      <c r="P62" s="155"/>
    </row>
    <row r="63" spans="2:28">
      <c r="C63" s="381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7"/>
      <c r="O5" s="197"/>
      <c r="Q5" s="197"/>
      <c r="S5" s="259"/>
      <c r="U5" s="256"/>
      <c r="V5" s="257"/>
      <c r="W5" s="256"/>
      <c r="X5" s="25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 hidden="1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73"/>
      <c r="R14" s="374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75"/>
      <c r="Q15" s="373"/>
      <c r="R15" s="374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55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55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82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382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82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2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2028</v>
      </c>
    </row>
    <row r="55" spans="2:28">
      <c r="B55" s="343" t="s">
        <v>214</v>
      </c>
      <c r="C55" s="376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43" t="s">
        <v>214</v>
      </c>
      <c r="C56" s="146">
        <f>7829.32580969235/255</f>
        <v>30.703238469381766</v>
      </c>
      <c r="D56" s="116" t="s">
        <v>68</v>
      </c>
    </row>
    <row r="57" spans="2:28" ht="24" customHeight="1">
      <c r="B57" s="85"/>
      <c r="C57" s="151"/>
      <c r="D57" s="116" t="s">
        <v>99</v>
      </c>
      <c r="R57" s="197"/>
    </row>
    <row r="58" spans="2:28">
      <c r="B58" s="343" t="s">
        <v>214</v>
      </c>
      <c r="C58" s="146">
        <v>0.77100000000000002</v>
      </c>
      <c r="D58" s="116" t="s">
        <v>69</v>
      </c>
      <c r="F58" s="116" t="s">
        <v>128</v>
      </c>
      <c r="L58" s="118"/>
      <c r="M58" s="37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78" t="s">
        <v>90</v>
      </c>
      <c r="M59" s="37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3"/>
      <c r="C60" s="151">
        <v>0</v>
      </c>
      <c r="D60" s="116" t="s">
        <v>150</v>
      </c>
      <c r="L60" s="379"/>
      <c r="M60" s="379"/>
      <c r="N60" s="37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3"/>
      <c r="L61" s="379"/>
      <c r="M61" s="379"/>
      <c r="N61" s="379"/>
      <c r="O61" s="161"/>
      <c r="P61" s="379"/>
      <c r="S61" s="118"/>
      <c r="U61" s="118"/>
      <c r="V61" s="118"/>
      <c r="W61" s="118"/>
      <c r="X61" s="118"/>
      <c r="Y61" s="118"/>
      <c r="Z61" s="118"/>
    </row>
    <row r="62" spans="2:28">
      <c r="C62" s="380">
        <v>6.9792788516382376E-2</v>
      </c>
      <c r="D62" s="116" t="s">
        <v>36</v>
      </c>
      <c r="L62" s="272"/>
      <c r="M62" s="154"/>
      <c r="N62" s="154"/>
      <c r="P62" s="155"/>
    </row>
    <row r="63" spans="2:28">
      <c r="C63" s="381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7"/>
      <c r="N5" s="197"/>
      <c r="P5" s="197"/>
      <c r="R5" s="259"/>
      <c r="S5" s="118"/>
      <c r="T5" s="118"/>
      <c r="U5" s="118"/>
      <c r="V5" s="118"/>
      <c r="W5" s="118"/>
      <c r="X5" s="118"/>
      <c r="Y5" s="345"/>
      <c r="Z5" s="345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5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4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49"/>
      <c r="AB18" s="263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27">
        <f>221123.288/83</f>
        <v>2664.136</v>
      </c>
      <c r="D22" s="127">
        <f>C22*$C$62</f>
        <v>144.36368381336902</v>
      </c>
      <c r="E22" s="353">
        <f>5722.71583561707/83</f>
        <v>68.948383561651454</v>
      </c>
      <c r="F22" s="356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67">
        <f t="shared" ref="D23:F37" si="5">ROUND(D22*(1+IRP21_Infl_Rate),2)</f>
        <v>147.47</v>
      </c>
      <c r="E23" s="367">
        <f t="shared" si="5"/>
        <v>70.430000000000007</v>
      </c>
      <c r="F23" s="367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67">
        <f t="shared" si="5"/>
        <v>150.65</v>
      </c>
      <c r="E24" s="367">
        <f t="shared" si="5"/>
        <v>71.95</v>
      </c>
      <c r="F24" s="367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67">
        <f t="shared" si="5"/>
        <v>153.9</v>
      </c>
      <c r="E25" s="367">
        <f t="shared" si="5"/>
        <v>73.5</v>
      </c>
      <c r="F25" s="367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67">
        <f t="shared" si="5"/>
        <v>157.22</v>
      </c>
      <c r="E26" s="367">
        <f t="shared" si="5"/>
        <v>75.08</v>
      </c>
      <c r="F26" s="367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67">
        <f t="shared" si="5"/>
        <v>160.61000000000001</v>
      </c>
      <c r="E27" s="367">
        <f t="shared" si="5"/>
        <v>76.7</v>
      </c>
      <c r="F27" s="367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67">
        <f t="shared" si="5"/>
        <v>164.07</v>
      </c>
      <c r="E28" s="367">
        <f t="shared" si="5"/>
        <v>78.349999999999994</v>
      </c>
      <c r="F28" s="367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67">
        <f t="shared" si="5"/>
        <v>167.61</v>
      </c>
      <c r="E29" s="367">
        <f t="shared" si="5"/>
        <v>80.040000000000006</v>
      </c>
      <c r="F29" s="367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67">
        <f t="shared" si="5"/>
        <v>171.22</v>
      </c>
      <c r="E30" s="367">
        <f t="shared" si="5"/>
        <v>81.760000000000005</v>
      </c>
      <c r="F30" s="367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67">
        <f t="shared" si="5"/>
        <v>174.91</v>
      </c>
      <c r="E31" s="367">
        <f t="shared" si="5"/>
        <v>83.52</v>
      </c>
      <c r="F31" s="367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67">
        <f t="shared" si="5"/>
        <v>178.68</v>
      </c>
      <c r="E32" s="367">
        <f t="shared" si="5"/>
        <v>85.32</v>
      </c>
      <c r="F32" s="367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67">
        <f t="shared" si="5"/>
        <v>182.53</v>
      </c>
      <c r="E33" s="367">
        <f t="shared" si="5"/>
        <v>87.16</v>
      </c>
      <c r="F33" s="367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1"/>
    </row>
    <row r="34" spans="2:30">
      <c r="B34" s="134">
        <f t="shared" si="0"/>
        <v>2040</v>
      </c>
      <c r="C34" s="135"/>
      <c r="D34" s="367">
        <f t="shared" si="5"/>
        <v>186.46</v>
      </c>
      <c r="E34" s="367">
        <f t="shared" si="5"/>
        <v>89.04</v>
      </c>
      <c r="F34" s="367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1"/>
    </row>
    <row r="35" spans="2:30">
      <c r="B35" s="134">
        <f t="shared" si="0"/>
        <v>2041</v>
      </c>
      <c r="C35" s="135"/>
      <c r="D35" s="367">
        <f t="shared" si="5"/>
        <v>190.48</v>
      </c>
      <c r="E35" s="367">
        <f t="shared" si="5"/>
        <v>90.96</v>
      </c>
      <c r="F35" s="367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61"/>
    </row>
    <row r="36" spans="2:30">
      <c r="B36" s="134">
        <f t="shared" si="0"/>
        <v>2042</v>
      </c>
      <c r="C36" s="135"/>
      <c r="D36" s="367">
        <f t="shared" si="5"/>
        <v>194.58</v>
      </c>
      <c r="E36" s="367">
        <f t="shared" si="5"/>
        <v>92.92</v>
      </c>
      <c r="F36" s="367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61"/>
    </row>
    <row r="37" spans="2:30">
      <c r="B37" s="134">
        <f t="shared" si="0"/>
        <v>2043</v>
      </c>
      <c r="C37" s="135"/>
      <c r="D37" s="367">
        <f t="shared" si="5"/>
        <v>198.77</v>
      </c>
      <c r="E37" s="367">
        <f t="shared" si="5"/>
        <v>94.92</v>
      </c>
      <c r="F37" s="367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61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1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1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1"/>
    </row>
    <row r="41" spans="2:30">
      <c r="N41" s="116"/>
      <c r="O41" s="158"/>
      <c r="S41" s="118"/>
      <c r="AD41" s="261"/>
    </row>
    <row r="42" spans="2:30" ht="14.25">
      <c r="B42" s="137" t="s">
        <v>25</v>
      </c>
      <c r="C42" s="138"/>
      <c r="D42" s="138"/>
      <c r="E42" s="138"/>
      <c r="F42" s="138"/>
      <c r="G42" s="138"/>
      <c r="H42" s="138"/>
      <c r="R42" s="118"/>
      <c r="AC42" s="261"/>
    </row>
    <row r="43" spans="2:30">
      <c r="AC43" s="261"/>
    </row>
    <row r="44" spans="2:30">
      <c r="B44" s="116" t="s">
        <v>63</v>
      </c>
      <c r="C44" s="139" t="s">
        <v>64</v>
      </c>
      <c r="D44" s="282" t="s">
        <v>155</v>
      </c>
      <c r="AC44" s="261"/>
    </row>
    <row r="45" spans="2:30">
      <c r="C45" s="139" t="str">
        <f>C7</f>
        <v>(a)</v>
      </c>
      <c r="D45" s="116" t="s">
        <v>65</v>
      </c>
      <c r="AC45" s="261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1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61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58">
        <v>2028</v>
      </c>
    </row>
    <row r="55" spans="2:25">
      <c r="B55" s="85" t="s">
        <v>156</v>
      </c>
      <c r="C55" s="167"/>
      <c r="D55" s="116" t="s">
        <v>65</v>
      </c>
      <c r="O55" s="262">
        <v>83</v>
      </c>
      <c r="P55" s="116" t="s">
        <v>32</v>
      </c>
    </row>
    <row r="56" spans="2:25">
      <c r="B56" s="85" t="s">
        <v>156</v>
      </c>
      <c r="C56" s="252"/>
      <c r="D56" s="116" t="s">
        <v>68</v>
      </c>
      <c r="R56" s="118"/>
    </row>
    <row r="57" spans="2:25" ht="24" customHeight="1">
      <c r="B57" s="85"/>
      <c r="C57" s="254"/>
      <c r="D57" s="116" t="s">
        <v>99</v>
      </c>
      <c r="Q57" s="197"/>
    </row>
    <row r="58" spans="2:25">
      <c r="B58" s="85" t="s">
        <v>156</v>
      </c>
      <c r="C58" s="252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1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3" t="str">
        <f>LEFT(RIGHT(INDEX('Table 3 TransCost'!$39:$39,1,MATCH(F60,'Table 3 TransCost'!$4:$4,0)),6),5)</f>
        <v>2028$</v>
      </c>
      <c r="C60" s="254">
        <f>INDEX('Table 3 TransCost'!$39:$39,1,MATCH(F60,'Table 3 TransCost'!$4:$4,0)+2)</f>
        <v>9.0939944302083777</v>
      </c>
      <c r="D60" s="116" t="s">
        <v>150</v>
      </c>
      <c r="F60" s="258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3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>
      <c r="C62" s="253">
        <v>5.4187805657582425E-2</v>
      </c>
      <c r="D62" s="116" t="s">
        <v>36</v>
      </c>
      <c r="E62" s="354"/>
      <c r="K62" s="153"/>
      <c r="L62" s="154"/>
      <c r="M62" s="154"/>
      <c r="O62" s="155"/>
    </row>
    <row r="63" spans="2:25">
      <c r="C63" s="191">
        <v>0.29299999999999998</v>
      </c>
      <c r="D63" s="116" t="s">
        <v>37</v>
      </c>
    </row>
    <row r="64" spans="2:25" ht="13.5" thickBot="1">
      <c r="D64" s="152"/>
    </row>
    <row r="65" spans="3:14" ht="13.5" thickBot="1">
      <c r="C65" s="40" t="str">
        <f>"Company Official Inflation Forecast Dated "&amp;TEXT('Table 4'!$H$5,"mmmm dd, yyyy")</f>
        <v>Company Official Inflation Forecast Dated June 30, 2022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4">
      <c r="C71" s="87">
        <f t="shared" si="6"/>
        <v>2022</v>
      </c>
      <c r="D71" s="41">
        <v>7.0999999999999994E-2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3.5000000000000003E-2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1"/>
    </row>
    <row r="73" spans="3:14" s="118" customFormat="1">
      <c r="C73" s="87">
        <f t="shared" si="6"/>
        <v>2024</v>
      </c>
      <c r="D73" s="41">
        <v>0.02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61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2.1999999999999999E-2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7"/>
      <c r="N5" s="197"/>
      <c r="P5" s="197"/>
      <c r="R5" s="259"/>
      <c r="S5" s="118"/>
      <c r="T5" s="118"/>
      <c r="U5" s="118"/>
      <c r="V5" s="118"/>
      <c r="W5" s="118"/>
      <c r="X5" s="118"/>
      <c r="Y5" s="345"/>
      <c r="Z5" s="345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73"/>
      <c r="Q14" s="374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75"/>
      <c r="P15" s="373"/>
      <c r="Q15" s="374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4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49"/>
      <c r="AB18" s="263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82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82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2030</v>
      </c>
    </row>
    <row r="55" spans="2:25">
      <c r="B55" s="85" t="s">
        <v>198</v>
      </c>
      <c r="C55" s="376">
        <f>967346.939/377</f>
        <v>2565.9070000000002</v>
      </c>
      <c r="D55" s="116" t="s">
        <v>65</v>
      </c>
      <c r="O55" s="262">
        <v>377</v>
      </c>
      <c r="P55" s="116" t="s">
        <v>32</v>
      </c>
    </row>
    <row r="56" spans="2:25">
      <c r="B56" s="85" t="s">
        <v>198</v>
      </c>
      <c r="C56" s="146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197"/>
    </row>
    <row r="58" spans="2:25">
      <c r="B58" s="85" t="s">
        <v>198</v>
      </c>
      <c r="C58" s="146"/>
      <c r="D58" s="116" t="s">
        <v>69</v>
      </c>
      <c r="K58" s="118"/>
      <c r="L58" s="37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78" t="s">
        <v>90</v>
      </c>
      <c r="L59" s="37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3" t="str">
        <f>LEFT(RIGHT(INDEX('Table 3 TransCost'!$39:$39,1,MATCH(F60,'Table 3 TransCost'!$4:$4,0)),6),5)</f>
        <v>2028$</v>
      </c>
      <c r="C60" s="151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379"/>
      <c r="L60" s="379"/>
      <c r="M60" s="37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3"/>
      <c r="K61" s="379"/>
      <c r="L61" s="379"/>
      <c r="M61" s="379"/>
      <c r="N61" s="161"/>
      <c r="O61" s="379"/>
      <c r="R61" s="118"/>
      <c r="T61" s="118"/>
      <c r="U61" s="118"/>
      <c r="V61" s="118"/>
      <c r="W61" s="118"/>
      <c r="X61" s="118"/>
      <c r="Y61" s="118"/>
    </row>
    <row r="62" spans="2:25">
      <c r="C62" s="380">
        <v>5.4187805657582425E-2</v>
      </c>
      <c r="D62" s="116" t="s">
        <v>36</v>
      </c>
      <c r="E62" s="354"/>
      <c r="K62" s="272"/>
      <c r="L62" s="154"/>
      <c r="M62" s="154"/>
      <c r="O62" s="155"/>
    </row>
    <row r="63" spans="2:25">
      <c r="C63" s="381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7"/>
      <c r="N5" s="197"/>
      <c r="P5" s="197"/>
      <c r="R5" s="259"/>
      <c r="S5" s="118"/>
      <c r="T5" s="118"/>
      <c r="U5" s="118"/>
      <c r="V5" s="118"/>
      <c r="W5" s="118"/>
      <c r="X5" s="118"/>
      <c r="Y5" s="345"/>
      <c r="Z5" s="345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73"/>
      <c r="Q14" s="374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75"/>
      <c r="P15" s="373"/>
      <c r="Q15" s="374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4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49"/>
      <c r="AB18" s="263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76">
        <v>2702.6239999999998</v>
      </c>
      <c r="D23" s="127">
        <f>C23*$C$62</f>
        <v>146.44926407751802</v>
      </c>
      <c r="E23" s="127">
        <f>$C$56</f>
        <v>36.305800000007437</v>
      </c>
      <c r="F23" s="182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82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376">
        <f>+(432419.84/160)</f>
        <v>2702.6240000000003</v>
      </c>
      <c r="D55" s="116" t="s">
        <v>65</v>
      </c>
      <c r="O55" s="262">
        <v>160</v>
      </c>
      <c r="P55" s="116" t="s">
        <v>32</v>
      </c>
    </row>
    <row r="56" spans="2:25">
      <c r="B56" s="85" t="s">
        <v>200</v>
      </c>
      <c r="C56" s="146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197"/>
    </row>
    <row r="58" spans="2:25">
      <c r="B58" s="85" t="s">
        <v>200</v>
      </c>
      <c r="C58" s="146"/>
      <c r="D58" s="116" t="s">
        <v>69</v>
      </c>
      <c r="K58" s="118"/>
      <c r="L58" s="37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78" t="s">
        <v>90</v>
      </c>
      <c r="L59" s="37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3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379"/>
      <c r="L60" s="379"/>
      <c r="M60" s="37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3"/>
      <c r="K61" s="379"/>
      <c r="L61" s="379"/>
      <c r="M61" s="379"/>
      <c r="N61" s="161"/>
      <c r="O61" s="379"/>
      <c r="R61" s="118"/>
      <c r="T61" s="118"/>
      <c r="U61" s="118"/>
      <c r="V61" s="118"/>
      <c r="W61" s="118"/>
      <c r="X61" s="118"/>
      <c r="Y61" s="118"/>
    </row>
    <row r="62" spans="2:25">
      <c r="C62" s="380">
        <v>5.4187805657582425E-2</v>
      </c>
      <c r="D62" s="116" t="s">
        <v>36</v>
      </c>
      <c r="E62" s="354"/>
      <c r="K62" s="272"/>
      <c r="L62" s="154"/>
      <c r="M62" s="154"/>
      <c r="O62" s="155"/>
    </row>
    <row r="63" spans="2:25">
      <c r="C63" s="381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7"/>
      <c r="N5" s="197"/>
      <c r="P5" s="197"/>
      <c r="R5" s="259"/>
      <c r="S5" s="118"/>
      <c r="T5" s="118"/>
      <c r="U5" s="118"/>
      <c r="V5" s="118"/>
      <c r="W5" s="118"/>
      <c r="X5" s="118"/>
      <c r="Y5" s="345"/>
      <c r="Z5" s="345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73"/>
      <c r="Q14" s="374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75"/>
      <c r="P15" s="373"/>
      <c r="Q15" s="374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4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49"/>
      <c r="AB18" s="263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>
        <v>2478.058</v>
      </c>
      <c r="D25" s="127">
        <f>C25*$C$62</f>
        <v>134.28052531221738</v>
      </c>
      <c r="E25" s="127">
        <v>43.61</v>
      </c>
      <c r="F25" s="182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82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2031</v>
      </c>
    </row>
    <row r="55" spans="2:25">
      <c r="B55" s="85" t="s">
        <v>206</v>
      </c>
      <c r="C55" s="376">
        <f>1551264.308/626</f>
        <v>2478.058</v>
      </c>
      <c r="D55" s="116" t="s">
        <v>65</v>
      </c>
      <c r="O55" s="262">
        <v>626</v>
      </c>
      <c r="P55" s="116" t="s">
        <v>32</v>
      </c>
    </row>
    <row r="56" spans="2:25">
      <c r="B56" s="85" t="s">
        <v>206</v>
      </c>
      <c r="C56" s="146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197"/>
    </row>
    <row r="58" spans="2:25">
      <c r="B58" s="85" t="s">
        <v>206</v>
      </c>
      <c r="C58" s="146"/>
      <c r="D58" s="116" t="s">
        <v>69</v>
      </c>
      <c r="K58" s="118"/>
      <c r="L58" s="37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78" t="s">
        <v>90</v>
      </c>
      <c r="L59" s="37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3" t="str">
        <f>LEFT(RIGHT(INDEX('Table 3 TransCost'!$39:$39,1,MATCH(F60,'Table 3 TransCost'!$4:$4,0)),6),5)</f>
        <v>2031$</v>
      </c>
      <c r="C60" s="151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379"/>
      <c r="L60" s="379"/>
      <c r="M60" s="37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3"/>
      <c r="K61" s="379"/>
      <c r="L61" s="379"/>
      <c r="M61" s="379"/>
      <c r="N61" s="161"/>
      <c r="O61" s="379"/>
      <c r="R61" s="118"/>
      <c r="T61" s="118"/>
      <c r="U61" s="118"/>
      <c r="V61" s="118"/>
      <c r="W61" s="118"/>
      <c r="X61" s="118"/>
      <c r="Y61" s="118"/>
    </row>
    <row r="62" spans="2:25">
      <c r="C62" s="380">
        <v>5.4187805657582425E-2</v>
      </c>
      <c r="D62" s="116" t="s">
        <v>36</v>
      </c>
      <c r="E62" s="354"/>
      <c r="K62" s="272"/>
      <c r="L62" s="154"/>
      <c r="M62" s="154"/>
      <c r="O62" s="155"/>
    </row>
    <row r="63" spans="2:25">
      <c r="C63" s="381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7"/>
      <c r="N5" s="197"/>
      <c r="P5" s="197"/>
      <c r="R5" s="259"/>
      <c r="S5" s="118"/>
      <c r="T5" s="118"/>
      <c r="U5" s="118"/>
      <c r="V5" s="118"/>
      <c r="W5" s="118"/>
      <c r="X5" s="118"/>
      <c r="Y5" s="345"/>
      <c r="Z5" s="345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73"/>
      <c r="Q14" s="374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75"/>
      <c r="P15" s="373"/>
      <c r="Q15" s="374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4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49"/>
      <c r="AB18" s="263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>
        <v>2471.0880000000002</v>
      </c>
      <c r="D26" s="127">
        <f>C26*$C$62</f>
        <v>133.90283630678405</v>
      </c>
      <c r="E26" s="127">
        <f>$C$56</f>
        <v>44.561753424658001</v>
      </c>
      <c r="F26" s="182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82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2032</v>
      </c>
    </row>
    <row r="55" spans="2:25">
      <c r="B55" s="85" t="s">
        <v>215</v>
      </c>
      <c r="C55" s="376">
        <f>2718196.8/1100</f>
        <v>2471.0879999999997</v>
      </c>
      <c r="D55" s="116" t="s">
        <v>65</v>
      </c>
      <c r="O55" s="262">
        <v>1100</v>
      </c>
      <c r="P55" s="116" t="s">
        <v>32</v>
      </c>
    </row>
    <row r="56" spans="2:25">
      <c r="B56" s="85" t="s">
        <v>215</v>
      </c>
      <c r="C56" s="146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197"/>
    </row>
    <row r="58" spans="2:25">
      <c r="B58" s="85" t="s">
        <v>215</v>
      </c>
      <c r="C58" s="146"/>
      <c r="D58" s="116" t="s">
        <v>69</v>
      </c>
      <c r="K58" s="118"/>
      <c r="L58" s="37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78" t="s">
        <v>90</v>
      </c>
      <c r="L59" s="37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3" t="str">
        <f>LEFT(RIGHT(INDEX('Table 3 TransCost'!$39:$39,1,MATCH(F60,'Table 3 TransCost'!$4:$4,0)),6),5)</f>
        <v>2033$</v>
      </c>
      <c r="C60" s="151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379"/>
      <c r="L60" s="379"/>
      <c r="M60" s="37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3"/>
      <c r="K61" s="379"/>
      <c r="L61" s="379"/>
      <c r="M61" s="379"/>
      <c r="N61" s="161"/>
      <c r="O61" s="379"/>
      <c r="R61" s="118"/>
      <c r="T61" s="118"/>
      <c r="U61" s="118"/>
      <c r="V61" s="118"/>
      <c r="W61" s="118"/>
      <c r="X61" s="118"/>
      <c r="Y61" s="118"/>
    </row>
    <row r="62" spans="2:25">
      <c r="C62" s="380">
        <v>5.4187805657582425E-2</v>
      </c>
      <c r="D62" s="116" t="s">
        <v>36</v>
      </c>
      <c r="E62" s="354"/>
      <c r="K62" s="272"/>
      <c r="L62" s="154"/>
      <c r="M62" s="154"/>
      <c r="O62" s="155"/>
    </row>
    <row r="63" spans="2:25">
      <c r="C63" s="381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07" customFormat="1" ht="15.75" hidden="1">
      <c r="B1" s="1" t="s">
        <v>35</v>
      </c>
      <c r="C1" s="1"/>
      <c r="D1" s="1"/>
      <c r="E1" s="1"/>
      <c r="F1" s="1"/>
      <c r="G1" s="204"/>
      <c r="H1" s="1"/>
      <c r="I1" s="1"/>
      <c r="J1" s="1"/>
      <c r="K1" s="1"/>
      <c r="L1" s="205"/>
      <c r="M1" s="206"/>
      <c r="N1" s="206"/>
      <c r="O1" s="206"/>
      <c r="P1" s="206"/>
    </row>
    <row r="2" spans="2:16" s="207" customFormat="1" ht="5.25" customHeight="1">
      <c r="B2" s="1"/>
      <c r="C2" s="1"/>
      <c r="D2" s="1"/>
      <c r="E2" s="1"/>
      <c r="F2" s="1"/>
      <c r="G2" s="204"/>
      <c r="H2" s="1"/>
      <c r="I2" s="1"/>
      <c r="J2" s="1"/>
      <c r="K2" s="1"/>
      <c r="L2" s="205"/>
      <c r="M2" s="206"/>
      <c r="N2" s="206"/>
      <c r="O2" s="206"/>
      <c r="P2" s="206"/>
    </row>
    <row r="3" spans="2:16" s="207" customFormat="1" ht="15.75">
      <c r="B3" s="1" t="s">
        <v>93</v>
      </c>
      <c r="C3" s="1"/>
      <c r="D3" s="1"/>
      <c r="E3" s="1"/>
      <c r="F3" s="1"/>
      <c r="G3" s="204"/>
      <c r="H3" s="1"/>
      <c r="I3" s="1"/>
      <c r="J3" s="1"/>
      <c r="K3" s="1"/>
      <c r="L3" s="205"/>
      <c r="M3" s="206"/>
      <c r="N3" s="206"/>
      <c r="O3" s="206"/>
      <c r="P3" s="206"/>
    </row>
    <row r="4" spans="2:16" s="209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08"/>
      <c r="N4" s="208"/>
      <c r="O4" s="208"/>
      <c r="P4" s="208"/>
    </row>
    <row r="5" spans="2:16" s="209" customFormat="1" ht="15">
      <c r="B5" s="4" t="str">
        <f ca="1">'Table 1'!B5</f>
        <v>Tesoro Non Firm - 25.0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09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8"/>
      <c r="N6" s="208"/>
      <c r="O6" s="208"/>
      <c r="P6" s="208"/>
    </row>
    <row r="7" spans="2:16">
      <c r="D7" s="210"/>
      <c r="E7" s="210"/>
      <c r="F7" s="210"/>
      <c r="G7" s="211"/>
      <c r="H7" s="211"/>
      <c r="I7" s="211"/>
      <c r="J7" s="211"/>
      <c r="K7" s="211"/>
      <c r="L7" s="211"/>
      <c r="M7" s="212"/>
    </row>
    <row r="8" spans="2:16">
      <c r="B8" s="213"/>
      <c r="C8" s="213"/>
      <c r="D8" s="214" t="s">
        <v>95</v>
      </c>
      <c r="E8" s="215"/>
      <c r="F8" s="215"/>
      <c r="G8" s="214"/>
      <c r="H8" s="214"/>
      <c r="I8" s="216" t="s">
        <v>96</v>
      </c>
      <c r="J8" s="217"/>
      <c r="K8" s="217"/>
      <c r="L8" s="218"/>
      <c r="M8" s="219" t="s">
        <v>95</v>
      </c>
      <c r="N8" s="220"/>
      <c r="O8" s="221"/>
    </row>
    <row r="9" spans="2:16">
      <c r="B9" s="222" t="str">
        <f>'[8]Avoided Costs'!B4</f>
        <v>Year</v>
      </c>
      <c r="C9" s="222" t="str">
        <f>'[8]Avoided Costs'!C4</f>
        <v>Annual</v>
      </c>
      <c r="D9" s="223" t="str">
        <f>'[8]Avoided Costs'!D4</f>
        <v>Jan</v>
      </c>
      <c r="E9" s="224" t="str">
        <f>'[8]Avoided Costs'!E4</f>
        <v>Feb</v>
      </c>
      <c r="F9" s="224" t="str">
        <f>'[8]Avoided Costs'!F4</f>
        <v>Mar</v>
      </c>
      <c r="G9" s="224" t="str">
        <f>'[8]Avoided Costs'!G4</f>
        <v>Apr</v>
      </c>
      <c r="H9" s="225" t="str">
        <f>'[8]Avoided Costs'!H4</f>
        <v>May</v>
      </c>
      <c r="I9" s="168" t="str">
        <f>'[8]Avoided Costs'!I4</f>
        <v>Jun</v>
      </c>
      <c r="J9" s="168" t="str">
        <f>'[8]Avoided Costs'!J4</f>
        <v>Jul</v>
      </c>
      <c r="K9" s="168" t="str">
        <f>'[8]Avoided Costs'!K4</f>
        <v>Aug</v>
      </c>
      <c r="L9" s="168" t="str">
        <f>'[8]Avoided Costs'!L4</f>
        <v>Sep</v>
      </c>
      <c r="M9" s="223" t="str">
        <f>'[8]Avoided Costs'!M4</f>
        <v>Oct</v>
      </c>
      <c r="N9" s="224" t="str">
        <f>'[8]Avoided Costs'!N4</f>
        <v>Nov</v>
      </c>
      <c r="O9" s="225" t="str">
        <f>'[8]Avoided Costs'!O4</f>
        <v>Dec</v>
      </c>
    </row>
    <row r="10" spans="2:16" ht="12.75" customHeight="1">
      <c r="B10" s="203"/>
      <c r="C10" s="203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5"/>
    </row>
    <row r="11" spans="2:16" ht="12.75" customHeight="1">
      <c r="B11" s="227" t="s">
        <v>97</v>
      </c>
      <c r="C11" s="227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5"/>
    </row>
    <row r="12" spans="2:16" ht="12.75" hidden="1" customHeight="1">
      <c r="B12" s="228"/>
      <c r="C12" s="229"/>
      <c r="D12" s="8"/>
      <c r="E12" s="8"/>
      <c r="F12" s="8"/>
      <c r="G12" s="8"/>
      <c r="H12" s="13"/>
      <c r="I12" s="230"/>
      <c r="J12" s="231"/>
      <c r="K12" s="231"/>
      <c r="L12" s="232"/>
      <c r="M12" s="230"/>
      <c r="N12" s="231"/>
      <c r="O12" s="232"/>
    </row>
    <row r="13" spans="2:16" ht="12.75" customHeight="1">
      <c r="B13" s="233">
        <f>'[8]Avoided Costs'!B7</f>
        <v>2023</v>
      </c>
      <c r="C13" s="234">
        <f>'[8]Avoided Costs'!C7</f>
        <v>36.069508550016593</v>
      </c>
      <c r="D13" s="235">
        <f>'[8]Avoided Costs'!D7</f>
        <v>22.113457652705897</v>
      </c>
      <c r="E13" s="235">
        <f>'[8]Avoided Costs'!E7</f>
        <v>33.450422021808201</v>
      </c>
      <c r="F13" s="235">
        <f>'[8]Avoided Costs'!F7</f>
        <v>29.08143787494873</v>
      </c>
      <c r="G13" s="235">
        <f>'[8]Avoided Costs'!G7</f>
        <v>25.163704974061133</v>
      </c>
      <c r="H13" s="236">
        <f>'[8]Avoided Costs'!H7</f>
        <v>21.949730153968069</v>
      </c>
      <c r="I13" s="237">
        <f>'[8]Avoided Costs'!I7</f>
        <v>28.989828872963106</v>
      </c>
      <c r="J13" s="235">
        <f>'[8]Avoided Costs'!J7</f>
        <v>58.785986209596203</v>
      </c>
      <c r="K13" s="235">
        <f>'[8]Avoided Costs'!K7</f>
        <v>63.110257543339749</v>
      </c>
      <c r="L13" s="236">
        <f>'[8]Avoided Costs'!L7</f>
        <v>48.799005254434995</v>
      </c>
      <c r="M13" s="237">
        <f>'[8]Avoided Costs'!M7</f>
        <v>29.312358475911473</v>
      </c>
      <c r="N13" s="235">
        <f>'[8]Avoided Costs'!N7</f>
        <v>30.229547355463303</v>
      </c>
      <c r="O13" s="236">
        <f>'[8]Avoided Costs'!O7</f>
        <v>41.236972426244684</v>
      </c>
    </row>
    <row r="14" spans="2:16" ht="12.75" customHeight="1">
      <c r="B14" s="250">
        <f>'[8]Avoided Costs'!B8</f>
        <v>2024</v>
      </c>
      <c r="C14" s="238">
        <f>'[8]Avoided Costs'!C8</f>
        <v>0</v>
      </c>
      <c r="D14" s="239">
        <f>'[8]Avoided Costs'!D8</f>
        <v>0</v>
      </c>
      <c r="E14" s="239">
        <f>'[8]Avoided Costs'!E8</f>
        <v>0</v>
      </c>
      <c r="F14" s="239">
        <f>'[8]Avoided Costs'!F8</f>
        <v>0</v>
      </c>
      <c r="G14" s="239">
        <f>'[8]Avoided Costs'!G8</f>
        <v>0</v>
      </c>
      <c r="H14" s="240">
        <f>'[8]Avoided Costs'!H8</f>
        <v>0</v>
      </c>
      <c r="I14" s="241">
        <f>'[8]Avoided Costs'!I8</f>
        <v>0</v>
      </c>
      <c r="J14" s="239">
        <f>'[8]Avoided Costs'!J8</f>
        <v>0</v>
      </c>
      <c r="K14" s="239">
        <f>'[8]Avoided Costs'!K8</f>
        <v>0</v>
      </c>
      <c r="L14" s="240">
        <f>'[8]Avoided Costs'!L8</f>
        <v>0</v>
      </c>
      <c r="M14" s="241">
        <f>'[8]Avoided Costs'!M8</f>
        <v>0</v>
      </c>
      <c r="N14" s="239">
        <f>'[8]Avoided Costs'!N8</f>
        <v>0</v>
      </c>
      <c r="O14" s="240">
        <f>'[8]Avoided Costs'!O8</f>
        <v>0</v>
      </c>
    </row>
    <row r="15" spans="2:16" ht="12.75" customHeight="1">
      <c r="B15" s="250">
        <f>'[8]Avoided Costs'!B9</f>
        <v>2025</v>
      </c>
      <c r="C15" s="238">
        <f>'[8]Avoided Costs'!C9</f>
        <v>0</v>
      </c>
      <c r="D15" s="239">
        <f>'[8]Avoided Costs'!D9</f>
        <v>0</v>
      </c>
      <c r="E15" s="239">
        <f>'[8]Avoided Costs'!E9</f>
        <v>0</v>
      </c>
      <c r="F15" s="239">
        <f>'[8]Avoided Costs'!F9</f>
        <v>0</v>
      </c>
      <c r="G15" s="239">
        <f>'[8]Avoided Costs'!G9</f>
        <v>0</v>
      </c>
      <c r="H15" s="240">
        <f>'[8]Avoided Costs'!H9</f>
        <v>0</v>
      </c>
      <c r="I15" s="241">
        <f>'[8]Avoided Costs'!I9</f>
        <v>0</v>
      </c>
      <c r="J15" s="239">
        <f>'[8]Avoided Costs'!J9</f>
        <v>0</v>
      </c>
      <c r="K15" s="239">
        <f>'[8]Avoided Costs'!K9</f>
        <v>0</v>
      </c>
      <c r="L15" s="240">
        <f>'[8]Avoided Costs'!L9</f>
        <v>0</v>
      </c>
      <c r="M15" s="241">
        <f>'[8]Avoided Costs'!M9</f>
        <v>0</v>
      </c>
      <c r="N15" s="239">
        <f>'[8]Avoided Costs'!N9</f>
        <v>0</v>
      </c>
      <c r="O15" s="240">
        <f>'[8]Avoided Costs'!O9</f>
        <v>0</v>
      </c>
    </row>
    <row r="16" spans="2:16" ht="12.75" customHeight="1">
      <c r="B16" s="250">
        <f>'[8]Avoided Costs'!B10</f>
        <v>2026</v>
      </c>
      <c r="C16" s="238">
        <f>'[8]Avoided Costs'!C10</f>
        <v>0</v>
      </c>
      <c r="D16" s="239">
        <f>'[8]Avoided Costs'!D10</f>
        <v>0</v>
      </c>
      <c r="E16" s="239">
        <f>'[8]Avoided Costs'!E10</f>
        <v>0</v>
      </c>
      <c r="F16" s="239">
        <f>'[8]Avoided Costs'!F10</f>
        <v>0</v>
      </c>
      <c r="G16" s="239">
        <f>'[8]Avoided Costs'!G10</f>
        <v>0</v>
      </c>
      <c r="H16" s="240">
        <f>'[8]Avoided Costs'!H10</f>
        <v>0</v>
      </c>
      <c r="I16" s="241">
        <f>'[8]Avoided Costs'!I10</f>
        <v>0</v>
      </c>
      <c r="J16" s="239">
        <f>'[8]Avoided Costs'!J10</f>
        <v>0</v>
      </c>
      <c r="K16" s="239">
        <f>'[8]Avoided Costs'!K10</f>
        <v>0</v>
      </c>
      <c r="L16" s="240">
        <f>'[8]Avoided Costs'!L10</f>
        <v>0</v>
      </c>
      <c r="M16" s="241">
        <f>'[8]Avoided Costs'!M10</f>
        <v>0</v>
      </c>
      <c r="N16" s="239">
        <f>'[8]Avoided Costs'!N10</f>
        <v>0</v>
      </c>
      <c r="O16" s="240">
        <f>'[8]Avoided Costs'!O10</f>
        <v>0</v>
      </c>
    </row>
    <row r="17" spans="2:15" ht="12.75" customHeight="1">
      <c r="B17" s="250">
        <f>'[8]Avoided Costs'!B11</f>
        <v>2027</v>
      </c>
      <c r="C17" s="238">
        <f>'[8]Avoided Costs'!C11</f>
        <v>0</v>
      </c>
      <c r="D17" s="239">
        <f>'[8]Avoided Costs'!D11</f>
        <v>0</v>
      </c>
      <c r="E17" s="239">
        <f>'[8]Avoided Costs'!E11</f>
        <v>0</v>
      </c>
      <c r="F17" s="239">
        <f>'[8]Avoided Costs'!F11</f>
        <v>0</v>
      </c>
      <c r="G17" s="239">
        <f>'[8]Avoided Costs'!G11</f>
        <v>0</v>
      </c>
      <c r="H17" s="240">
        <f>'[8]Avoided Costs'!H11</f>
        <v>0</v>
      </c>
      <c r="I17" s="241">
        <f>'[8]Avoided Costs'!I11</f>
        <v>0</v>
      </c>
      <c r="J17" s="239">
        <f>'[8]Avoided Costs'!J11</f>
        <v>0</v>
      </c>
      <c r="K17" s="239">
        <f>'[8]Avoided Costs'!K11</f>
        <v>0</v>
      </c>
      <c r="L17" s="240">
        <f>'[8]Avoided Costs'!L11</f>
        <v>0</v>
      </c>
      <c r="M17" s="241">
        <f>'[8]Avoided Costs'!M11</f>
        <v>0</v>
      </c>
      <c r="N17" s="239">
        <f>'[8]Avoided Costs'!N11</f>
        <v>0</v>
      </c>
      <c r="O17" s="240">
        <f>'[8]Avoided Costs'!O11</f>
        <v>0</v>
      </c>
    </row>
    <row r="18" spans="2:15" ht="12.75" customHeight="1">
      <c r="B18" s="250">
        <f>'[8]Avoided Costs'!B12</f>
        <v>2028</v>
      </c>
      <c r="C18" s="238">
        <f>'[8]Avoided Costs'!C12</f>
        <v>0</v>
      </c>
      <c r="D18" s="239">
        <f>'[8]Avoided Costs'!D12</f>
        <v>0</v>
      </c>
      <c r="E18" s="239">
        <f>'[8]Avoided Costs'!E12</f>
        <v>0</v>
      </c>
      <c r="F18" s="239">
        <f>'[8]Avoided Costs'!F12</f>
        <v>0</v>
      </c>
      <c r="G18" s="239">
        <f>'[8]Avoided Costs'!G12</f>
        <v>0</v>
      </c>
      <c r="H18" s="240">
        <f>'[8]Avoided Costs'!H12</f>
        <v>0</v>
      </c>
      <c r="I18" s="241">
        <f>'[8]Avoided Costs'!I12</f>
        <v>0</v>
      </c>
      <c r="J18" s="239">
        <f>'[8]Avoided Costs'!J12</f>
        <v>0</v>
      </c>
      <c r="K18" s="239">
        <f>'[8]Avoided Costs'!K12</f>
        <v>0</v>
      </c>
      <c r="L18" s="240">
        <f>'[8]Avoided Costs'!L12</f>
        <v>0</v>
      </c>
      <c r="M18" s="241">
        <f>'[8]Avoided Costs'!M12</f>
        <v>0</v>
      </c>
      <c r="N18" s="239">
        <f>'[8]Avoided Costs'!N12</f>
        <v>0</v>
      </c>
      <c r="O18" s="240">
        <f>'[8]Avoided Costs'!O12</f>
        <v>0</v>
      </c>
    </row>
    <row r="19" spans="2:15" ht="12.75" customHeight="1">
      <c r="B19" s="250">
        <f>'[8]Avoided Costs'!B13</f>
        <v>2029</v>
      </c>
      <c r="C19" s="238">
        <f>'[8]Avoided Costs'!C13</f>
        <v>0</v>
      </c>
      <c r="D19" s="239">
        <f>'[8]Avoided Costs'!D13</f>
        <v>0</v>
      </c>
      <c r="E19" s="239">
        <f>'[8]Avoided Costs'!E13</f>
        <v>0</v>
      </c>
      <c r="F19" s="239">
        <f>'[8]Avoided Costs'!F13</f>
        <v>0</v>
      </c>
      <c r="G19" s="239">
        <f>'[8]Avoided Costs'!G13</f>
        <v>0</v>
      </c>
      <c r="H19" s="240">
        <f>'[8]Avoided Costs'!H13</f>
        <v>0</v>
      </c>
      <c r="I19" s="241">
        <f>'[8]Avoided Costs'!I13</f>
        <v>0</v>
      </c>
      <c r="J19" s="239">
        <f>'[8]Avoided Costs'!J13</f>
        <v>0</v>
      </c>
      <c r="K19" s="239">
        <f>'[8]Avoided Costs'!K13</f>
        <v>0</v>
      </c>
      <c r="L19" s="240">
        <f>'[8]Avoided Costs'!L13</f>
        <v>0</v>
      </c>
      <c r="M19" s="241">
        <f>'[8]Avoided Costs'!M13</f>
        <v>0</v>
      </c>
      <c r="N19" s="239">
        <f>'[8]Avoided Costs'!N13</f>
        <v>0</v>
      </c>
      <c r="O19" s="240">
        <f>'[8]Avoided Costs'!O13</f>
        <v>0</v>
      </c>
    </row>
    <row r="20" spans="2:15" ht="12.75" customHeight="1">
      <c r="B20" s="250">
        <f>'[8]Avoided Costs'!B14</f>
        <v>2030</v>
      </c>
      <c r="C20" s="238">
        <f>'[8]Avoided Costs'!C14</f>
        <v>0</v>
      </c>
      <c r="D20" s="239">
        <f>'[8]Avoided Costs'!D14</f>
        <v>0</v>
      </c>
      <c r="E20" s="239">
        <f>'[8]Avoided Costs'!E14</f>
        <v>0</v>
      </c>
      <c r="F20" s="239">
        <f>'[8]Avoided Costs'!F14</f>
        <v>0</v>
      </c>
      <c r="G20" s="239">
        <f>'[8]Avoided Costs'!G14</f>
        <v>0</v>
      </c>
      <c r="H20" s="240">
        <f>'[8]Avoided Costs'!H14</f>
        <v>0</v>
      </c>
      <c r="I20" s="241">
        <f>'[8]Avoided Costs'!I14</f>
        <v>0</v>
      </c>
      <c r="J20" s="239">
        <f>'[8]Avoided Costs'!J14</f>
        <v>0</v>
      </c>
      <c r="K20" s="239">
        <f>'[8]Avoided Costs'!K14</f>
        <v>0</v>
      </c>
      <c r="L20" s="240">
        <f>'[8]Avoided Costs'!L14</f>
        <v>0</v>
      </c>
      <c r="M20" s="241">
        <f>'[8]Avoided Costs'!M14</f>
        <v>0</v>
      </c>
      <c r="N20" s="239">
        <f>'[8]Avoided Costs'!N14</f>
        <v>0</v>
      </c>
      <c r="O20" s="240">
        <f>'[8]Avoided Costs'!O14</f>
        <v>0</v>
      </c>
    </row>
    <row r="21" spans="2:15" ht="12.75" customHeight="1">
      <c r="B21" s="250">
        <f>'[8]Avoided Costs'!B15</f>
        <v>2031</v>
      </c>
      <c r="C21" s="238">
        <f>'[8]Avoided Costs'!C15</f>
        <v>0</v>
      </c>
      <c r="D21" s="239">
        <f>'[8]Avoided Costs'!D15</f>
        <v>0</v>
      </c>
      <c r="E21" s="239">
        <f>'[8]Avoided Costs'!E15</f>
        <v>0</v>
      </c>
      <c r="F21" s="239">
        <f>'[8]Avoided Costs'!F15</f>
        <v>0</v>
      </c>
      <c r="G21" s="239">
        <f>'[8]Avoided Costs'!G15</f>
        <v>0</v>
      </c>
      <c r="H21" s="240">
        <f>'[8]Avoided Costs'!H15</f>
        <v>0</v>
      </c>
      <c r="I21" s="241">
        <f>'[8]Avoided Costs'!I15</f>
        <v>0</v>
      </c>
      <c r="J21" s="239">
        <f>'[8]Avoided Costs'!J15</f>
        <v>0</v>
      </c>
      <c r="K21" s="239">
        <f>'[8]Avoided Costs'!K15</f>
        <v>0</v>
      </c>
      <c r="L21" s="240">
        <f>'[8]Avoided Costs'!L15</f>
        <v>0</v>
      </c>
      <c r="M21" s="241">
        <f>'[8]Avoided Costs'!M15</f>
        <v>0</v>
      </c>
      <c r="N21" s="239">
        <f>'[8]Avoided Costs'!N15</f>
        <v>0</v>
      </c>
      <c r="O21" s="240">
        <f>'[8]Avoided Costs'!O15</f>
        <v>0</v>
      </c>
    </row>
    <row r="22" spans="2:15" ht="12.75" customHeight="1">
      <c r="B22" s="250">
        <f>'[8]Avoided Costs'!B16</f>
        <v>2032</v>
      </c>
      <c r="C22" s="238">
        <f>'[8]Avoided Costs'!C16</f>
        <v>0</v>
      </c>
      <c r="D22" s="239">
        <f>'[8]Avoided Costs'!D16</f>
        <v>0</v>
      </c>
      <c r="E22" s="239">
        <f>'[8]Avoided Costs'!E16</f>
        <v>0</v>
      </c>
      <c r="F22" s="239">
        <f>'[8]Avoided Costs'!F16</f>
        <v>0</v>
      </c>
      <c r="G22" s="239">
        <f>'[8]Avoided Costs'!G16</f>
        <v>0</v>
      </c>
      <c r="H22" s="240">
        <f>'[8]Avoided Costs'!H16</f>
        <v>0</v>
      </c>
      <c r="I22" s="241">
        <f>'[8]Avoided Costs'!I16</f>
        <v>0</v>
      </c>
      <c r="J22" s="239">
        <f>'[8]Avoided Costs'!J16</f>
        <v>0</v>
      </c>
      <c r="K22" s="239">
        <f>'[8]Avoided Costs'!K16</f>
        <v>0</v>
      </c>
      <c r="L22" s="240">
        <f>'[8]Avoided Costs'!L16</f>
        <v>0</v>
      </c>
      <c r="M22" s="241">
        <f>'[8]Avoided Costs'!M16</f>
        <v>0</v>
      </c>
      <c r="N22" s="239">
        <f>'[8]Avoided Costs'!N16</f>
        <v>0</v>
      </c>
      <c r="O22" s="240">
        <f>'[8]Avoided Costs'!O16</f>
        <v>0</v>
      </c>
    </row>
    <row r="23" spans="2:15" ht="12.75" customHeight="1">
      <c r="B23" s="250">
        <f>'[8]Avoided Costs'!B17</f>
        <v>0</v>
      </c>
      <c r="C23" s="238">
        <f>'[8]Avoided Costs'!C17</f>
        <v>0</v>
      </c>
      <c r="D23" s="239">
        <f>'[8]Avoided Costs'!D17</f>
        <v>0</v>
      </c>
      <c r="E23" s="239">
        <f>'[8]Avoided Costs'!E17</f>
        <v>0</v>
      </c>
      <c r="F23" s="239">
        <f>'[8]Avoided Costs'!F17</f>
        <v>0</v>
      </c>
      <c r="G23" s="239">
        <f>'[8]Avoided Costs'!G17</f>
        <v>0</v>
      </c>
      <c r="H23" s="240">
        <f>'[8]Avoided Costs'!H17</f>
        <v>0</v>
      </c>
      <c r="I23" s="241">
        <f>'[8]Avoided Costs'!I17</f>
        <v>0</v>
      </c>
      <c r="J23" s="239">
        <f>'[8]Avoided Costs'!J17</f>
        <v>0</v>
      </c>
      <c r="K23" s="239">
        <f>'[8]Avoided Costs'!K17</f>
        <v>0</v>
      </c>
      <c r="L23" s="240">
        <f>'[8]Avoided Costs'!L17</f>
        <v>0</v>
      </c>
      <c r="M23" s="241">
        <f>'[8]Avoided Costs'!M17</f>
        <v>0</v>
      </c>
      <c r="N23" s="239">
        <f>'[8]Avoided Costs'!N17</f>
        <v>0</v>
      </c>
      <c r="O23" s="240">
        <f>'[8]Avoided Costs'!O17</f>
        <v>0</v>
      </c>
    </row>
    <row r="24" spans="2:15" ht="12.75" customHeight="1">
      <c r="B24" s="250">
        <f>'[8]Avoided Costs'!B18</f>
        <v>0</v>
      </c>
      <c r="C24" s="238">
        <f>'[8]Avoided Costs'!C18</f>
        <v>0</v>
      </c>
      <c r="D24" s="239">
        <f>'[8]Avoided Costs'!D18</f>
        <v>0</v>
      </c>
      <c r="E24" s="239">
        <f>'[8]Avoided Costs'!E18</f>
        <v>0</v>
      </c>
      <c r="F24" s="239">
        <f>'[8]Avoided Costs'!F18</f>
        <v>0</v>
      </c>
      <c r="G24" s="239">
        <f>'[8]Avoided Costs'!G18</f>
        <v>0</v>
      </c>
      <c r="H24" s="240">
        <f>'[8]Avoided Costs'!H18</f>
        <v>0</v>
      </c>
      <c r="I24" s="241">
        <f>'[8]Avoided Costs'!I18</f>
        <v>0</v>
      </c>
      <c r="J24" s="239">
        <f>'[8]Avoided Costs'!J18</f>
        <v>0</v>
      </c>
      <c r="K24" s="239">
        <f>'[8]Avoided Costs'!K18</f>
        <v>0</v>
      </c>
      <c r="L24" s="240">
        <f>'[8]Avoided Costs'!L18</f>
        <v>0</v>
      </c>
      <c r="M24" s="241">
        <f>'[8]Avoided Costs'!M18</f>
        <v>0</v>
      </c>
      <c r="N24" s="239">
        <f>'[8]Avoided Costs'!N18</f>
        <v>0</v>
      </c>
      <c r="O24" s="240">
        <f>'[8]Avoided Costs'!O18</f>
        <v>0</v>
      </c>
    </row>
    <row r="25" spans="2:15" ht="12.75" customHeight="1">
      <c r="B25" s="250">
        <f>'[8]Avoided Costs'!B19</f>
        <v>0</v>
      </c>
      <c r="C25" s="238">
        <f>'[8]Avoided Costs'!C19</f>
        <v>0</v>
      </c>
      <c r="D25" s="239">
        <f>'[8]Avoided Costs'!D19</f>
        <v>0</v>
      </c>
      <c r="E25" s="239">
        <f>'[8]Avoided Costs'!E19</f>
        <v>0</v>
      </c>
      <c r="F25" s="239">
        <f>'[8]Avoided Costs'!F19</f>
        <v>0</v>
      </c>
      <c r="G25" s="239">
        <f>'[8]Avoided Costs'!G19</f>
        <v>0</v>
      </c>
      <c r="H25" s="240">
        <f>'[8]Avoided Costs'!H19</f>
        <v>0</v>
      </c>
      <c r="I25" s="241">
        <f>'[8]Avoided Costs'!I19</f>
        <v>0</v>
      </c>
      <c r="J25" s="239">
        <f>'[8]Avoided Costs'!J19</f>
        <v>0</v>
      </c>
      <c r="K25" s="239">
        <f>'[8]Avoided Costs'!K19</f>
        <v>0</v>
      </c>
      <c r="L25" s="240">
        <f>'[8]Avoided Costs'!L19</f>
        <v>0</v>
      </c>
      <c r="M25" s="241">
        <f>'[8]Avoided Costs'!M19</f>
        <v>0</v>
      </c>
      <c r="N25" s="239">
        <f>'[8]Avoided Costs'!N19</f>
        <v>0</v>
      </c>
      <c r="O25" s="240">
        <f>'[8]Avoided Costs'!O19</f>
        <v>0</v>
      </c>
    </row>
    <row r="26" spans="2:15" ht="12.75" customHeight="1">
      <c r="B26" s="250">
        <f>'[8]Avoided Costs'!B20</f>
        <v>0</v>
      </c>
      <c r="C26" s="238">
        <f>'[8]Avoided Costs'!C20</f>
        <v>0</v>
      </c>
      <c r="D26" s="239">
        <f>'[8]Avoided Costs'!D20</f>
        <v>0</v>
      </c>
      <c r="E26" s="239">
        <f>'[8]Avoided Costs'!E20</f>
        <v>0</v>
      </c>
      <c r="F26" s="239">
        <f>'[8]Avoided Costs'!F20</f>
        <v>0</v>
      </c>
      <c r="G26" s="239">
        <f>'[8]Avoided Costs'!G20</f>
        <v>0</v>
      </c>
      <c r="H26" s="240">
        <f>'[8]Avoided Costs'!H20</f>
        <v>0</v>
      </c>
      <c r="I26" s="241">
        <f>'[8]Avoided Costs'!I20</f>
        <v>0</v>
      </c>
      <c r="J26" s="239">
        <f>'[8]Avoided Costs'!J20</f>
        <v>0</v>
      </c>
      <c r="K26" s="239">
        <f>'[8]Avoided Costs'!K20</f>
        <v>0</v>
      </c>
      <c r="L26" s="240">
        <f>'[8]Avoided Costs'!L20</f>
        <v>0</v>
      </c>
      <c r="M26" s="241">
        <f>'[8]Avoided Costs'!M20</f>
        <v>0</v>
      </c>
      <c r="N26" s="239">
        <f>'[8]Avoided Costs'!N20</f>
        <v>0</v>
      </c>
      <c r="O26" s="240">
        <f>'[8]Avoided Costs'!O20</f>
        <v>0</v>
      </c>
    </row>
    <row r="27" spans="2:15" ht="12.75" customHeight="1">
      <c r="B27" s="250">
        <f>'[8]Avoided Costs'!B21</f>
        <v>0</v>
      </c>
      <c r="C27" s="238">
        <f>'[8]Avoided Costs'!C21</f>
        <v>0</v>
      </c>
      <c r="D27" s="239">
        <f>'[8]Avoided Costs'!D21</f>
        <v>0</v>
      </c>
      <c r="E27" s="239">
        <f>'[8]Avoided Costs'!E21</f>
        <v>0</v>
      </c>
      <c r="F27" s="239">
        <f>'[8]Avoided Costs'!F21</f>
        <v>0</v>
      </c>
      <c r="G27" s="239">
        <f>'[8]Avoided Costs'!G21</f>
        <v>0</v>
      </c>
      <c r="H27" s="240">
        <f>'[8]Avoided Costs'!H21</f>
        <v>0</v>
      </c>
      <c r="I27" s="241">
        <f>'[8]Avoided Costs'!I21</f>
        <v>0</v>
      </c>
      <c r="J27" s="239">
        <f>'[8]Avoided Costs'!J21</f>
        <v>0</v>
      </c>
      <c r="K27" s="239">
        <f>'[8]Avoided Costs'!K21</f>
        <v>0</v>
      </c>
      <c r="L27" s="240">
        <f>'[8]Avoided Costs'!L21</f>
        <v>0</v>
      </c>
      <c r="M27" s="241">
        <f>'[8]Avoided Costs'!M21</f>
        <v>0</v>
      </c>
      <c r="N27" s="239">
        <f>'[8]Avoided Costs'!N21</f>
        <v>0</v>
      </c>
      <c r="O27" s="240">
        <f>'[8]Avoided Costs'!O21</f>
        <v>0</v>
      </c>
    </row>
    <row r="28" spans="2:15" ht="12.75" customHeight="1">
      <c r="B28" s="250">
        <f>'[8]Avoided Costs'!B22</f>
        <v>0</v>
      </c>
      <c r="C28" s="238">
        <f>'[8]Avoided Costs'!C22</f>
        <v>0</v>
      </c>
      <c r="D28" s="239">
        <f>'[8]Avoided Costs'!D22</f>
        <v>0</v>
      </c>
      <c r="E28" s="239">
        <f>'[8]Avoided Costs'!E22</f>
        <v>0</v>
      </c>
      <c r="F28" s="239">
        <f>'[8]Avoided Costs'!F22</f>
        <v>0</v>
      </c>
      <c r="G28" s="239">
        <f>'[8]Avoided Costs'!G22</f>
        <v>0</v>
      </c>
      <c r="H28" s="240">
        <f>'[8]Avoided Costs'!H22</f>
        <v>0</v>
      </c>
      <c r="I28" s="241">
        <f>'[8]Avoided Costs'!I22</f>
        <v>0</v>
      </c>
      <c r="J28" s="239">
        <f>'[8]Avoided Costs'!J22</f>
        <v>0</v>
      </c>
      <c r="K28" s="239">
        <f>'[8]Avoided Costs'!K22</f>
        <v>0</v>
      </c>
      <c r="L28" s="240">
        <f>'[8]Avoided Costs'!L22</f>
        <v>0</v>
      </c>
      <c r="M28" s="241">
        <f>'[8]Avoided Costs'!M22</f>
        <v>0</v>
      </c>
      <c r="N28" s="239">
        <f>'[8]Avoided Costs'!N22</f>
        <v>0</v>
      </c>
      <c r="O28" s="240">
        <f>'[8]Avoided Costs'!O22</f>
        <v>0</v>
      </c>
    </row>
    <row r="29" spans="2:15" ht="12.75" customHeight="1">
      <c r="B29" s="250">
        <f>'[8]Avoided Costs'!B23</f>
        <v>0</v>
      </c>
      <c r="C29" s="238">
        <f>'[8]Avoided Costs'!C23</f>
        <v>0</v>
      </c>
      <c r="D29" s="239">
        <f>'[8]Avoided Costs'!D23</f>
        <v>0</v>
      </c>
      <c r="E29" s="239">
        <f>'[8]Avoided Costs'!E23</f>
        <v>0</v>
      </c>
      <c r="F29" s="239">
        <f>'[8]Avoided Costs'!F23</f>
        <v>0</v>
      </c>
      <c r="G29" s="239">
        <f>'[8]Avoided Costs'!G23</f>
        <v>0</v>
      </c>
      <c r="H29" s="240">
        <f>'[8]Avoided Costs'!H23</f>
        <v>0</v>
      </c>
      <c r="I29" s="241">
        <f>'[8]Avoided Costs'!I23</f>
        <v>0</v>
      </c>
      <c r="J29" s="239">
        <f>'[8]Avoided Costs'!J23</f>
        <v>0</v>
      </c>
      <c r="K29" s="239">
        <f>'[8]Avoided Costs'!K23</f>
        <v>0</v>
      </c>
      <c r="L29" s="240">
        <f>'[8]Avoided Costs'!L23</f>
        <v>0</v>
      </c>
      <c r="M29" s="241">
        <f>'[8]Avoided Costs'!M23</f>
        <v>0</v>
      </c>
      <c r="N29" s="239">
        <f>'[8]Avoided Costs'!N23</f>
        <v>0</v>
      </c>
      <c r="O29" s="240">
        <f>'[8]Avoided Costs'!O23</f>
        <v>0</v>
      </c>
    </row>
    <row r="30" spans="2:15" ht="12.75" customHeight="1">
      <c r="B30" s="251">
        <f>'[8]Avoided Costs'!B24</f>
        <v>0</v>
      </c>
      <c r="C30" s="243">
        <f>'[8]Avoided Costs'!C24</f>
        <v>0</v>
      </c>
      <c r="D30" s="244">
        <f>'[8]Avoided Costs'!D24</f>
        <v>0</v>
      </c>
      <c r="E30" s="244">
        <f>'[8]Avoided Costs'!E24</f>
        <v>0</v>
      </c>
      <c r="F30" s="244">
        <f>'[8]Avoided Costs'!F24</f>
        <v>0</v>
      </c>
      <c r="G30" s="244">
        <f>'[8]Avoided Costs'!G24</f>
        <v>0</v>
      </c>
      <c r="H30" s="245">
        <f>'[8]Avoided Costs'!H24</f>
        <v>0</v>
      </c>
      <c r="I30" s="246">
        <f>'[8]Avoided Costs'!I24</f>
        <v>0</v>
      </c>
      <c r="J30" s="244">
        <f>'[8]Avoided Costs'!J24</f>
        <v>0</v>
      </c>
      <c r="K30" s="244">
        <f>'[8]Avoided Costs'!K24</f>
        <v>0</v>
      </c>
      <c r="L30" s="245">
        <f>'[8]Avoided Costs'!L24</f>
        <v>0</v>
      </c>
      <c r="M30" s="246">
        <f>'[8]Avoided Costs'!M24</f>
        <v>0</v>
      </c>
      <c r="N30" s="244">
        <f>'[8]Avoided Costs'!N24</f>
        <v>0</v>
      </c>
      <c r="O30" s="245">
        <f>'[8]Avoided Costs'!O24</f>
        <v>0</v>
      </c>
    </row>
    <row r="31" spans="2:15" ht="12.75" hidden="1" customHeight="1">
      <c r="B31" s="15"/>
      <c r="C31" s="238"/>
      <c r="D31" s="239"/>
      <c r="E31" s="239"/>
      <c r="F31" s="239"/>
      <c r="G31" s="239"/>
      <c r="H31" s="240"/>
      <c r="I31" s="241"/>
      <c r="J31" s="239"/>
      <c r="K31" s="239"/>
      <c r="L31" s="240"/>
      <c r="M31" s="241"/>
      <c r="N31" s="239"/>
      <c r="O31" s="240"/>
    </row>
    <row r="32" spans="2:15" ht="12.75" hidden="1" customHeight="1">
      <c r="B32" s="242"/>
      <c r="C32" s="243"/>
      <c r="D32" s="244"/>
      <c r="E32" s="244"/>
      <c r="F32" s="244"/>
      <c r="G32" s="244"/>
      <c r="H32" s="245"/>
      <c r="I32" s="246"/>
      <c r="J32" s="244"/>
      <c r="K32" s="244"/>
      <c r="L32" s="245"/>
      <c r="M32" s="246"/>
      <c r="N32" s="244"/>
      <c r="O32" s="245"/>
    </row>
    <row r="33" spans="2:16" ht="12.75" customHeight="1">
      <c r="D33" s="10"/>
      <c r="E33" s="10"/>
      <c r="F33" s="10"/>
      <c r="M33" s="247"/>
    </row>
    <row r="34" spans="2:16">
      <c r="B34" s="248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8" spans="2:16" hidden="1">
      <c r="C38" s="249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49"/>
    </row>
    <row r="40" spans="2:16">
      <c r="C40" s="249"/>
    </row>
    <row r="41" spans="2:16">
      <c r="C41" s="249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2:32" ht="15.75">
      <c r="B2" s="1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2:32" ht="15.75">
      <c r="B3" s="1" t="s">
        <v>56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</row>
    <row r="6" spans="2:32" ht="15.75">
      <c r="B6" s="1"/>
      <c r="C6" s="266"/>
      <c r="D6" s="266"/>
      <c r="E6" s="266"/>
      <c r="F6" s="266"/>
      <c r="G6" s="266"/>
      <c r="H6" s="266"/>
      <c r="I6" s="266"/>
      <c r="J6" s="266"/>
      <c r="L6" s="267"/>
    </row>
    <row r="7" spans="2:32">
      <c r="B7" s="268"/>
      <c r="C7" s="268"/>
      <c r="D7" s="268"/>
      <c r="E7" s="268"/>
      <c r="F7" s="268"/>
      <c r="G7" s="268"/>
      <c r="H7" s="268"/>
      <c r="I7" s="268"/>
      <c r="J7" s="266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69" t="s">
        <v>21</v>
      </c>
      <c r="K8" s="269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0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5"/>
      <c r="AB9" s="345"/>
      <c r="AC9" s="118"/>
      <c r="AD9" s="118"/>
      <c r="AE9" s="86"/>
      <c r="AF9" s="86"/>
    </row>
    <row r="10" spans="2:32">
      <c r="C10" s="271" t="s">
        <v>1</v>
      </c>
      <c r="D10" s="271" t="s">
        <v>2</v>
      </c>
      <c r="E10" s="271" t="s">
        <v>3</v>
      </c>
      <c r="F10" s="271" t="s">
        <v>4</v>
      </c>
      <c r="G10" s="271" t="s">
        <v>5</v>
      </c>
      <c r="H10" s="271" t="s">
        <v>7</v>
      </c>
      <c r="I10" s="271" t="s">
        <v>22</v>
      </c>
      <c r="J10" s="271" t="s">
        <v>23</v>
      </c>
      <c r="K10" s="271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68"/>
      <c r="K12" s="268"/>
      <c r="L12" s="268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72"/>
      <c r="C13" s="273"/>
      <c r="D13" s="274"/>
      <c r="E13" s="275"/>
      <c r="F13" s="275"/>
      <c r="G13" s="275"/>
      <c r="H13" s="276"/>
      <c r="I13" s="276"/>
      <c r="J13" s="276"/>
      <c r="K13" s="276"/>
      <c r="L13" s="276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2">
        <v>2020</v>
      </c>
      <c r="C14" s="277"/>
      <c r="D14" s="127"/>
      <c r="E14" s="127"/>
      <c r="F14" s="127"/>
      <c r="G14" s="365">
        <f>$C$68</f>
        <v>6.7187999999999999</v>
      </c>
      <c r="H14" s="276"/>
      <c r="I14" s="276"/>
      <c r="J14" s="276"/>
      <c r="K14" s="276"/>
      <c r="L14" s="276"/>
      <c r="M14" s="127"/>
      <c r="N14" s="41"/>
      <c r="P14" s="359"/>
      <c r="V14" s="161"/>
      <c r="W14" s="118"/>
      <c r="X14" s="157"/>
      <c r="Y14" s="346"/>
      <c r="Z14" s="118"/>
      <c r="AA14" s="157"/>
      <c r="AB14" s="157"/>
      <c r="AC14" s="118"/>
      <c r="AD14" s="118"/>
      <c r="AE14" s="86"/>
      <c r="AF14" s="86"/>
    </row>
    <row r="15" spans="2:32">
      <c r="B15" s="272">
        <f t="shared" ref="B15:B36" si="0">B14+1</f>
        <v>2021</v>
      </c>
      <c r="C15" s="277"/>
      <c r="D15" s="127"/>
      <c r="E15" s="127"/>
      <c r="F15" s="127"/>
      <c r="G15" s="367">
        <f t="shared" ref="G15:G36" si="1">ROUND(G14*(1+IRP21_Infl_Rate),2)</f>
        <v>6.86</v>
      </c>
      <c r="H15" s="276"/>
      <c r="I15" s="276"/>
      <c r="J15" s="127"/>
      <c r="K15" s="276"/>
      <c r="L15" s="276"/>
      <c r="M15" s="127"/>
      <c r="N15" s="41"/>
      <c r="P15" s="359"/>
      <c r="Q15" s="359"/>
      <c r="V15" s="161"/>
      <c r="W15" s="157"/>
      <c r="X15" s="157"/>
      <c r="Y15" s="346"/>
      <c r="Z15" s="157"/>
      <c r="AA15" s="157"/>
      <c r="AB15" s="157"/>
      <c r="AC15" s="118"/>
      <c r="AD15" s="118"/>
      <c r="AE15" s="86"/>
      <c r="AF15" s="86"/>
    </row>
    <row r="16" spans="2:32">
      <c r="B16" s="272">
        <f t="shared" si="0"/>
        <v>2022</v>
      </c>
      <c r="C16" s="277"/>
      <c r="D16" s="127"/>
      <c r="E16" s="127"/>
      <c r="F16" s="127"/>
      <c r="G16" s="367">
        <f t="shared" si="1"/>
        <v>7.01</v>
      </c>
      <c r="H16" s="276"/>
      <c r="I16" s="276"/>
      <c r="J16" s="127"/>
      <c r="K16" s="276"/>
      <c r="L16" s="276"/>
      <c r="M16" s="127"/>
      <c r="N16" s="41"/>
      <c r="P16" s="359"/>
      <c r="Q16" s="359"/>
      <c r="V16" s="161"/>
      <c r="W16" s="157"/>
      <c r="X16" s="157"/>
      <c r="Y16" s="346"/>
      <c r="Z16" s="157"/>
      <c r="AA16" s="157"/>
      <c r="AB16" s="157"/>
      <c r="AC16" s="118"/>
      <c r="AD16" s="118"/>
      <c r="AE16" s="86"/>
      <c r="AF16" s="86"/>
    </row>
    <row r="17" spans="2:32">
      <c r="B17" s="272">
        <f t="shared" si="0"/>
        <v>2023</v>
      </c>
      <c r="C17" s="277"/>
      <c r="D17" s="127"/>
      <c r="E17" s="127"/>
      <c r="F17" s="127"/>
      <c r="G17" s="367">
        <f t="shared" si="1"/>
        <v>7.16</v>
      </c>
      <c r="H17" s="276"/>
      <c r="I17" s="276"/>
      <c r="J17" s="127"/>
      <c r="K17" s="276"/>
      <c r="L17" s="276"/>
      <c r="M17" s="127"/>
      <c r="N17" s="41"/>
      <c r="P17" s="359"/>
      <c r="Q17" s="359"/>
      <c r="V17" s="161"/>
      <c r="W17" s="157"/>
      <c r="X17" s="157"/>
      <c r="Y17" s="346"/>
      <c r="Z17" s="157"/>
      <c r="AA17" s="157"/>
      <c r="AB17" s="157"/>
      <c r="AC17" s="118"/>
      <c r="AD17" s="118"/>
      <c r="AE17" s="86"/>
      <c r="AF17" s="86"/>
    </row>
    <row r="18" spans="2:32">
      <c r="B18" s="272">
        <f t="shared" si="0"/>
        <v>2024</v>
      </c>
      <c r="C18" s="277"/>
      <c r="D18" s="127"/>
      <c r="E18" s="127"/>
      <c r="F18" s="127"/>
      <c r="G18" s="367">
        <f t="shared" si="1"/>
        <v>7.31</v>
      </c>
      <c r="H18" s="276"/>
      <c r="I18" s="276"/>
      <c r="J18" s="127"/>
      <c r="K18" s="276"/>
      <c r="L18" s="276"/>
      <c r="M18" s="127"/>
      <c r="N18" s="41"/>
      <c r="P18" s="359"/>
      <c r="Q18" s="359"/>
      <c r="V18" s="161"/>
      <c r="W18" s="157"/>
      <c r="X18" s="157"/>
      <c r="Y18" s="346"/>
      <c r="Z18" s="157"/>
      <c r="AA18" s="157"/>
      <c r="AB18" s="157"/>
      <c r="AC18" s="118"/>
      <c r="AD18" s="118"/>
      <c r="AE18" s="86"/>
      <c r="AF18" s="86"/>
    </row>
    <row r="19" spans="2:32">
      <c r="B19" s="272">
        <f t="shared" si="0"/>
        <v>2025</v>
      </c>
      <c r="C19" s="277"/>
      <c r="D19" s="127"/>
      <c r="E19" s="127"/>
      <c r="F19" s="127"/>
      <c r="G19" s="367">
        <f t="shared" si="1"/>
        <v>7.47</v>
      </c>
      <c r="H19" s="276"/>
      <c r="I19" s="276"/>
      <c r="J19" s="127"/>
      <c r="K19" s="276"/>
      <c r="L19" s="276"/>
      <c r="M19" s="127"/>
      <c r="N19" s="41"/>
      <c r="P19" s="359"/>
      <c r="Q19" s="359"/>
      <c r="V19" s="161"/>
      <c r="W19" s="157"/>
      <c r="X19" s="157"/>
      <c r="Y19" s="346"/>
      <c r="Z19" s="157"/>
      <c r="AA19" s="157"/>
      <c r="AB19" s="157"/>
      <c r="AC19" s="118"/>
      <c r="AD19" s="118"/>
      <c r="AE19" s="86"/>
      <c r="AF19" s="86"/>
    </row>
    <row r="20" spans="2:32">
      <c r="B20" s="272">
        <f t="shared" si="0"/>
        <v>2026</v>
      </c>
      <c r="C20" s="277"/>
      <c r="D20" s="274"/>
      <c r="E20" s="127"/>
      <c r="F20" s="127"/>
      <c r="G20" s="367">
        <f t="shared" si="1"/>
        <v>7.63</v>
      </c>
      <c r="H20" s="276"/>
      <c r="I20" s="276"/>
      <c r="J20" s="127"/>
      <c r="K20" s="276"/>
      <c r="L20" s="276"/>
      <c r="M20" s="127"/>
      <c r="N20" s="41"/>
      <c r="P20" s="359"/>
      <c r="Q20" s="359" t="s">
        <v>182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2">
        <f t="shared" si="0"/>
        <v>2027</v>
      </c>
      <c r="C21" s="277"/>
      <c r="D21" s="127"/>
      <c r="E21" s="127"/>
      <c r="F21" s="127"/>
      <c r="G21" s="367">
        <f t="shared" si="1"/>
        <v>7.79</v>
      </c>
      <c r="H21" s="276"/>
      <c r="I21" s="276"/>
      <c r="J21" s="127"/>
      <c r="K21" s="276"/>
      <c r="L21" s="276"/>
      <c r="M21" s="127"/>
      <c r="N21" s="41"/>
      <c r="P21" s="359"/>
      <c r="Q21" s="85" t="s">
        <v>183</v>
      </c>
      <c r="V21" s="347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2">
        <f t="shared" si="0"/>
        <v>2028</v>
      </c>
      <c r="C22" s="357">
        <f>$C$64</f>
        <v>3799.5717060566089</v>
      </c>
      <c r="D22" s="366">
        <f>ROUND(C22*$C$70,2)</f>
        <v>255.84</v>
      </c>
      <c r="E22" s="127"/>
      <c r="F22" s="353">
        <f>$C$67</f>
        <v>222.01</v>
      </c>
      <c r="G22" s="367">
        <f t="shared" si="1"/>
        <v>7.96</v>
      </c>
      <c r="H22" s="276">
        <f t="shared" ref="H22:H26" si="2">ROUND(G22*(8.76*$H$59)+F22,2)</f>
        <v>281.7</v>
      </c>
      <c r="I22" s="276">
        <f t="shared" ref="I22:I26" si="3">ROUND(D22+E22+H22,2)</f>
        <v>537.54</v>
      </c>
      <c r="J22" s="127"/>
      <c r="K22" s="276">
        <f t="shared" ref="K22:K26" si="4">ROUND($L$59*J22/1000,2)</f>
        <v>0</v>
      </c>
      <c r="L22" s="276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59"/>
      <c r="Q22" s="359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2">
        <f t="shared" si="0"/>
        <v>2029</v>
      </c>
      <c r="C23" s="277"/>
      <c r="D23" s="367">
        <f t="shared" ref="D23:D36" si="7">ROUND(D22*(1+IRP21_Infl_Rate),2)</f>
        <v>261.35000000000002</v>
      </c>
      <c r="E23" s="127"/>
      <c r="F23" s="367">
        <f t="shared" ref="F23:F36" si="8">ROUND(F22*(1+IRP21_Infl_Rate),2)</f>
        <v>226.79</v>
      </c>
      <c r="G23" s="367">
        <f t="shared" si="1"/>
        <v>8.1300000000000008</v>
      </c>
      <c r="H23" s="276">
        <f t="shared" si="2"/>
        <v>287.75</v>
      </c>
      <c r="I23" s="276">
        <f t="shared" si="3"/>
        <v>549.1</v>
      </c>
      <c r="J23" s="127"/>
      <c r="K23" s="276">
        <f t="shared" si="4"/>
        <v>0</v>
      </c>
      <c r="L23" s="276">
        <f t="shared" si="5"/>
        <v>73.23</v>
      </c>
      <c r="M23" s="127">
        <f t="shared" si="6"/>
        <v>488.14</v>
      </c>
      <c r="N23" s="41"/>
      <c r="P23" s="359"/>
      <c r="Q23" s="359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0" customFormat="1">
      <c r="B24" s="278">
        <f t="shared" si="0"/>
        <v>2030</v>
      </c>
      <c r="C24" s="277"/>
      <c r="D24" s="367">
        <f t="shared" si="7"/>
        <v>266.98</v>
      </c>
      <c r="E24" s="127"/>
      <c r="F24" s="367">
        <f t="shared" si="8"/>
        <v>231.68</v>
      </c>
      <c r="G24" s="367">
        <f t="shared" si="1"/>
        <v>8.31</v>
      </c>
      <c r="H24" s="276">
        <f t="shared" si="2"/>
        <v>293.99</v>
      </c>
      <c r="I24" s="276">
        <f t="shared" si="3"/>
        <v>560.97</v>
      </c>
      <c r="J24" s="127"/>
      <c r="K24" s="276">
        <f t="shared" si="4"/>
        <v>0</v>
      </c>
      <c r="L24" s="276">
        <f t="shared" si="5"/>
        <v>74.81</v>
      </c>
      <c r="M24" s="127">
        <f t="shared" si="6"/>
        <v>498.66</v>
      </c>
      <c r="N24" s="50"/>
      <c r="O24" s="85"/>
      <c r="P24" s="359"/>
      <c r="Q24" s="359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48"/>
      <c r="AF24" s="348"/>
    </row>
    <row r="25" spans="2:32" s="280" customFormat="1">
      <c r="B25" s="278">
        <f t="shared" si="0"/>
        <v>2031</v>
      </c>
      <c r="C25" s="277"/>
      <c r="D25" s="367">
        <f t="shared" si="7"/>
        <v>272.73</v>
      </c>
      <c r="E25" s="127"/>
      <c r="F25" s="367">
        <f t="shared" si="8"/>
        <v>236.67</v>
      </c>
      <c r="G25" s="367">
        <f t="shared" si="1"/>
        <v>8.49</v>
      </c>
      <c r="H25" s="276">
        <f t="shared" si="2"/>
        <v>300.33</v>
      </c>
      <c r="I25" s="276">
        <f t="shared" si="3"/>
        <v>573.05999999999995</v>
      </c>
      <c r="J25" s="127"/>
      <c r="K25" s="276">
        <f t="shared" si="4"/>
        <v>0</v>
      </c>
      <c r="L25" s="276">
        <f t="shared" si="5"/>
        <v>76.42</v>
      </c>
      <c r="M25" s="127">
        <f t="shared" si="6"/>
        <v>509.4</v>
      </c>
      <c r="N25" s="50"/>
      <c r="O25" s="85"/>
      <c r="P25" s="359"/>
      <c r="Q25" s="359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48"/>
      <c r="AF25" s="348"/>
    </row>
    <row r="26" spans="2:32" s="280" customFormat="1">
      <c r="B26" s="278">
        <f t="shared" si="0"/>
        <v>2032</v>
      </c>
      <c r="C26" s="277"/>
      <c r="D26" s="367">
        <f t="shared" si="7"/>
        <v>278.61</v>
      </c>
      <c r="E26" s="127"/>
      <c r="F26" s="367">
        <f t="shared" si="8"/>
        <v>241.77</v>
      </c>
      <c r="G26" s="367">
        <f t="shared" si="1"/>
        <v>8.67</v>
      </c>
      <c r="H26" s="276">
        <f t="shared" si="2"/>
        <v>306.77999999999997</v>
      </c>
      <c r="I26" s="276">
        <f t="shared" si="3"/>
        <v>585.39</v>
      </c>
      <c r="J26" s="127"/>
      <c r="K26" s="276">
        <f t="shared" si="4"/>
        <v>0</v>
      </c>
      <c r="L26" s="276">
        <f t="shared" si="5"/>
        <v>78.069999999999993</v>
      </c>
      <c r="M26" s="127">
        <f t="shared" si="6"/>
        <v>520.38</v>
      </c>
      <c r="N26" s="50"/>
      <c r="O26" s="85"/>
      <c r="P26" s="359"/>
      <c r="Q26" s="359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48"/>
      <c r="AF26" s="348"/>
    </row>
    <row r="27" spans="2:32" s="280" customFormat="1">
      <c r="B27" s="278">
        <f t="shared" si="0"/>
        <v>2033</v>
      </c>
      <c r="C27" s="279"/>
      <c r="D27" s="367">
        <f t="shared" si="7"/>
        <v>284.61</v>
      </c>
      <c r="E27" s="127"/>
      <c r="F27" s="367">
        <f t="shared" si="8"/>
        <v>246.98</v>
      </c>
      <c r="G27" s="367">
        <f t="shared" si="1"/>
        <v>8.86</v>
      </c>
      <c r="H27" s="276">
        <f t="shared" ref="H27:H36" si="9">ROUND(G27*(8.76*$H$59)+F27,2)</f>
        <v>313.42</v>
      </c>
      <c r="I27" s="276">
        <f>ROUND(D27+E27+H27,2)</f>
        <v>598.03</v>
      </c>
      <c r="J27" s="127"/>
      <c r="K27" s="276">
        <f t="shared" ref="K27:K36" si="10">ROUND($L$59*J27/1000,2)</f>
        <v>0</v>
      </c>
      <c r="L27" s="276">
        <f t="shared" ref="L27:L36" si="11">ROUND(I27*1000/8760/$H$59+K27,2)</f>
        <v>79.75</v>
      </c>
      <c r="M27" s="127">
        <f>(D27+E27+F27)</f>
        <v>531.59</v>
      </c>
      <c r="N27" s="50"/>
      <c r="O27" s="85"/>
      <c r="P27" s="359"/>
      <c r="Q27" s="359">
        <v>-13</v>
      </c>
      <c r="S27" s="364"/>
      <c r="V27" s="161"/>
      <c r="W27" s="157"/>
      <c r="X27" s="157"/>
      <c r="Y27" s="157"/>
      <c r="Z27" s="157"/>
      <c r="AA27" s="157"/>
      <c r="AB27" s="157"/>
      <c r="AC27" s="118"/>
      <c r="AD27" s="118"/>
      <c r="AE27" s="348"/>
      <c r="AF27" s="348"/>
    </row>
    <row r="28" spans="2:32" s="280" customFormat="1">
      <c r="B28" s="278">
        <f t="shared" si="0"/>
        <v>2034</v>
      </c>
      <c r="C28" s="279"/>
      <c r="D28" s="367">
        <f t="shared" si="7"/>
        <v>290.74</v>
      </c>
      <c r="E28" s="127"/>
      <c r="F28" s="367">
        <f t="shared" si="8"/>
        <v>252.3</v>
      </c>
      <c r="G28" s="367">
        <f t="shared" si="1"/>
        <v>9.0500000000000007</v>
      </c>
      <c r="H28" s="276">
        <f t="shared" si="9"/>
        <v>320.16000000000003</v>
      </c>
      <c r="I28" s="276">
        <f t="shared" ref="I28:I36" si="12">ROUND(D28+E28+H28,2)</f>
        <v>610.9</v>
      </c>
      <c r="J28" s="127"/>
      <c r="K28" s="276">
        <f t="shared" si="10"/>
        <v>0</v>
      </c>
      <c r="L28" s="276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59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48"/>
      <c r="AF28" s="348"/>
    </row>
    <row r="29" spans="2:32">
      <c r="B29" s="272">
        <f t="shared" si="0"/>
        <v>2035</v>
      </c>
      <c r="C29" s="277"/>
      <c r="D29" s="367">
        <f t="shared" si="7"/>
        <v>297.01</v>
      </c>
      <c r="E29" s="127"/>
      <c r="F29" s="367">
        <f t="shared" si="8"/>
        <v>257.74</v>
      </c>
      <c r="G29" s="367">
        <f t="shared" si="1"/>
        <v>9.25</v>
      </c>
      <c r="H29" s="276">
        <f t="shared" si="9"/>
        <v>327.10000000000002</v>
      </c>
      <c r="I29" s="276">
        <f t="shared" si="12"/>
        <v>624.11</v>
      </c>
      <c r="J29" s="127"/>
      <c r="K29" s="276">
        <f t="shared" si="10"/>
        <v>0</v>
      </c>
      <c r="L29" s="276">
        <f t="shared" si="11"/>
        <v>83.23</v>
      </c>
      <c r="M29" s="127">
        <f t="shared" si="13"/>
        <v>554.75</v>
      </c>
      <c r="N29" s="50"/>
      <c r="Q29" s="359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2">
        <f t="shared" si="0"/>
        <v>2036</v>
      </c>
      <c r="C30" s="277"/>
      <c r="D30" s="367">
        <f t="shared" si="7"/>
        <v>303.41000000000003</v>
      </c>
      <c r="E30" s="127"/>
      <c r="F30" s="367">
        <f t="shared" si="8"/>
        <v>263.29000000000002</v>
      </c>
      <c r="G30" s="367">
        <f t="shared" si="1"/>
        <v>9.4499999999999993</v>
      </c>
      <c r="H30" s="276">
        <f t="shared" si="9"/>
        <v>334.15</v>
      </c>
      <c r="I30" s="276">
        <f t="shared" si="12"/>
        <v>637.55999999999995</v>
      </c>
      <c r="J30" s="127"/>
      <c r="K30" s="276">
        <f t="shared" si="10"/>
        <v>0</v>
      </c>
      <c r="L30" s="276">
        <f t="shared" si="11"/>
        <v>85.02</v>
      </c>
      <c r="M30" s="127">
        <f t="shared" si="13"/>
        <v>566.70000000000005</v>
      </c>
      <c r="N30" s="50"/>
      <c r="Q30" s="359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2">
        <f t="shared" si="0"/>
        <v>2037</v>
      </c>
      <c r="C31" s="277"/>
      <c r="D31" s="367">
        <f t="shared" si="7"/>
        <v>309.95</v>
      </c>
      <c r="E31" s="127"/>
      <c r="F31" s="367">
        <f t="shared" si="8"/>
        <v>268.95999999999998</v>
      </c>
      <c r="G31" s="367">
        <f t="shared" si="1"/>
        <v>9.65</v>
      </c>
      <c r="H31" s="276">
        <f t="shared" si="9"/>
        <v>341.32</v>
      </c>
      <c r="I31" s="276">
        <f t="shared" si="12"/>
        <v>651.27</v>
      </c>
      <c r="J31" s="127"/>
      <c r="K31" s="276">
        <f t="shared" si="10"/>
        <v>0</v>
      </c>
      <c r="L31" s="276">
        <f t="shared" si="11"/>
        <v>86.85</v>
      </c>
      <c r="M31" s="127">
        <f t="shared" si="13"/>
        <v>578.91</v>
      </c>
      <c r="N31" s="50"/>
      <c r="Q31" s="359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2">
        <f t="shared" si="0"/>
        <v>2038</v>
      </c>
      <c r="C32" s="277"/>
      <c r="D32" s="367">
        <f t="shared" si="7"/>
        <v>316.63</v>
      </c>
      <c r="E32" s="127"/>
      <c r="F32" s="367">
        <f t="shared" si="8"/>
        <v>274.76</v>
      </c>
      <c r="G32" s="367">
        <f t="shared" si="1"/>
        <v>9.86</v>
      </c>
      <c r="H32" s="276">
        <f t="shared" si="9"/>
        <v>348.7</v>
      </c>
      <c r="I32" s="276">
        <f t="shared" si="12"/>
        <v>665.33</v>
      </c>
      <c r="J32" s="127"/>
      <c r="K32" s="276">
        <f t="shared" si="10"/>
        <v>0</v>
      </c>
      <c r="L32" s="276">
        <f t="shared" si="11"/>
        <v>88.73</v>
      </c>
      <c r="M32" s="127">
        <f t="shared" si="13"/>
        <v>591.39</v>
      </c>
      <c r="N32" s="50"/>
      <c r="Q32" s="359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2">
        <f t="shared" si="0"/>
        <v>2039</v>
      </c>
      <c r="C33" s="277"/>
      <c r="D33" s="367">
        <f t="shared" si="7"/>
        <v>323.45</v>
      </c>
      <c r="E33" s="127"/>
      <c r="F33" s="367">
        <f t="shared" si="8"/>
        <v>280.68</v>
      </c>
      <c r="G33" s="367">
        <f t="shared" si="1"/>
        <v>10.07</v>
      </c>
      <c r="H33" s="276">
        <f t="shared" si="9"/>
        <v>356.19</v>
      </c>
      <c r="I33" s="276">
        <f t="shared" si="12"/>
        <v>679.64</v>
      </c>
      <c r="J33" s="127"/>
      <c r="K33" s="276">
        <f t="shared" si="10"/>
        <v>0</v>
      </c>
      <c r="L33" s="276">
        <f t="shared" si="11"/>
        <v>90.64</v>
      </c>
      <c r="M33" s="127">
        <f t="shared" si="13"/>
        <v>604.13</v>
      </c>
      <c r="Q33" s="359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2">
        <f t="shared" si="0"/>
        <v>2040</v>
      </c>
      <c r="C34" s="277"/>
      <c r="D34" s="367">
        <f t="shared" si="7"/>
        <v>330.42</v>
      </c>
      <c r="E34" s="127"/>
      <c r="F34" s="367">
        <f t="shared" si="8"/>
        <v>286.73</v>
      </c>
      <c r="G34" s="367">
        <f t="shared" si="1"/>
        <v>10.29</v>
      </c>
      <c r="H34" s="276">
        <f t="shared" si="9"/>
        <v>363.89</v>
      </c>
      <c r="I34" s="276">
        <f t="shared" si="12"/>
        <v>694.31</v>
      </c>
      <c r="J34" s="127"/>
      <c r="K34" s="276">
        <f t="shared" si="10"/>
        <v>0</v>
      </c>
      <c r="L34" s="276">
        <f t="shared" si="11"/>
        <v>92.59</v>
      </c>
      <c r="M34" s="127">
        <f t="shared" si="13"/>
        <v>617.15000000000009</v>
      </c>
      <c r="Q34" s="359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2">
        <f t="shared" si="0"/>
        <v>2041</v>
      </c>
      <c r="C35" s="277"/>
      <c r="D35" s="367">
        <f t="shared" si="7"/>
        <v>337.54</v>
      </c>
      <c r="E35" s="127"/>
      <c r="F35" s="367">
        <f t="shared" si="8"/>
        <v>292.91000000000003</v>
      </c>
      <c r="G35" s="367">
        <f t="shared" si="1"/>
        <v>10.51</v>
      </c>
      <c r="H35" s="276">
        <f t="shared" si="9"/>
        <v>371.72</v>
      </c>
      <c r="I35" s="276">
        <f t="shared" si="12"/>
        <v>709.26</v>
      </c>
      <c r="J35" s="127"/>
      <c r="K35" s="276">
        <f t="shared" si="10"/>
        <v>0</v>
      </c>
      <c r="L35" s="276">
        <f t="shared" si="11"/>
        <v>94.59</v>
      </c>
      <c r="M35" s="127">
        <f t="shared" si="13"/>
        <v>630.45000000000005</v>
      </c>
      <c r="Q35" s="359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2">
        <f t="shared" si="0"/>
        <v>2042</v>
      </c>
      <c r="C36" s="277"/>
      <c r="D36" s="367">
        <f t="shared" si="7"/>
        <v>344.81</v>
      </c>
      <c r="E36" s="127"/>
      <c r="F36" s="367">
        <f t="shared" si="8"/>
        <v>299.22000000000003</v>
      </c>
      <c r="G36" s="367">
        <f t="shared" si="1"/>
        <v>10.74</v>
      </c>
      <c r="H36" s="276">
        <f t="shared" si="9"/>
        <v>379.75</v>
      </c>
      <c r="I36" s="276">
        <f t="shared" si="12"/>
        <v>724.56</v>
      </c>
      <c r="J36" s="127"/>
      <c r="K36" s="276">
        <f t="shared" si="10"/>
        <v>0</v>
      </c>
      <c r="L36" s="276">
        <f t="shared" si="11"/>
        <v>96.63</v>
      </c>
      <c r="M36" s="127">
        <f t="shared" si="13"/>
        <v>644.03</v>
      </c>
      <c r="Q36" s="359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2"/>
      <c r="P37" s="281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2"/>
      <c r="O38" s="281"/>
      <c r="P38" s="281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2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3" t="str">
        <f>D10</f>
        <v>(b)</v>
      </c>
      <c r="D41" s="276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3" t="str">
        <f>H10</f>
        <v>(f)</v>
      </c>
      <c r="D42" s="276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3" t="str">
        <f>I10</f>
        <v>(g)</v>
      </c>
      <c r="D43" s="276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3" t="str">
        <f>J10</f>
        <v>(h)</v>
      </c>
      <c r="D44" s="284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3" t="str">
        <f>K10</f>
        <v>(i)</v>
      </c>
      <c r="D45" s="276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3" t="str">
        <f>L10</f>
        <v>(i)</v>
      </c>
      <c r="D46" s="276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85"/>
      <c r="E48" s="285"/>
      <c r="F48" s="285"/>
      <c r="G48" s="285"/>
      <c r="H48" s="285"/>
      <c r="I48" s="285"/>
      <c r="J48" s="285"/>
      <c r="K48" s="286"/>
      <c r="L48" s="287"/>
    </row>
    <row r="49" spans="2:22" ht="5.25" customHeight="1"/>
    <row r="50" spans="2:22" ht="5.25" customHeight="1"/>
    <row r="51" spans="2:22">
      <c r="C51" s="288" t="s">
        <v>106</v>
      </c>
      <c r="D51" s="289"/>
      <c r="E51" s="288"/>
      <c r="F51" s="288"/>
      <c r="G51" s="290" t="s">
        <v>32</v>
      </c>
      <c r="H51" s="290" t="s">
        <v>107</v>
      </c>
      <c r="I51" s="290" t="s">
        <v>108</v>
      </c>
      <c r="J51" s="290" t="s">
        <v>33</v>
      </c>
    </row>
    <row r="52" spans="2:22">
      <c r="C52" s="280" t="s">
        <v>109</v>
      </c>
      <c r="G52" s="291">
        <f>C63</f>
        <v>345</v>
      </c>
      <c r="H52" s="41">
        <f>G52/G54</f>
        <v>1</v>
      </c>
      <c r="I52" s="292">
        <f>C64</f>
        <v>3799.5717060566089</v>
      </c>
      <c r="J52" s="293">
        <f>C67</f>
        <v>222.01</v>
      </c>
      <c r="Q52" s="116"/>
      <c r="R52" s="116"/>
      <c r="S52" s="258"/>
      <c r="T52" s="116"/>
      <c r="U52" s="116"/>
      <c r="V52" s="116"/>
    </row>
    <row r="53" spans="2:22">
      <c r="C53" s="280"/>
      <c r="G53" s="294">
        <f>D63</f>
        <v>0</v>
      </c>
      <c r="H53" s="295">
        <f>1-H52</f>
        <v>0</v>
      </c>
      <c r="I53" s="296">
        <f>D64</f>
        <v>0</v>
      </c>
      <c r="J53" s="297">
        <f>D67</f>
        <v>0</v>
      </c>
      <c r="Q53" s="328"/>
      <c r="R53" s="116"/>
      <c r="S53" s="258"/>
      <c r="T53" s="258"/>
      <c r="U53" s="116"/>
      <c r="V53" s="258"/>
    </row>
    <row r="54" spans="2:22">
      <c r="C54" s="280" t="s">
        <v>110</v>
      </c>
      <c r="G54" s="291">
        <f>G52+G53</f>
        <v>345</v>
      </c>
      <c r="H54" s="41">
        <f>H52+H53</f>
        <v>1</v>
      </c>
      <c r="I54" s="292">
        <f>ROUND(((G52*I52)+(G53*I53))/G54,0)</f>
        <v>3800</v>
      </c>
      <c r="J54" s="293">
        <f>ROUND(((G52*J52)+(G53*J53))/G54,2)</f>
        <v>222.01</v>
      </c>
      <c r="Q54" s="328"/>
      <c r="R54" s="116"/>
      <c r="S54" s="258"/>
      <c r="T54" s="118"/>
      <c r="U54" s="116"/>
      <c r="V54" s="258"/>
    </row>
    <row r="55" spans="2:22">
      <c r="C55" s="280"/>
      <c r="G55" s="291"/>
      <c r="H55" s="41"/>
      <c r="I55" s="298"/>
      <c r="J55" s="299"/>
      <c r="Q55" s="116"/>
      <c r="R55" s="116"/>
      <c r="S55" s="326"/>
      <c r="T55" s="116"/>
      <c r="U55" s="116"/>
      <c r="V55" s="258"/>
    </row>
    <row r="56" spans="2:22">
      <c r="C56" s="300" t="s">
        <v>106</v>
      </c>
      <c r="D56" s="289"/>
      <c r="E56" s="288"/>
      <c r="F56" s="288"/>
      <c r="G56" s="290" t="s">
        <v>32</v>
      </c>
      <c r="H56" s="290" t="s">
        <v>34</v>
      </c>
      <c r="I56" s="290" t="s">
        <v>111</v>
      </c>
      <c r="J56" s="290" t="s">
        <v>107</v>
      </c>
      <c r="K56" s="290" t="s">
        <v>112</v>
      </c>
      <c r="L56" s="290" t="s">
        <v>113</v>
      </c>
    </row>
    <row r="57" spans="2:22">
      <c r="C57" s="301" t="str">
        <f>C52</f>
        <v>SCCT Dry "F" - Turbine</v>
      </c>
      <c r="D57" s="302"/>
      <c r="E57" s="302"/>
      <c r="F57" s="302"/>
      <c r="G57" s="85">
        <f>C63</f>
        <v>345</v>
      </c>
      <c r="H57" s="41">
        <f>C71</f>
        <v>0.85562099999999996</v>
      </c>
      <c r="I57" s="303">
        <f>H57*G57</f>
        <v>295.18924499999997</v>
      </c>
      <c r="J57" s="41">
        <f>I57/I59</f>
        <v>1</v>
      </c>
      <c r="K57" s="299">
        <f>C68</f>
        <v>6.7187999999999999</v>
      </c>
      <c r="L57" s="304">
        <f>C69</f>
        <v>0</v>
      </c>
    </row>
    <row r="58" spans="2:22">
      <c r="C58" s="301">
        <f>C53</f>
        <v>0</v>
      </c>
      <c r="D58" s="302"/>
      <c r="E58" s="302"/>
      <c r="F58" s="302"/>
      <c r="G58" s="305">
        <f>D63</f>
        <v>0</v>
      </c>
      <c r="H58" s="295">
        <f>D71</f>
        <v>0</v>
      </c>
      <c r="I58" s="306">
        <f>H58*G58</f>
        <v>0</v>
      </c>
      <c r="J58" s="295">
        <f>1-J57</f>
        <v>0</v>
      </c>
      <c r="K58" s="307">
        <f>D68</f>
        <v>0</v>
      </c>
      <c r="L58" s="308">
        <f>D69</f>
        <v>0</v>
      </c>
    </row>
    <row r="59" spans="2:22">
      <c r="C59" s="280" t="s">
        <v>114</v>
      </c>
      <c r="G59" s="85">
        <f>G57+G58</f>
        <v>345</v>
      </c>
      <c r="H59" s="309">
        <f>ROUND(I59/G59,3)</f>
        <v>0.85599999999999998</v>
      </c>
      <c r="I59" s="303">
        <f>SUM(I57:I58)</f>
        <v>295.18924499999997</v>
      </c>
      <c r="J59" s="41">
        <f>J57+J58</f>
        <v>1</v>
      </c>
      <c r="K59" s="299">
        <f>ROUND(($J57*K57)+($J58*K58),2)</f>
        <v>6.72</v>
      </c>
      <c r="L59" s="310">
        <f>ROUND(($J57*L57)+($J58*L58),0)</f>
        <v>0</v>
      </c>
    </row>
    <row r="60" spans="2:22">
      <c r="H60" s="309"/>
      <c r="J60" s="41"/>
      <c r="K60" s="299"/>
      <c r="L60" s="311" t="s">
        <v>115</v>
      </c>
    </row>
    <row r="62" spans="2:22">
      <c r="C62" s="290" t="s">
        <v>116</v>
      </c>
      <c r="D62" s="290" t="s">
        <v>117</v>
      </c>
      <c r="E62" s="363"/>
      <c r="F62" s="312" t="str">
        <f>D40</f>
        <v xml:space="preserve">Plant Costs  - 2019 IRP - Table 7.1 &amp; 7.2 </v>
      </c>
      <c r="G62" s="313"/>
      <c r="H62" s="313"/>
      <c r="I62" s="313"/>
      <c r="J62" s="313"/>
      <c r="K62" s="313"/>
      <c r="L62" s="314"/>
    </row>
    <row r="63" spans="2:22">
      <c r="C63" s="321">
        <v>345</v>
      </c>
      <c r="F63" s="85" t="s">
        <v>118</v>
      </c>
      <c r="I63" s="315"/>
    </row>
    <row r="64" spans="2:22">
      <c r="B64" s="85" t="s">
        <v>179</v>
      </c>
      <c r="C64" s="320">
        <f>1310852.23858953/C63</f>
        <v>3799.5717060566089</v>
      </c>
      <c r="D64" s="298"/>
      <c r="F64" s="85" t="s">
        <v>119</v>
      </c>
    </row>
    <row r="65" spans="2:30">
      <c r="B65" s="85" t="s">
        <v>179</v>
      </c>
      <c r="C65" s="360">
        <v>222.01</v>
      </c>
      <c r="D65" s="299"/>
      <c r="F65" s="85" t="s">
        <v>120</v>
      </c>
    </row>
    <row r="66" spans="2:30">
      <c r="C66" s="323">
        <v>0</v>
      </c>
      <c r="D66" s="316"/>
      <c r="F66" s="85" t="s">
        <v>121</v>
      </c>
    </row>
    <row r="67" spans="2:30">
      <c r="B67" s="85" t="s">
        <v>179</v>
      </c>
      <c r="C67" s="299">
        <f>C65+C66</f>
        <v>222.01</v>
      </c>
      <c r="D67" s="299"/>
      <c r="F67" s="85" t="s">
        <v>122</v>
      </c>
    </row>
    <row r="68" spans="2:30">
      <c r="B68" s="85" t="s">
        <v>156</v>
      </c>
      <c r="C68" s="360">
        <v>6.7187999999999999</v>
      </c>
      <c r="D68" s="299"/>
      <c r="F68" s="85" t="s">
        <v>123</v>
      </c>
    </row>
    <row r="69" spans="2:30">
      <c r="C69" s="325"/>
      <c r="D69" s="310"/>
      <c r="F69" s="85" t="s">
        <v>124</v>
      </c>
    </row>
    <row r="70" spans="2:30">
      <c r="C70" s="322">
        <v>6.7333481514181892E-2</v>
      </c>
      <c r="D70" s="317"/>
      <c r="F70" s="85" t="s">
        <v>36</v>
      </c>
      <c r="AC70" s="118"/>
      <c r="AD70" s="118"/>
    </row>
    <row r="71" spans="2:30">
      <c r="C71" s="324">
        <v>0.85562099999999996</v>
      </c>
      <c r="D71" s="318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43" t="e">
        <f>LEFT(RIGHT(INDEX('Table 3 TransCost'!$39:$39,1,MATCH(E73,'Table 3 TransCost'!$4:$4,0)),6),5)</f>
        <v>#N/A</v>
      </c>
      <c r="C73" s="254"/>
      <c r="D73" s="116" t="s">
        <v>150</v>
      </c>
      <c r="E73" s="258"/>
      <c r="F73" s="116"/>
      <c r="AC73" s="118"/>
      <c r="AD73" s="118"/>
    </row>
    <row r="74" spans="2:30" ht="13.5" thickBot="1">
      <c r="B74"/>
      <c r="C74" s="362">
        <v>26.724569206547603</v>
      </c>
      <c r="D74"/>
      <c r="F74" s="85" t="s">
        <v>176</v>
      </c>
      <c r="G74" s="361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June 30, 2022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2.1999999999999999E-2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2.3E-2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2.1999999999999999E-2</v>
      </c>
      <c r="L81" s="116"/>
      <c r="M81" s="116"/>
    </row>
    <row r="82" spans="3:30">
      <c r="C82" s="87">
        <f t="shared" si="14"/>
        <v>2022</v>
      </c>
      <c r="D82" s="41">
        <v>7.0999999999999994E-2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3.5000000000000003E-2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0.02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2.1999999999999999E-2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19"/>
    </row>
    <row r="89" spans="3:30">
      <c r="D89" s="319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2:32" ht="15.75">
      <c r="B2" s="1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2:32" ht="15.75">
      <c r="B3" s="1" t="s">
        <v>56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209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</row>
    <row r="6" spans="2:32" ht="15.75">
      <c r="B6" s="1"/>
      <c r="C6" s="266"/>
      <c r="D6" s="266"/>
      <c r="E6" s="266"/>
      <c r="F6" s="266"/>
      <c r="G6" s="266"/>
      <c r="H6" s="266"/>
      <c r="I6" s="266"/>
      <c r="J6" s="266"/>
      <c r="L6" s="267"/>
    </row>
    <row r="7" spans="2:32">
      <c r="B7" s="268"/>
      <c r="C7" s="268"/>
      <c r="D7" s="268"/>
      <c r="E7" s="268"/>
      <c r="F7" s="268"/>
      <c r="G7" s="268"/>
      <c r="H7" s="268"/>
      <c r="I7" s="268"/>
      <c r="J7" s="266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69" t="s">
        <v>21</v>
      </c>
      <c r="K8" s="269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0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5"/>
      <c r="AB9" s="345"/>
      <c r="AC9" s="118"/>
      <c r="AD9" s="118"/>
      <c r="AE9" s="86"/>
      <c r="AF9" s="86"/>
    </row>
    <row r="10" spans="2:32">
      <c r="C10" s="271" t="s">
        <v>1</v>
      </c>
      <c r="D10" s="271" t="s">
        <v>2</v>
      </c>
      <c r="E10" s="271" t="s">
        <v>3</v>
      </c>
      <c r="F10" s="271" t="s">
        <v>4</v>
      </c>
      <c r="G10" s="271" t="s">
        <v>5</v>
      </c>
      <c r="H10" s="271" t="s">
        <v>7</v>
      </c>
      <c r="I10" s="271" t="s">
        <v>22</v>
      </c>
      <c r="J10" s="271" t="s">
        <v>23</v>
      </c>
      <c r="K10" s="271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68"/>
      <c r="K12" s="268"/>
      <c r="L12" s="268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72"/>
      <c r="C13" s="273"/>
      <c r="D13" s="274"/>
      <c r="E13" s="275"/>
      <c r="F13" s="275"/>
      <c r="G13" s="275"/>
      <c r="H13" s="276"/>
      <c r="I13" s="276"/>
      <c r="J13" s="276"/>
      <c r="K13" s="276"/>
      <c r="L13" s="276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2">
        <v>2020</v>
      </c>
      <c r="C14" s="277"/>
      <c r="D14" s="127"/>
      <c r="E14" s="127"/>
      <c r="F14" s="127"/>
      <c r="G14" s="383">
        <f>$C$68</f>
        <v>21.294</v>
      </c>
      <c r="H14" s="276"/>
      <c r="I14" s="276"/>
      <c r="J14" s="384">
        <f>$C$74</f>
        <v>26.724569206547603</v>
      </c>
      <c r="K14" s="276"/>
      <c r="L14" s="276"/>
      <c r="M14" s="127"/>
      <c r="N14" s="41"/>
      <c r="P14" s="359"/>
      <c r="V14" s="161"/>
      <c r="W14" s="118"/>
      <c r="X14" s="157"/>
      <c r="Y14" s="346"/>
      <c r="Z14" s="118"/>
      <c r="AA14" s="157"/>
      <c r="AB14" s="157"/>
      <c r="AC14" s="118"/>
      <c r="AD14" s="118"/>
      <c r="AE14" s="86"/>
      <c r="AF14" s="86"/>
    </row>
    <row r="15" spans="2:32">
      <c r="B15" s="272">
        <f t="shared" ref="B15:B36" si="0">B14+1</f>
        <v>2021</v>
      </c>
      <c r="C15" s="277"/>
      <c r="D15" s="127"/>
      <c r="E15" s="127"/>
      <c r="F15" s="127"/>
      <c r="G15" s="127">
        <f t="shared" ref="G15:G36" si="1">ROUND(G14*(1+IRP21_Infl_Rate),2)</f>
        <v>21.75</v>
      </c>
      <c r="H15" s="276"/>
      <c r="I15" s="276"/>
      <c r="J15" s="127">
        <f t="shared" ref="J15:J36" si="2">ROUND(J14*(1+IRP21_Infl_Rate),2)</f>
        <v>27.3</v>
      </c>
      <c r="K15" s="276"/>
      <c r="L15" s="276"/>
      <c r="M15" s="127"/>
      <c r="N15" s="41"/>
      <c r="P15" s="359"/>
      <c r="Q15" s="359"/>
      <c r="V15" s="161"/>
      <c r="W15" s="157"/>
      <c r="X15" s="157"/>
      <c r="Y15" s="346"/>
      <c r="Z15" s="157"/>
      <c r="AA15" s="157"/>
      <c r="AB15" s="157"/>
      <c r="AC15" s="118"/>
      <c r="AD15" s="118"/>
      <c r="AE15" s="86"/>
      <c r="AF15" s="86"/>
    </row>
    <row r="16" spans="2:32">
      <c r="B16" s="272">
        <f t="shared" si="0"/>
        <v>2022</v>
      </c>
      <c r="C16" s="277"/>
      <c r="D16" s="127"/>
      <c r="E16" s="127"/>
      <c r="F16" s="127"/>
      <c r="G16" s="127">
        <f t="shared" si="1"/>
        <v>22.22</v>
      </c>
      <c r="H16" s="276"/>
      <c r="I16" s="276"/>
      <c r="J16" s="127">
        <f t="shared" si="2"/>
        <v>27.89</v>
      </c>
      <c r="K16" s="276"/>
      <c r="L16" s="276"/>
      <c r="M16" s="127"/>
      <c r="N16" s="41"/>
      <c r="P16" s="359"/>
      <c r="Q16" s="359"/>
      <c r="V16" s="161"/>
      <c r="W16" s="157"/>
      <c r="X16" s="157"/>
      <c r="Y16" s="346"/>
      <c r="Z16" s="157"/>
      <c r="AA16" s="157"/>
      <c r="AB16" s="157"/>
      <c r="AC16" s="118"/>
      <c r="AD16" s="118"/>
      <c r="AE16" s="86"/>
      <c r="AF16" s="86"/>
    </row>
    <row r="17" spans="2:32">
      <c r="B17" s="272">
        <f t="shared" si="0"/>
        <v>2023</v>
      </c>
      <c r="C17" s="277"/>
      <c r="D17" s="127"/>
      <c r="E17" s="127"/>
      <c r="F17" s="127"/>
      <c r="G17" s="127">
        <f t="shared" si="1"/>
        <v>22.7</v>
      </c>
      <c r="H17" s="276"/>
      <c r="I17" s="276"/>
      <c r="J17" s="127">
        <f t="shared" si="2"/>
        <v>28.49</v>
      </c>
      <c r="K17" s="276"/>
      <c r="L17" s="276"/>
      <c r="M17" s="127"/>
      <c r="N17" s="41"/>
      <c r="P17" s="359"/>
      <c r="Q17" s="359"/>
      <c r="V17" s="161"/>
      <c r="W17" s="157"/>
      <c r="X17" s="157"/>
      <c r="Y17" s="346"/>
      <c r="Z17" s="157"/>
      <c r="AA17" s="157"/>
      <c r="AB17" s="157"/>
      <c r="AC17" s="118"/>
      <c r="AD17" s="118"/>
      <c r="AE17" s="86"/>
      <c r="AF17" s="86"/>
    </row>
    <row r="18" spans="2:32">
      <c r="B18" s="272">
        <f t="shared" si="0"/>
        <v>2024</v>
      </c>
      <c r="C18" s="277"/>
      <c r="D18" s="127"/>
      <c r="E18" s="127"/>
      <c r="F18" s="127"/>
      <c r="G18" s="127">
        <f t="shared" si="1"/>
        <v>23.19</v>
      </c>
      <c r="H18" s="276"/>
      <c r="I18" s="276"/>
      <c r="J18" s="127">
        <f t="shared" si="2"/>
        <v>29.1</v>
      </c>
      <c r="K18" s="276"/>
      <c r="L18" s="276"/>
      <c r="M18" s="127"/>
      <c r="N18" s="41"/>
      <c r="P18" s="359"/>
      <c r="Q18" s="359"/>
      <c r="V18" s="161"/>
      <c r="W18" s="157"/>
      <c r="X18" s="157"/>
      <c r="Y18" s="346"/>
      <c r="Z18" s="157"/>
      <c r="AA18" s="157"/>
      <c r="AB18" s="157"/>
      <c r="AC18" s="118"/>
      <c r="AD18" s="118"/>
      <c r="AE18" s="86"/>
      <c r="AF18" s="86"/>
    </row>
    <row r="19" spans="2:32">
      <c r="B19" s="272">
        <f t="shared" si="0"/>
        <v>2025</v>
      </c>
      <c r="C19" s="277"/>
      <c r="D19" s="127"/>
      <c r="E19" s="127"/>
      <c r="F19" s="127"/>
      <c r="G19" s="127">
        <f t="shared" si="1"/>
        <v>23.69</v>
      </c>
      <c r="H19" s="276"/>
      <c r="I19" s="276"/>
      <c r="J19" s="127">
        <f t="shared" si="2"/>
        <v>29.73</v>
      </c>
      <c r="K19" s="276"/>
      <c r="L19" s="276"/>
      <c r="M19" s="127"/>
      <c r="N19" s="41"/>
      <c r="P19" s="359"/>
      <c r="Q19" s="359"/>
      <c r="V19" s="161"/>
      <c r="W19" s="157"/>
      <c r="X19" s="157"/>
      <c r="Y19" s="346"/>
      <c r="Z19" s="157"/>
      <c r="AA19" s="157"/>
      <c r="AB19" s="157"/>
      <c r="AC19" s="118"/>
      <c r="AD19" s="118"/>
      <c r="AE19" s="86"/>
      <c r="AF19" s="86"/>
    </row>
    <row r="20" spans="2:32">
      <c r="B20" s="272">
        <f t="shared" si="0"/>
        <v>2026</v>
      </c>
      <c r="C20" s="277"/>
      <c r="D20" s="274"/>
      <c r="E20" s="127"/>
      <c r="F20" s="127"/>
      <c r="G20" s="127">
        <f t="shared" si="1"/>
        <v>24.2</v>
      </c>
      <c r="H20" s="276"/>
      <c r="I20" s="276"/>
      <c r="J20" s="127">
        <f t="shared" si="2"/>
        <v>30.37</v>
      </c>
      <c r="K20" s="276"/>
      <c r="L20" s="276"/>
      <c r="M20" s="127"/>
      <c r="N20" s="41"/>
      <c r="P20" s="359"/>
      <c r="Q20" s="359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2">
        <f t="shared" si="0"/>
        <v>2027</v>
      </c>
      <c r="C21" s="277"/>
      <c r="D21" s="127"/>
      <c r="E21" s="127"/>
      <c r="F21" s="127"/>
      <c r="G21" s="127">
        <f t="shared" si="1"/>
        <v>24.72</v>
      </c>
      <c r="H21" s="276"/>
      <c r="I21" s="276"/>
      <c r="J21" s="127">
        <f t="shared" si="2"/>
        <v>31.02</v>
      </c>
      <c r="K21" s="276"/>
      <c r="L21" s="276"/>
      <c r="M21" s="127"/>
      <c r="N21" s="41"/>
      <c r="P21" s="359"/>
      <c r="Q21" s="359"/>
      <c r="V21" s="347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2">
        <f t="shared" si="0"/>
        <v>2028</v>
      </c>
      <c r="C22" s="277"/>
      <c r="D22" s="127"/>
      <c r="E22" s="127"/>
      <c r="F22" s="127"/>
      <c r="G22" s="127">
        <f t="shared" si="1"/>
        <v>25.25</v>
      </c>
      <c r="H22" s="276"/>
      <c r="I22" s="276"/>
      <c r="J22" s="127">
        <f t="shared" si="2"/>
        <v>31.69</v>
      </c>
      <c r="K22" s="276"/>
      <c r="L22" s="276"/>
      <c r="M22" s="127"/>
      <c r="N22" s="41"/>
      <c r="P22" s="359"/>
      <c r="Q22" s="359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2">
        <f t="shared" si="0"/>
        <v>2029</v>
      </c>
      <c r="C23" s="277"/>
      <c r="D23" s="127"/>
      <c r="E23" s="127"/>
      <c r="F23" s="127"/>
      <c r="G23" s="127">
        <f t="shared" si="1"/>
        <v>25.79</v>
      </c>
      <c r="H23" s="276"/>
      <c r="I23" s="276"/>
      <c r="J23" s="127">
        <f t="shared" si="2"/>
        <v>32.369999999999997</v>
      </c>
      <c r="K23" s="276"/>
      <c r="L23" s="276"/>
      <c r="M23" s="127"/>
      <c r="N23" s="41"/>
      <c r="P23" s="359"/>
      <c r="Q23" s="359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0" customFormat="1">
      <c r="B24" s="278">
        <f t="shared" si="0"/>
        <v>2030</v>
      </c>
      <c r="C24" s="277"/>
      <c r="D24" s="127"/>
      <c r="E24" s="127"/>
      <c r="F24" s="127"/>
      <c r="G24" s="127">
        <f t="shared" si="1"/>
        <v>26.35</v>
      </c>
      <c r="H24" s="276"/>
      <c r="I24" s="276"/>
      <c r="J24" s="127">
        <f t="shared" si="2"/>
        <v>33.07</v>
      </c>
      <c r="K24" s="276"/>
      <c r="L24" s="276"/>
      <c r="M24" s="127"/>
      <c r="N24" s="50"/>
      <c r="O24" s="85"/>
      <c r="P24" s="359"/>
      <c r="Q24" s="359"/>
      <c r="V24" s="161"/>
      <c r="W24" s="157"/>
      <c r="X24" s="157"/>
      <c r="Y24" s="157"/>
      <c r="Z24" s="157"/>
      <c r="AA24" s="157"/>
      <c r="AB24" s="157"/>
      <c r="AC24" s="118"/>
      <c r="AD24" s="118"/>
      <c r="AE24" s="348"/>
      <c r="AF24" s="348"/>
    </row>
    <row r="25" spans="2:32" s="280" customFormat="1">
      <c r="B25" s="278">
        <f t="shared" si="0"/>
        <v>2031</v>
      </c>
      <c r="C25" s="359">
        <f>$C$64</f>
        <v>1319.927786794867</v>
      </c>
      <c r="D25" s="274">
        <f>ROUND(C25*$C$70,2)</f>
        <v>98.96</v>
      </c>
      <c r="E25" s="182">
        <f>$C$73</f>
        <v>12.45513744317196</v>
      </c>
      <c r="F25" s="127">
        <v>0</v>
      </c>
      <c r="G25" s="127">
        <f t="shared" si="1"/>
        <v>26.92</v>
      </c>
      <c r="H25" s="276">
        <f t="shared" ref="H25" si="3">ROUND(G25*(8.76*$H$59)+F25,2)</f>
        <v>77.819999999999993</v>
      </c>
      <c r="I25" s="276">
        <f>ROUND(D25+E25+H25,2)</f>
        <v>189.24</v>
      </c>
      <c r="J25" s="127">
        <f t="shared" si="2"/>
        <v>33.78</v>
      </c>
      <c r="K25" s="276">
        <f t="shared" ref="K25" si="4">ROUND($L$59*J25/1000,2)</f>
        <v>335.64</v>
      </c>
      <c r="L25" s="276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59"/>
      <c r="Q25" s="359"/>
      <c r="V25" s="161"/>
      <c r="W25" s="157"/>
      <c r="X25" s="157"/>
      <c r="Y25" s="157"/>
      <c r="Z25" s="157"/>
      <c r="AA25" s="157"/>
      <c r="AB25" s="157"/>
      <c r="AC25" s="118"/>
      <c r="AD25" s="118"/>
      <c r="AE25" s="348"/>
      <c r="AF25" s="348"/>
    </row>
    <row r="26" spans="2:32" s="280" customFormat="1">
      <c r="B26" s="278">
        <f t="shared" si="0"/>
        <v>2032</v>
      </c>
      <c r="C26" s="277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76">
        <f t="shared" ref="H26" si="9">ROUND(G26*(8.76*$H$59)+F26,2)</f>
        <v>79.5</v>
      </c>
      <c r="I26" s="276">
        <f>ROUND(D26+E26+H26,2)</f>
        <v>193.31</v>
      </c>
      <c r="J26" s="127">
        <f t="shared" si="2"/>
        <v>34.51</v>
      </c>
      <c r="K26" s="276">
        <f t="shared" ref="K26" si="10">ROUND($L$59*J26/1000,2)</f>
        <v>342.89</v>
      </c>
      <c r="L26" s="276">
        <f t="shared" ref="L26" si="11">ROUND(I26*1000/8760/$H$59+K26,2)</f>
        <v>409.76</v>
      </c>
      <c r="M26" s="127">
        <f>(D26+E26+F26)</f>
        <v>113.81</v>
      </c>
      <c r="N26" s="50"/>
      <c r="O26" s="85"/>
      <c r="P26" s="359"/>
      <c r="Q26" s="359"/>
      <c r="V26" s="161"/>
      <c r="W26" s="157"/>
      <c r="X26" s="157"/>
      <c r="Y26" s="157"/>
      <c r="Z26" s="157"/>
      <c r="AA26" s="157"/>
      <c r="AB26" s="157"/>
      <c r="AC26" s="118"/>
      <c r="AD26" s="118"/>
      <c r="AE26" s="348"/>
      <c r="AF26" s="348"/>
    </row>
    <row r="27" spans="2:32" s="280" customFormat="1">
      <c r="B27" s="278">
        <f t="shared" si="0"/>
        <v>2033</v>
      </c>
      <c r="C27" s="279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76">
        <f t="shared" ref="H27:H36" si="12">ROUND(G27*(8.76*$H$59)+F27,2)</f>
        <v>81.2</v>
      </c>
      <c r="I27" s="276">
        <f>ROUND(D27+E27+H27,2)</f>
        <v>197.46</v>
      </c>
      <c r="J27" s="127">
        <f t="shared" si="2"/>
        <v>35.25</v>
      </c>
      <c r="K27" s="276">
        <f t="shared" ref="K27:K32" si="13">ROUND($L$59*J27/1000,2)</f>
        <v>350.24</v>
      </c>
      <c r="L27" s="276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59"/>
      <c r="Q27" s="359"/>
      <c r="S27" s="364"/>
      <c r="V27" s="161"/>
      <c r="W27" s="157"/>
      <c r="X27" s="157"/>
      <c r="Y27" s="157"/>
      <c r="Z27" s="157"/>
      <c r="AA27" s="157"/>
      <c r="AB27" s="157"/>
      <c r="AC27" s="118"/>
      <c r="AD27" s="118"/>
      <c r="AE27" s="348"/>
      <c r="AF27" s="348"/>
    </row>
    <row r="28" spans="2:32" s="280" customFormat="1">
      <c r="B28" s="278">
        <f t="shared" si="0"/>
        <v>2034</v>
      </c>
      <c r="C28" s="279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76">
        <f t="shared" si="12"/>
        <v>82.97</v>
      </c>
      <c r="I28" s="276">
        <f t="shared" ref="I28:I36" si="15">ROUND(D28+E28+H28,2)</f>
        <v>201.74</v>
      </c>
      <c r="J28" s="127">
        <f t="shared" si="2"/>
        <v>36.01</v>
      </c>
      <c r="K28" s="276">
        <f t="shared" si="13"/>
        <v>357.8</v>
      </c>
      <c r="L28" s="276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48"/>
      <c r="AF28" s="348"/>
    </row>
    <row r="29" spans="2:32">
      <c r="B29" s="272">
        <f t="shared" si="0"/>
        <v>2035</v>
      </c>
      <c r="C29" s="277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76">
        <f t="shared" si="12"/>
        <v>84.76</v>
      </c>
      <c r="I29" s="276">
        <f t="shared" si="15"/>
        <v>206.09</v>
      </c>
      <c r="J29" s="127">
        <f t="shared" si="2"/>
        <v>36.79</v>
      </c>
      <c r="K29" s="276">
        <f t="shared" si="13"/>
        <v>365.55</v>
      </c>
      <c r="L29" s="276">
        <f t="shared" si="14"/>
        <v>436.84</v>
      </c>
      <c r="M29" s="127">
        <f t="shared" si="16"/>
        <v>121.33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2">
        <f t="shared" si="0"/>
        <v>2036</v>
      </c>
      <c r="C30" s="277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76">
        <f t="shared" si="12"/>
        <v>86.58</v>
      </c>
      <c r="I30" s="276">
        <f t="shared" si="15"/>
        <v>210.52</v>
      </c>
      <c r="J30" s="127">
        <f t="shared" si="2"/>
        <v>37.58</v>
      </c>
      <c r="K30" s="276">
        <f t="shared" si="13"/>
        <v>373.39</v>
      </c>
      <c r="L30" s="276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2">
        <f t="shared" si="0"/>
        <v>2037</v>
      </c>
      <c r="C31" s="277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76">
        <f t="shared" si="12"/>
        <v>88.46</v>
      </c>
      <c r="I31" s="276">
        <f t="shared" si="15"/>
        <v>215.07</v>
      </c>
      <c r="J31" s="127">
        <f t="shared" si="2"/>
        <v>38.39</v>
      </c>
      <c r="K31" s="276">
        <f t="shared" si="13"/>
        <v>381.44</v>
      </c>
      <c r="L31" s="276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2">
        <f t="shared" si="0"/>
        <v>2038</v>
      </c>
      <c r="C32" s="277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76">
        <f t="shared" si="12"/>
        <v>90.37</v>
      </c>
      <c r="I32" s="276">
        <f t="shared" si="15"/>
        <v>219.7</v>
      </c>
      <c r="J32" s="127">
        <f t="shared" si="2"/>
        <v>39.22</v>
      </c>
      <c r="K32" s="276">
        <f t="shared" si="13"/>
        <v>389.69</v>
      </c>
      <c r="L32" s="276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2">
        <f t="shared" si="0"/>
        <v>2039</v>
      </c>
      <c r="C33" s="277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76">
        <f t="shared" si="12"/>
        <v>92.3</v>
      </c>
      <c r="I33" s="276">
        <f t="shared" si="15"/>
        <v>224.42</v>
      </c>
      <c r="J33" s="127">
        <f t="shared" si="2"/>
        <v>40.07</v>
      </c>
      <c r="K33" s="276">
        <f t="shared" ref="K33:K36" si="17">ROUND($L$59*J33/1000,2)</f>
        <v>398.14</v>
      </c>
      <c r="L33" s="276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2">
        <f t="shared" si="0"/>
        <v>2040</v>
      </c>
      <c r="C34" s="277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76">
        <f t="shared" si="12"/>
        <v>94.3</v>
      </c>
      <c r="I34" s="276">
        <f t="shared" si="15"/>
        <v>229.27</v>
      </c>
      <c r="J34" s="127">
        <f t="shared" si="2"/>
        <v>40.93</v>
      </c>
      <c r="K34" s="276">
        <f t="shared" si="17"/>
        <v>406.68</v>
      </c>
      <c r="L34" s="276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2">
        <f t="shared" si="0"/>
        <v>2041</v>
      </c>
      <c r="C35" s="277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76">
        <f t="shared" si="12"/>
        <v>96.32</v>
      </c>
      <c r="I35" s="276">
        <f t="shared" si="15"/>
        <v>234.19</v>
      </c>
      <c r="J35" s="127">
        <f t="shared" si="2"/>
        <v>41.81</v>
      </c>
      <c r="K35" s="276">
        <f t="shared" si="17"/>
        <v>415.42</v>
      </c>
      <c r="L35" s="276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2">
        <f t="shared" si="0"/>
        <v>2042</v>
      </c>
      <c r="C36" s="277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76">
        <f t="shared" si="12"/>
        <v>98.4</v>
      </c>
      <c r="I36" s="276">
        <f t="shared" si="15"/>
        <v>239.24</v>
      </c>
      <c r="J36" s="127">
        <f t="shared" si="2"/>
        <v>42.71</v>
      </c>
      <c r="K36" s="276">
        <f t="shared" si="17"/>
        <v>424.37</v>
      </c>
      <c r="L36" s="276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2"/>
      <c r="P37" s="281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2"/>
      <c r="O38" s="281"/>
      <c r="P38" s="281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2" t="s">
        <v>210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3" t="str">
        <f>D10</f>
        <v>(b)</v>
      </c>
      <c r="D41" s="276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3" t="str">
        <f>H10</f>
        <v>(f)</v>
      </c>
      <c r="D42" s="276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3" t="str">
        <f>I10</f>
        <v>(g)</v>
      </c>
      <c r="D43" s="276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3" t="str">
        <f>J10</f>
        <v>(h)</v>
      </c>
      <c r="D44" s="284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3" t="str">
        <f>K10</f>
        <v>(i)</v>
      </c>
      <c r="D45" s="276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3" t="str">
        <f>L10</f>
        <v>(i)</v>
      </c>
      <c r="D46" s="276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85"/>
      <c r="E48" s="285"/>
      <c r="F48" s="285"/>
      <c r="G48" s="285"/>
      <c r="H48" s="285"/>
      <c r="I48" s="285"/>
      <c r="J48" s="285"/>
      <c r="K48" s="286"/>
      <c r="L48" s="287"/>
    </row>
    <row r="49" spans="2:22" ht="5.25" customHeight="1"/>
    <row r="50" spans="2:22" ht="5.25" customHeight="1"/>
    <row r="51" spans="2:22">
      <c r="C51" s="288" t="s">
        <v>106</v>
      </c>
      <c r="D51" s="289"/>
      <c r="E51" s="288"/>
      <c r="F51" s="288"/>
      <c r="G51" s="290" t="s">
        <v>32</v>
      </c>
      <c r="H51" s="290" t="s">
        <v>107</v>
      </c>
      <c r="I51" s="290" t="s">
        <v>108</v>
      </c>
      <c r="J51" s="290" t="s">
        <v>33</v>
      </c>
    </row>
    <row r="52" spans="2:22">
      <c r="C52" s="280" t="s">
        <v>109</v>
      </c>
      <c r="G52" s="291">
        <f>C63</f>
        <v>206.11</v>
      </c>
      <c r="H52" s="41">
        <f>G52/G54</f>
        <v>1</v>
      </c>
      <c r="I52" s="292">
        <f>C64</f>
        <v>1319.927786794867</v>
      </c>
      <c r="J52" s="293">
        <f>C67</f>
        <v>0</v>
      </c>
      <c r="Q52" s="116"/>
      <c r="R52" s="116"/>
      <c r="S52" s="116"/>
      <c r="T52" s="116"/>
      <c r="U52" s="116"/>
      <c r="V52" s="116"/>
    </row>
    <row r="53" spans="2:22">
      <c r="C53" s="280"/>
      <c r="G53" s="294">
        <f>D63</f>
        <v>0</v>
      </c>
      <c r="H53" s="295">
        <f>1-H52</f>
        <v>0</v>
      </c>
      <c r="I53" s="296">
        <f>D64</f>
        <v>0</v>
      </c>
      <c r="J53" s="297">
        <f>D67</f>
        <v>0</v>
      </c>
      <c r="Q53" s="368"/>
      <c r="R53" s="116"/>
      <c r="S53" s="116"/>
      <c r="T53" s="116"/>
      <c r="U53" s="116"/>
      <c r="V53" s="116"/>
    </row>
    <row r="54" spans="2:22">
      <c r="C54" s="280" t="s">
        <v>110</v>
      </c>
      <c r="G54" s="291">
        <f>G52+G53</f>
        <v>206.11</v>
      </c>
      <c r="H54" s="41">
        <f>H52+H53</f>
        <v>1</v>
      </c>
      <c r="I54" s="292">
        <f>ROUND(((G52*I52)+(G53*I53))/G54,0)</f>
        <v>1320</v>
      </c>
      <c r="J54" s="293">
        <f>ROUND(((G52*J52)+(G53*J53))/G54,2)</f>
        <v>0</v>
      </c>
      <c r="Q54" s="368"/>
      <c r="R54" s="116"/>
      <c r="S54" s="116"/>
      <c r="T54" s="118"/>
      <c r="U54" s="116"/>
      <c r="V54" s="116"/>
    </row>
    <row r="55" spans="2:22">
      <c r="C55" s="280"/>
      <c r="G55" s="291"/>
      <c r="H55" s="41"/>
      <c r="I55" s="298"/>
      <c r="J55" s="299"/>
      <c r="Q55" s="116"/>
      <c r="R55" s="116"/>
      <c r="S55" s="326"/>
      <c r="T55" s="116"/>
      <c r="U55" s="116"/>
      <c r="V55" s="116"/>
    </row>
    <row r="56" spans="2:22">
      <c r="C56" s="300" t="s">
        <v>106</v>
      </c>
      <c r="D56" s="289"/>
      <c r="E56" s="288"/>
      <c r="F56" s="288"/>
      <c r="G56" s="290" t="s">
        <v>32</v>
      </c>
      <c r="H56" s="290" t="s">
        <v>34</v>
      </c>
      <c r="I56" s="290" t="s">
        <v>111</v>
      </c>
      <c r="J56" s="290" t="s">
        <v>107</v>
      </c>
      <c r="K56" s="290" t="s">
        <v>112</v>
      </c>
      <c r="L56" s="290" t="s">
        <v>113</v>
      </c>
    </row>
    <row r="57" spans="2:22">
      <c r="C57" s="301" t="str">
        <f>C52</f>
        <v>SCCT Dry "F" - Turbine</v>
      </c>
      <c r="D57" s="302"/>
      <c r="E57" s="302"/>
      <c r="F57" s="302"/>
      <c r="G57" s="85">
        <f>C63</f>
        <v>206.11</v>
      </c>
      <c r="H57" s="41">
        <f>C71</f>
        <v>0.33</v>
      </c>
      <c r="I57" s="303">
        <f>H57*G57</f>
        <v>68.016300000000001</v>
      </c>
      <c r="J57" s="41">
        <f>I57/I59</f>
        <v>1</v>
      </c>
      <c r="K57" s="299">
        <f>C68</f>
        <v>21.294</v>
      </c>
      <c r="L57" s="304">
        <f>C69</f>
        <v>9936</v>
      </c>
    </row>
    <row r="58" spans="2:22">
      <c r="C58" s="301">
        <f>C53</f>
        <v>0</v>
      </c>
      <c r="D58" s="302"/>
      <c r="E58" s="302"/>
      <c r="F58" s="302"/>
      <c r="G58" s="305">
        <f>D63</f>
        <v>0</v>
      </c>
      <c r="H58" s="295">
        <f>D71</f>
        <v>0</v>
      </c>
      <c r="I58" s="306">
        <f>H58*G58</f>
        <v>0</v>
      </c>
      <c r="J58" s="295">
        <f>1-J57</f>
        <v>0</v>
      </c>
      <c r="K58" s="307">
        <f>D68</f>
        <v>0</v>
      </c>
      <c r="L58" s="308">
        <f>D69</f>
        <v>0</v>
      </c>
    </row>
    <row r="59" spans="2:22">
      <c r="C59" s="280" t="s">
        <v>114</v>
      </c>
      <c r="G59" s="85">
        <f>G57+G58</f>
        <v>206.11</v>
      </c>
      <c r="H59" s="309">
        <f>ROUND(I59/G59,3)</f>
        <v>0.33</v>
      </c>
      <c r="I59" s="303">
        <f>SUM(I57:I58)</f>
        <v>68.016300000000001</v>
      </c>
      <c r="J59" s="41">
        <f>J57+J58</f>
        <v>1</v>
      </c>
      <c r="K59" s="299">
        <f>ROUND(($J57*K57)+($J58*K58),2)</f>
        <v>21.29</v>
      </c>
      <c r="L59" s="310">
        <f>ROUND(($J57*L57)+($J58*L58),0)</f>
        <v>9936</v>
      </c>
    </row>
    <row r="60" spans="2:22">
      <c r="H60" s="309"/>
      <c r="J60" s="41"/>
      <c r="K60" s="299"/>
      <c r="L60" s="311" t="s">
        <v>115</v>
      </c>
    </row>
    <row r="62" spans="2:22">
      <c r="C62" s="290" t="s">
        <v>116</v>
      </c>
      <c r="D62" s="290" t="s">
        <v>117</v>
      </c>
      <c r="E62" s="363"/>
      <c r="F62" s="312" t="str">
        <f>D40</f>
        <v xml:space="preserve">Plant Costs  - 2021 IRP - Table 7.1 &amp; 7.2 </v>
      </c>
      <c r="G62" s="313"/>
      <c r="H62" s="313"/>
      <c r="I62" s="313"/>
      <c r="J62" s="313"/>
      <c r="K62" s="313"/>
      <c r="L62" s="314"/>
    </row>
    <row r="63" spans="2:22">
      <c r="C63" s="85">
        <v>206.11</v>
      </c>
      <c r="F63" s="85" t="s">
        <v>118</v>
      </c>
      <c r="I63" s="315"/>
    </row>
    <row r="64" spans="2:22">
      <c r="B64" s="85" t="s">
        <v>206</v>
      </c>
      <c r="C64" s="298">
        <f>272050.31613629/C63</f>
        <v>1319.927786794867</v>
      </c>
      <c r="D64" s="298"/>
      <c r="F64" s="85" t="s">
        <v>119</v>
      </c>
    </row>
    <row r="65" spans="2:30">
      <c r="C65" s="299">
        <v>0</v>
      </c>
      <c r="D65" s="299"/>
      <c r="F65" s="85" t="s">
        <v>120</v>
      </c>
    </row>
    <row r="66" spans="2:30">
      <c r="C66" s="316">
        <v>0</v>
      </c>
      <c r="D66" s="316"/>
      <c r="F66" s="85" t="s">
        <v>121</v>
      </c>
    </row>
    <row r="67" spans="2:30">
      <c r="B67" s="85" t="s">
        <v>156</v>
      </c>
      <c r="C67" s="299">
        <f>C65+C66</f>
        <v>0</v>
      </c>
      <c r="D67" s="299"/>
      <c r="F67" s="85" t="s">
        <v>122</v>
      </c>
    </row>
    <row r="68" spans="2:30">
      <c r="B68" s="85" t="s">
        <v>156</v>
      </c>
      <c r="C68" s="385">
        <v>21.294</v>
      </c>
      <c r="D68" s="299"/>
      <c r="F68" s="85" t="s">
        <v>123</v>
      </c>
    </row>
    <row r="69" spans="2:30">
      <c r="C69" s="310">
        <v>9936</v>
      </c>
      <c r="D69" s="310"/>
      <c r="F69" s="85" t="s">
        <v>124</v>
      </c>
    </row>
    <row r="70" spans="2:30">
      <c r="C70" s="317">
        <v>7.4974140485106158E-2</v>
      </c>
      <c r="D70" s="317"/>
      <c r="F70" s="85" t="s">
        <v>36</v>
      </c>
      <c r="AC70" s="118"/>
      <c r="AD70" s="118"/>
    </row>
    <row r="71" spans="2:30">
      <c r="C71" s="318">
        <v>0.33</v>
      </c>
      <c r="D71" s="318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43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386">
        <v>26.724569206547603</v>
      </c>
      <c r="D74" s="49"/>
      <c r="F74" s="85" t="s">
        <v>176</v>
      </c>
      <c r="G74" s="387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19"/>
    </row>
    <row r="79" spans="2:30">
      <c r="D79" s="319"/>
    </row>
  </sheetData>
  <printOptions horizontalCentered="1"/>
  <pageMargins left="0.25" right="0.25" top="0.75" bottom="0.75" header="0.3" footer="0.3"/>
  <pageSetup scale="77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2:32" ht="15.75">
      <c r="B2" s="1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2:32" ht="15.75">
      <c r="B3" s="1" t="s">
        <v>56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208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</row>
    <row r="6" spans="2:32" ht="15.75">
      <c r="B6" s="1"/>
      <c r="C6" s="266"/>
      <c r="D6" s="266"/>
      <c r="E6" s="266"/>
      <c r="F6" s="266"/>
      <c r="G6" s="266"/>
      <c r="H6" s="266"/>
      <c r="I6" s="266"/>
      <c r="J6" s="266"/>
      <c r="L6" s="267"/>
    </row>
    <row r="7" spans="2:32">
      <c r="B7" s="268"/>
      <c r="C7" s="268"/>
      <c r="D7" s="268"/>
      <c r="E7" s="268"/>
      <c r="F7" s="268"/>
      <c r="G7" s="268"/>
      <c r="H7" s="268"/>
      <c r="I7" s="268"/>
      <c r="J7" s="266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69" t="s">
        <v>21</v>
      </c>
      <c r="K8" s="269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0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5"/>
      <c r="AB9" s="345"/>
      <c r="AC9" s="118"/>
      <c r="AD9" s="118"/>
      <c r="AE9" s="86"/>
      <c r="AF9" s="86"/>
    </row>
    <row r="10" spans="2:32">
      <c r="C10" s="271" t="s">
        <v>1</v>
      </c>
      <c r="D10" s="271" t="s">
        <v>2</v>
      </c>
      <c r="E10" s="271" t="s">
        <v>3</v>
      </c>
      <c r="F10" s="271" t="s">
        <v>4</v>
      </c>
      <c r="G10" s="271" t="s">
        <v>5</v>
      </c>
      <c r="H10" s="271" t="s">
        <v>7</v>
      </c>
      <c r="I10" s="271" t="s">
        <v>22</v>
      </c>
      <c r="J10" s="271" t="s">
        <v>23</v>
      </c>
      <c r="K10" s="271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68"/>
      <c r="K12" s="268"/>
      <c r="L12" s="268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72"/>
      <c r="C13" s="273"/>
      <c r="D13" s="274"/>
      <c r="E13" s="275"/>
      <c r="F13" s="275"/>
      <c r="G13" s="275"/>
      <c r="H13" s="276"/>
      <c r="I13" s="276"/>
      <c r="J13" s="276"/>
      <c r="K13" s="276"/>
      <c r="L13" s="276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2">
        <v>2020</v>
      </c>
      <c r="C14" s="277"/>
      <c r="D14" s="127"/>
      <c r="E14" s="127"/>
      <c r="F14" s="127"/>
      <c r="G14" s="388">
        <f>$C$68</f>
        <v>21.294</v>
      </c>
      <c r="H14" s="276"/>
      <c r="I14" s="276"/>
      <c r="J14" s="384">
        <f>$C$74</f>
        <v>26.724569206547603</v>
      </c>
      <c r="K14" s="276"/>
      <c r="L14" s="276"/>
      <c r="M14" s="127"/>
      <c r="N14" s="41"/>
      <c r="P14" s="359"/>
      <c r="V14" s="161"/>
      <c r="W14" s="118"/>
      <c r="X14" s="157"/>
      <c r="Y14" s="346"/>
      <c r="Z14" s="118"/>
      <c r="AA14" s="157"/>
      <c r="AB14" s="157"/>
      <c r="AC14" s="118"/>
      <c r="AD14" s="118"/>
      <c r="AE14" s="86"/>
      <c r="AF14" s="86"/>
    </row>
    <row r="15" spans="2:32">
      <c r="B15" s="272">
        <f t="shared" ref="B15:B36" si="0">B14+1</f>
        <v>2021</v>
      </c>
      <c r="C15" s="277"/>
      <c r="D15" s="127"/>
      <c r="E15" s="127"/>
      <c r="F15" s="127"/>
      <c r="G15" s="127">
        <f t="shared" ref="G15:G36" si="1">ROUND(G14*(1+IRP21_Infl_Rate),2)</f>
        <v>21.75</v>
      </c>
      <c r="H15" s="276"/>
      <c r="I15" s="276"/>
      <c r="J15" s="127">
        <f t="shared" ref="J15:J36" si="2">ROUND(J14*(1+IRP21_Infl_Rate),2)</f>
        <v>27.3</v>
      </c>
      <c r="K15" s="276"/>
      <c r="L15" s="276"/>
      <c r="M15" s="127"/>
      <c r="N15" s="41"/>
      <c r="P15" s="359"/>
      <c r="Q15" s="359"/>
      <c r="V15" s="161"/>
      <c r="W15" s="157"/>
      <c r="X15" s="157"/>
      <c r="Y15" s="346"/>
      <c r="Z15" s="157"/>
      <c r="AA15" s="157"/>
      <c r="AB15" s="157"/>
      <c r="AC15" s="118"/>
      <c r="AD15" s="118"/>
      <c r="AE15" s="86"/>
      <c r="AF15" s="86"/>
    </row>
    <row r="16" spans="2:32">
      <c r="B16" s="272">
        <f t="shared" si="0"/>
        <v>2022</v>
      </c>
      <c r="C16" s="277"/>
      <c r="D16" s="127"/>
      <c r="E16" s="127"/>
      <c r="F16" s="127"/>
      <c r="G16" s="127">
        <f t="shared" si="1"/>
        <v>22.22</v>
      </c>
      <c r="H16" s="276"/>
      <c r="I16" s="276"/>
      <c r="J16" s="127">
        <f t="shared" si="2"/>
        <v>27.89</v>
      </c>
      <c r="K16" s="276"/>
      <c r="L16" s="276"/>
      <c r="M16" s="127"/>
      <c r="N16" s="41"/>
      <c r="P16" s="359"/>
      <c r="Q16" s="359"/>
      <c r="V16" s="161"/>
      <c r="W16" s="157"/>
      <c r="X16" s="157"/>
      <c r="Y16" s="346"/>
      <c r="Z16" s="157"/>
      <c r="AA16" s="157"/>
      <c r="AB16" s="157"/>
      <c r="AC16" s="118"/>
      <c r="AD16" s="118"/>
      <c r="AE16" s="86"/>
      <c r="AF16" s="86"/>
    </row>
    <row r="17" spans="2:32">
      <c r="B17" s="272">
        <f t="shared" si="0"/>
        <v>2023</v>
      </c>
      <c r="C17" s="277"/>
      <c r="D17" s="127"/>
      <c r="E17" s="127"/>
      <c r="F17" s="127"/>
      <c r="G17" s="127">
        <f t="shared" si="1"/>
        <v>22.7</v>
      </c>
      <c r="H17" s="276"/>
      <c r="I17" s="276"/>
      <c r="J17" s="127">
        <f t="shared" si="2"/>
        <v>28.49</v>
      </c>
      <c r="K17" s="276"/>
      <c r="L17" s="276"/>
      <c r="M17" s="127"/>
      <c r="N17" s="41"/>
      <c r="P17" s="359"/>
      <c r="Q17" s="359"/>
      <c r="V17" s="161"/>
      <c r="W17" s="157"/>
      <c r="X17" s="157"/>
      <c r="Y17" s="346"/>
      <c r="Z17" s="157"/>
      <c r="AA17" s="157"/>
      <c r="AB17" s="157"/>
      <c r="AC17" s="118"/>
      <c r="AD17" s="118"/>
      <c r="AE17" s="86"/>
      <c r="AF17" s="86"/>
    </row>
    <row r="18" spans="2:32">
      <c r="B18" s="272">
        <f t="shared" si="0"/>
        <v>2024</v>
      </c>
      <c r="C18" s="277"/>
      <c r="D18" s="127"/>
      <c r="E18" s="127"/>
      <c r="F18" s="127"/>
      <c r="G18" s="127">
        <f t="shared" si="1"/>
        <v>23.19</v>
      </c>
      <c r="H18" s="276"/>
      <c r="I18" s="276"/>
      <c r="J18" s="127">
        <f t="shared" si="2"/>
        <v>29.1</v>
      </c>
      <c r="K18" s="276"/>
      <c r="L18" s="276"/>
      <c r="M18" s="127"/>
      <c r="N18" s="41"/>
      <c r="P18" s="359"/>
      <c r="Q18" s="359"/>
      <c r="V18" s="161"/>
      <c r="W18" s="157"/>
      <c r="X18" s="157"/>
      <c r="Y18" s="346"/>
      <c r="Z18" s="157"/>
      <c r="AA18" s="157"/>
      <c r="AB18" s="157"/>
      <c r="AC18" s="118"/>
      <c r="AD18" s="118"/>
      <c r="AE18" s="86"/>
      <c r="AF18" s="86"/>
    </row>
    <row r="19" spans="2:32">
      <c r="B19" s="272">
        <f t="shared" si="0"/>
        <v>2025</v>
      </c>
      <c r="C19" s="277"/>
      <c r="D19" s="127"/>
      <c r="E19" s="127"/>
      <c r="F19" s="127"/>
      <c r="G19" s="127">
        <f t="shared" si="1"/>
        <v>23.69</v>
      </c>
      <c r="H19" s="276"/>
      <c r="I19" s="276"/>
      <c r="J19" s="127">
        <f t="shared" si="2"/>
        <v>29.73</v>
      </c>
      <c r="K19" s="276"/>
      <c r="L19" s="276"/>
      <c r="M19" s="127"/>
      <c r="N19" s="41"/>
      <c r="P19" s="359"/>
      <c r="Q19" s="359"/>
      <c r="V19" s="161"/>
      <c r="W19" s="157"/>
      <c r="X19" s="157"/>
      <c r="Y19" s="346"/>
      <c r="Z19" s="157"/>
      <c r="AA19" s="157"/>
      <c r="AB19" s="157"/>
      <c r="AC19" s="118"/>
      <c r="AD19" s="118"/>
      <c r="AE19" s="86"/>
      <c r="AF19" s="86"/>
    </row>
    <row r="20" spans="2:32">
      <c r="B20" s="272">
        <f t="shared" si="0"/>
        <v>2026</v>
      </c>
      <c r="C20" s="277"/>
      <c r="D20" s="274"/>
      <c r="E20" s="127"/>
      <c r="F20" s="127"/>
      <c r="G20" s="127">
        <f t="shared" si="1"/>
        <v>24.2</v>
      </c>
      <c r="H20" s="276"/>
      <c r="I20" s="276"/>
      <c r="J20" s="127">
        <f t="shared" si="2"/>
        <v>30.37</v>
      </c>
      <c r="K20" s="276"/>
      <c r="L20" s="276"/>
      <c r="M20" s="127"/>
      <c r="N20" s="41"/>
      <c r="P20" s="359"/>
      <c r="Q20" s="359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2">
        <f t="shared" si="0"/>
        <v>2027</v>
      </c>
      <c r="C21" s="277"/>
      <c r="D21" s="127"/>
      <c r="E21" s="127"/>
      <c r="F21" s="127"/>
      <c r="G21" s="127">
        <f t="shared" si="1"/>
        <v>24.72</v>
      </c>
      <c r="H21" s="276"/>
      <c r="I21" s="276"/>
      <c r="J21" s="127">
        <f t="shared" si="2"/>
        <v>31.02</v>
      </c>
      <c r="K21" s="276"/>
      <c r="L21" s="276"/>
      <c r="M21" s="127"/>
      <c r="N21" s="41"/>
      <c r="P21" s="359"/>
      <c r="Q21" s="359"/>
      <c r="V21" s="347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2">
        <f t="shared" si="0"/>
        <v>2028</v>
      </c>
      <c r="C22" s="277"/>
      <c r="D22" s="127"/>
      <c r="E22" s="127"/>
      <c r="F22" s="127"/>
      <c r="G22" s="127">
        <f t="shared" si="1"/>
        <v>25.25</v>
      </c>
      <c r="H22" s="276"/>
      <c r="I22" s="276"/>
      <c r="J22" s="127">
        <f t="shared" si="2"/>
        <v>31.69</v>
      </c>
      <c r="K22" s="276"/>
      <c r="L22" s="276"/>
      <c r="M22" s="127"/>
      <c r="N22" s="41"/>
      <c r="P22" s="359"/>
      <c r="Q22" s="359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2">
        <f t="shared" si="0"/>
        <v>2029</v>
      </c>
      <c r="C23" s="277"/>
      <c r="D23" s="127"/>
      <c r="E23" s="127"/>
      <c r="F23" s="127"/>
      <c r="G23" s="127">
        <f t="shared" si="1"/>
        <v>25.79</v>
      </c>
      <c r="H23" s="276"/>
      <c r="I23" s="276"/>
      <c r="J23" s="127">
        <f t="shared" si="2"/>
        <v>32.369999999999997</v>
      </c>
      <c r="K23" s="276"/>
      <c r="L23" s="276"/>
      <c r="M23" s="127"/>
      <c r="N23" s="41"/>
      <c r="P23" s="359"/>
      <c r="Q23" s="359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0" customFormat="1">
      <c r="B24" s="278">
        <f t="shared" si="0"/>
        <v>2030</v>
      </c>
      <c r="C24" s="277"/>
      <c r="D24" s="127"/>
      <c r="E24" s="127"/>
      <c r="F24" s="127"/>
      <c r="G24" s="127">
        <f t="shared" si="1"/>
        <v>26.35</v>
      </c>
      <c r="H24" s="276"/>
      <c r="I24" s="276"/>
      <c r="J24" s="127">
        <f t="shared" si="2"/>
        <v>33.07</v>
      </c>
      <c r="K24" s="276"/>
      <c r="L24" s="276"/>
      <c r="M24" s="127"/>
      <c r="N24" s="50"/>
      <c r="O24" s="85"/>
      <c r="P24" s="359"/>
      <c r="Q24" s="359"/>
      <c r="V24" s="161"/>
      <c r="W24" s="157"/>
      <c r="X24" s="157"/>
      <c r="Y24" s="157"/>
      <c r="Z24" s="157"/>
      <c r="AA24" s="157"/>
      <c r="AB24" s="157"/>
      <c r="AC24" s="118"/>
      <c r="AD24" s="118"/>
      <c r="AE24" s="348"/>
      <c r="AF24" s="348"/>
    </row>
    <row r="25" spans="2:32" s="280" customFormat="1">
      <c r="B25" s="278">
        <f t="shared" si="0"/>
        <v>2031</v>
      </c>
      <c r="C25" s="277"/>
      <c r="D25" s="127"/>
      <c r="E25" s="127"/>
      <c r="F25" s="127"/>
      <c r="G25" s="127">
        <f t="shared" si="1"/>
        <v>26.92</v>
      </c>
      <c r="H25" s="276"/>
      <c r="I25" s="276"/>
      <c r="J25" s="127">
        <f t="shared" si="2"/>
        <v>33.78</v>
      </c>
      <c r="K25" s="276"/>
      <c r="L25" s="276"/>
      <c r="M25" s="127"/>
      <c r="N25" s="50"/>
      <c r="O25" s="85"/>
      <c r="P25" s="359"/>
      <c r="Q25" s="359"/>
      <c r="V25" s="161"/>
      <c r="W25" s="157"/>
      <c r="X25" s="157"/>
      <c r="Y25" s="157"/>
      <c r="Z25" s="157"/>
      <c r="AA25" s="157"/>
      <c r="AB25" s="157"/>
      <c r="AC25" s="118"/>
      <c r="AD25" s="118"/>
      <c r="AE25" s="348"/>
      <c r="AF25" s="348"/>
    </row>
    <row r="26" spans="2:32" s="280" customFormat="1">
      <c r="B26" s="278">
        <f t="shared" si="0"/>
        <v>2032</v>
      </c>
      <c r="C26" s="277"/>
      <c r="D26" s="127"/>
      <c r="E26" s="127"/>
      <c r="F26" s="127"/>
      <c r="G26" s="127">
        <f t="shared" si="1"/>
        <v>27.5</v>
      </c>
      <c r="H26" s="276"/>
      <c r="I26" s="276"/>
      <c r="J26" s="127">
        <f t="shared" si="2"/>
        <v>34.51</v>
      </c>
      <c r="K26" s="276"/>
      <c r="L26" s="276"/>
      <c r="M26" s="127"/>
      <c r="N26" s="50"/>
      <c r="O26" s="85"/>
      <c r="P26" s="359"/>
      <c r="Q26" s="359"/>
      <c r="V26" s="161"/>
      <c r="W26" s="157"/>
      <c r="X26" s="157"/>
      <c r="Y26" s="157"/>
      <c r="Z26" s="157"/>
      <c r="AA26" s="157"/>
      <c r="AB26" s="157"/>
      <c r="AC26" s="118"/>
      <c r="AD26" s="118"/>
      <c r="AE26" s="348"/>
      <c r="AF26" s="348"/>
    </row>
    <row r="27" spans="2:32" s="280" customFormat="1">
      <c r="B27" s="278">
        <f t="shared" si="0"/>
        <v>2033</v>
      </c>
      <c r="C27" s="277"/>
      <c r="D27" s="127"/>
      <c r="E27" s="127"/>
      <c r="F27" s="127"/>
      <c r="G27" s="127">
        <f t="shared" si="1"/>
        <v>28.09</v>
      </c>
      <c r="H27" s="276"/>
      <c r="I27" s="276"/>
      <c r="J27" s="127">
        <f>ROUND(J26*(1+IRP21_Infl_Rate),2)</f>
        <v>35.25</v>
      </c>
      <c r="K27" s="276"/>
      <c r="L27" s="276"/>
      <c r="M27" s="127"/>
      <c r="N27" s="50"/>
      <c r="O27" s="85"/>
      <c r="P27" s="359"/>
      <c r="Q27" s="359"/>
      <c r="V27" s="161"/>
      <c r="W27" s="157"/>
      <c r="X27" s="157"/>
      <c r="Y27" s="157"/>
      <c r="Z27" s="157"/>
      <c r="AA27" s="157"/>
      <c r="AB27" s="157"/>
      <c r="AC27" s="118"/>
      <c r="AD27" s="118"/>
      <c r="AE27" s="348"/>
      <c r="AF27" s="348"/>
    </row>
    <row r="28" spans="2:32" s="280" customFormat="1">
      <c r="B28" s="278">
        <f t="shared" si="0"/>
        <v>2034</v>
      </c>
      <c r="C28" s="279"/>
      <c r="D28" s="127"/>
      <c r="E28" s="127"/>
      <c r="F28" s="127"/>
      <c r="G28" s="127">
        <f t="shared" si="1"/>
        <v>28.7</v>
      </c>
      <c r="H28" s="276"/>
      <c r="I28" s="276"/>
      <c r="J28" s="127">
        <f t="shared" si="2"/>
        <v>36.01</v>
      </c>
      <c r="K28" s="276"/>
      <c r="L28" s="276"/>
      <c r="M28" s="127"/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48"/>
      <c r="AF28" s="348"/>
    </row>
    <row r="29" spans="2:32">
      <c r="B29" s="272">
        <f t="shared" si="0"/>
        <v>2035</v>
      </c>
      <c r="C29" s="277"/>
      <c r="D29" s="127"/>
      <c r="E29" s="127"/>
      <c r="F29" s="127"/>
      <c r="G29" s="127">
        <f t="shared" si="1"/>
        <v>29.32</v>
      </c>
      <c r="H29" s="276"/>
      <c r="I29" s="276"/>
      <c r="J29" s="127">
        <f t="shared" si="2"/>
        <v>36.79</v>
      </c>
      <c r="K29" s="276"/>
      <c r="L29" s="276"/>
      <c r="M29" s="127"/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2">
        <f t="shared" si="0"/>
        <v>2036</v>
      </c>
      <c r="C30" s="277"/>
      <c r="D30" s="127"/>
      <c r="E30" s="127"/>
      <c r="F30" s="127"/>
      <c r="G30" s="127">
        <f t="shared" si="1"/>
        <v>29.95</v>
      </c>
      <c r="H30" s="276"/>
      <c r="I30" s="276"/>
      <c r="J30" s="127">
        <f t="shared" si="2"/>
        <v>37.58</v>
      </c>
      <c r="K30" s="276"/>
      <c r="L30" s="276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2">
        <f t="shared" si="0"/>
        <v>2037</v>
      </c>
      <c r="C31" s="359">
        <f>$C$64</f>
        <v>1385.7797810443026</v>
      </c>
      <c r="D31" s="274">
        <f>ROUND(C31*$C$70,2)</f>
        <v>103.9</v>
      </c>
      <c r="E31" s="182">
        <f>$C$73</f>
        <v>0</v>
      </c>
      <c r="F31" s="127">
        <v>0</v>
      </c>
      <c r="G31" s="127">
        <f t="shared" si="1"/>
        <v>30.6</v>
      </c>
      <c r="H31" s="276">
        <f t="shared" ref="H31:H36" si="3">ROUND(G31*(8.76*$H$59)+F31,2)</f>
        <v>88.46</v>
      </c>
      <c r="I31" s="276">
        <f t="shared" ref="I31:I36" si="4">ROUND(D31+E31+H31,2)</f>
        <v>192.36</v>
      </c>
      <c r="J31" s="127">
        <f t="shared" si="2"/>
        <v>38.39</v>
      </c>
      <c r="K31" s="276">
        <f t="shared" ref="K31:K36" si="5">ROUND($L$59*J31/1000,2)</f>
        <v>381.44</v>
      </c>
      <c r="L31" s="276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2">
        <f t="shared" si="0"/>
        <v>2038</v>
      </c>
      <c r="C32" s="277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76">
        <f t="shared" si="3"/>
        <v>90.37</v>
      </c>
      <c r="I32" s="276">
        <f t="shared" si="4"/>
        <v>196.51</v>
      </c>
      <c r="J32" s="127">
        <f t="shared" si="2"/>
        <v>39.22</v>
      </c>
      <c r="K32" s="276">
        <f t="shared" si="5"/>
        <v>389.69</v>
      </c>
      <c r="L32" s="276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2">
        <f t="shared" si="0"/>
        <v>2039</v>
      </c>
      <c r="C33" s="277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76">
        <f t="shared" si="3"/>
        <v>92.3</v>
      </c>
      <c r="I33" s="276">
        <f t="shared" si="4"/>
        <v>200.73</v>
      </c>
      <c r="J33" s="127">
        <f t="shared" si="2"/>
        <v>40.07</v>
      </c>
      <c r="K33" s="276">
        <f t="shared" si="5"/>
        <v>398.14</v>
      </c>
      <c r="L33" s="276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2">
        <f t="shared" si="0"/>
        <v>2040</v>
      </c>
      <c r="C34" s="277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76">
        <f t="shared" si="3"/>
        <v>94.3</v>
      </c>
      <c r="I34" s="276">
        <f t="shared" si="4"/>
        <v>205.07</v>
      </c>
      <c r="J34" s="127">
        <f t="shared" si="2"/>
        <v>40.93</v>
      </c>
      <c r="K34" s="276">
        <f t="shared" si="5"/>
        <v>406.68</v>
      </c>
      <c r="L34" s="276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2">
        <f t="shared" si="0"/>
        <v>2041</v>
      </c>
      <c r="C35" s="277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76">
        <f t="shared" si="3"/>
        <v>96.32</v>
      </c>
      <c r="I35" s="276">
        <f t="shared" si="4"/>
        <v>209.48</v>
      </c>
      <c r="J35" s="127">
        <f t="shared" si="2"/>
        <v>41.81</v>
      </c>
      <c r="K35" s="276">
        <f t="shared" si="5"/>
        <v>415.42</v>
      </c>
      <c r="L35" s="276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2">
        <f t="shared" si="0"/>
        <v>2042</v>
      </c>
      <c r="C36" s="277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76">
        <f t="shared" si="3"/>
        <v>98.4</v>
      </c>
      <c r="I36" s="276">
        <f t="shared" si="4"/>
        <v>214</v>
      </c>
      <c r="J36" s="127">
        <f t="shared" si="2"/>
        <v>42.71</v>
      </c>
      <c r="K36" s="276">
        <f t="shared" si="5"/>
        <v>424.37</v>
      </c>
      <c r="L36" s="276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2"/>
      <c r="P37" s="281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2"/>
      <c r="O38" s="281"/>
      <c r="P38" s="281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2" t="s">
        <v>207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3" t="str">
        <f>D10</f>
        <v>(b)</v>
      </c>
      <c r="D41" s="276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3" t="str">
        <f>H10</f>
        <v>(f)</v>
      </c>
      <c r="D42" s="276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3" t="str">
        <f>I10</f>
        <v>(g)</v>
      </c>
      <c r="D43" s="276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3" t="str">
        <f>J10</f>
        <v>(h)</v>
      </c>
      <c r="D44" s="284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3" t="str">
        <f>K10</f>
        <v>(i)</v>
      </c>
      <c r="D45" s="276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3" t="str">
        <f>L10</f>
        <v>(i)</v>
      </c>
      <c r="D46" s="276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85"/>
      <c r="E48" s="285"/>
      <c r="F48" s="285"/>
      <c r="G48" s="285"/>
      <c r="H48" s="285"/>
      <c r="I48" s="285"/>
      <c r="J48" s="285"/>
      <c r="K48" s="286"/>
      <c r="L48" s="287"/>
    </row>
    <row r="49" spans="2:22" ht="5.25" customHeight="1"/>
    <row r="50" spans="2:22" ht="5.25" customHeight="1"/>
    <row r="51" spans="2:22">
      <c r="C51" s="288" t="s">
        <v>106</v>
      </c>
      <c r="D51" s="289"/>
      <c r="E51" s="288"/>
      <c r="F51" s="288"/>
      <c r="G51" s="290" t="s">
        <v>32</v>
      </c>
      <c r="H51" s="290" t="s">
        <v>107</v>
      </c>
      <c r="I51" s="290" t="s">
        <v>108</v>
      </c>
      <c r="J51" s="290" t="s">
        <v>33</v>
      </c>
    </row>
    <row r="52" spans="2:22">
      <c r="C52" s="280" t="s">
        <v>109</v>
      </c>
      <c r="G52" s="291">
        <f>C63</f>
        <v>206.10992340000001</v>
      </c>
      <c r="H52" s="41">
        <f>G52/G54</f>
        <v>1</v>
      </c>
      <c r="I52" s="292">
        <f>C64</f>
        <v>1385.7797810443026</v>
      </c>
      <c r="J52" s="293">
        <f>C67</f>
        <v>0</v>
      </c>
      <c r="Q52" s="116"/>
      <c r="R52" s="116"/>
      <c r="S52" s="116"/>
      <c r="T52" s="116"/>
      <c r="U52" s="116"/>
      <c r="V52" s="116"/>
    </row>
    <row r="53" spans="2:22">
      <c r="C53" s="280"/>
      <c r="G53" s="294">
        <f>D63</f>
        <v>0</v>
      </c>
      <c r="H53" s="295">
        <f>1-H52</f>
        <v>0</v>
      </c>
      <c r="I53" s="296">
        <f>D64</f>
        <v>0</v>
      </c>
      <c r="J53" s="297">
        <f>D67</f>
        <v>0</v>
      </c>
      <c r="Q53" s="368"/>
      <c r="R53" s="116"/>
      <c r="S53" s="116"/>
      <c r="T53" s="116"/>
      <c r="U53" s="116"/>
      <c r="V53" s="116"/>
    </row>
    <row r="54" spans="2:22">
      <c r="C54" s="280" t="s">
        <v>110</v>
      </c>
      <c r="G54" s="291">
        <f>G52+G53</f>
        <v>206.10992340000001</v>
      </c>
      <c r="H54" s="41">
        <f>H52+H53</f>
        <v>1</v>
      </c>
      <c r="I54" s="292">
        <f>ROUND(((G52*I52)+(G53*I53))/G54,0)</f>
        <v>1386</v>
      </c>
      <c r="J54" s="293">
        <f>ROUND(((G52*J52)+(G53*J53))/G54,2)</f>
        <v>0</v>
      </c>
      <c r="Q54" s="368"/>
      <c r="R54" s="116"/>
      <c r="S54" s="116"/>
      <c r="T54" s="118"/>
      <c r="U54" s="116"/>
      <c r="V54" s="116"/>
    </row>
    <row r="55" spans="2:22">
      <c r="C55" s="280"/>
      <c r="G55" s="291"/>
      <c r="H55" s="41"/>
      <c r="I55" s="298"/>
      <c r="J55" s="299"/>
      <c r="Q55" s="116"/>
      <c r="R55" s="116"/>
      <c r="S55" s="326"/>
      <c r="T55" s="116"/>
      <c r="U55" s="116"/>
      <c r="V55" s="116"/>
    </row>
    <row r="56" spans="2:22">
      <c r="C56" s="300" t="s">
        <v>106</v>
      </c>
      <c r="D56" s="289"/>
      <c r="E56" s="288"/>
      <c r="F56" s="288"/>
      <c r="G56" s="290" t="s">
        <v>32</v>
      </c>
      <c r="H56" s="290" t="s">
        <v>34</v>
      </c>
      <c r="I56" s="290" t="s">
        <v>111</v>
      </c>
      <c r="J56" s="290" t="s">
        <v>107</v>
      </c>
      <c r="K56" s="290" t="s">
        <v>112</v>
      </c>
      <c r="L56" s="290" t="s">
        <v>113</v>
      </c>
    </row>
    <row r="57" spans="2:22">
      <c r="C57" s="301" t="str">
        <f>C52</f>
        <v>SCCT Dry "F" - Turbine</v>
      </c>
      <c r="D57" s="302"/>
      <c r="E57" s="302"/>
      <c r="F57" s="302"/>
      <c r="G57" s="85">
        <f>C63</f>
        <v>206.10992340000001</v>
      </c>
      <c r="H57" s="41">
        <f>C71</f>
        <v>0.33</v>
      </c>
      <c r="I57" s="303">
        <f>H57*G57</f>
        <v>68.016274722000006</v>
      </c>
      <c r="J57" s="41">
        <f>I57/I59</f>
        <v>1</v>
      </c>
      <c r="K57" s="299">
        <f>C68</f>
        <v>21.294</v>
      </c>
      <c r="L57" s="304">
        <f>C69</f>
        <v>9936</v>
      </c>
    </row>
    <row r="58" spans="2:22">
      <c r="C58" s="301">
        <f>C53</f>
        <v>0</v>
      </c>
      <c r="D58" s="302"/>
      <c r="E58" s="302"/>
      <c r="F58" s="302"/>
      <c r="G58" s="305">
        <f>D63</f>
        <v>0</v>
      </c>
      <c r="H58" s="295">
        <f>D71</f>
        <v>0</v>
      </c>
      <c r="I58" s="306">
        <f>H58*G58</f>
        <v>0</v>
      </c>
      <c r="J58" s="295">
        <f>1-J57</f>
        <v>0</v>
      </c>
      <c r="K58" s="307">
        <f>D68</f>
        <v>0</v>
      </c>
      <c r="L58" s="308">
        <f>D69</f>
        <v>0</v>
      </c>
    </row>
    <row r="59" spans="2:22">
      <c r="C59" s="280" t="s">
        <v>114</v>
      </c>
      <c r="G59" s="85">
        <f>G57+G58</f>
        <v>206.10992340000001</v>
      </c>
      <c r="H59" s="309">
        <f>ROUND(I59/G59,3)</f>
        <v>0.33</v>
      </c>
      <c r="I59" s="303">
        <f>SUM(I57:I58)</f>
        <v>68.016274722000006</v>
      </c>
      <c r="J59" s="41">
        <f>J57+J58</f>
        <v>1</v>
      </c>
      <c r="K59" s="299">
        <f>ROUND(($J57*K57)+($J58*K58),2)</f>
        <v>21.29</v>
      </c>
      <c r="L59" s="310">
        <f>ROUND(($J57*L57)+($J58*L58),0)</f>
        <v>9936</v>
      </c>
    </row>
    <row r="60" spans="2:22">
      <c r="H60" s="309"/>
      <c r="J60" s="41"/>
      <c r="K60" s="299"/>
      <c r="L60" s="311" t="s">
        <v>115</v>
      </c>
    </row>
    <row r="62" spans="2:22">
      <c r="C62" s="290" t="s">
        <v>116</v>
      </c>
      <c r="D62" s="290" t="s">
        <v>117</v>
      </c>
      <c r="E62" s="363"/>
      <c r="F62" s="312" t="str">
        <f>D40</f>
        <v xml:space="preserve">Plant Costs  - 2021 IRP  - Table 7.1 &amp; 7.2 </v>
      </c>
      <c r="G62" s="313"/>
      <c r="H62" s="313"/>
      <c r="I62" s="313"/>
      <c r="J62" s="313"/>
      <c r="K62" s="313"/>
      <c r="L62" s="314"/>
    </row>
    <row r="63" spans="2:22">
      <c r="C63" s="85">
        <v>206.10992340000001</v>
      </c>
      <c r="F63" s="85" t="s">
        <v>118</v>
      </c>
      <c r="I63" s="315"/>
    </row>
    <row r="64" spans="2:22">
      <c r="B64" s="85" t="s">
        <v>205</v>
      </c>
      <c r="C64" s="298">
        <f>285622.96452031/C63</f>
        <v>1385.7797810443026</v>
      </c>
      <c r="D64" s="298"/>
      <c r="F64" s="85" t="s">
        <v>119</v>
      </c>
    </row>
    <row r="65" spans="2:30">
      <c r="C65" s="299">
        <v>0</v>
      </c>
      <c r="D65" s="299"/>
      <c r="F65" s="85" t="s">
        <v>120</v>
      </c>
    </row>
    <row r="66" spans="2:30">
      <c r="C66" s="316">
        <v>0</v>
      </c>
      <c r="D66" s="316"/>
      <c r="F66" s="85" t="s">
        <v>121</v>
      </c>
    </row>
    <row r="67" spans="2:30">
      <c r="B67" s="85" t="s">
        <v>156</v>
      </c>
      <c r="C67" s="299">
        <f>C65+C66</f>
        <v>0</v>
      </c>
      <c r="D67" s="299"/>
      <c r="F67" s="85" t="s">
        <v>122</v>
      </c>
    </row>
    <row r="68" spans="2:30">
      <c r="B68" s="85" t="s">
        <v>156</v>
      </c>
      <c r="C68" s="385">
        <v>21.294</v>
      </c>
      <c r="D68" s="299"/>
      <c r="F68" s="85" t="s">
        <v>123</v>
      </c>
    </row>
    <row r="69" spans="2:30">
      <c r="C69" s="310">
        <v>9936</v>
      </c>
      <c r="D69" s="310"/>
      <c r="F69" s="85" t="s">
        <v>124</v>
      </c>
    </row>
    <row r="70" spans="2:30">
      <c r="C70" s="317">
        <v>7.4974140485106158E-2</v>
      </c>
      <c r="D70" s="317"/>
      <c r="F70" s="85" t="s">
        <v>36</v>
      </c>
      <c r="AC70" s="118"/>
      <c r="AD70" s="118"/>
    </row>
    <row r="71" spans="2:30">
      <c r="C71" s="318">
        <v>0.33</v>
      </c>
      <c r="D71" s="318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43"/>
      <c r="C73" s="151"/>
      <c r="D73" s="116"/>
      <c r="E73" s="116"/>
      <c r="F73" s="116"/>
      <c r="AC73" s="118"/>
      <c r="AD73" s="118"/>
    </row>
    <row r="74" spans="2:30" ht="13.5" thickBot="1">
      <c r="B74" s="49"/>
      <c r="C74" s="386">
        <v>26.724569206547603</v>
      </c>
      <c r="D74" s="49"/>
      <c r="F74" s="85" t="s">
        <v>176</v>
      </c>
      <c r="G74" s="387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19"/>
    </row>
    <row r="77" spans="2:30">
      <c r="D77" s="319"/>
    </row>
  </sheetData>
  <printOptions horizontalCentered="1"/>
  <pageMargins left="0.25" right="0.25" top="0.75" bottom="0.75" header="0.3" footer="0.3"/>
  <pageSetup scale="77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view="pageBreakPreview" topLeftCell="A2" zoomScale="80" zoomScaleNormal="100" zoomScaleSheetLayoutView="80" workbookViewId="0">
      <selection activeCell="D31" sqref="D31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Tesoro Non Firm - 25.0 MW and 85.0% CF</v>
      </c>
      <c r="C5" s="1"/>
      <c r="D5" s="1"/>
      <c r="H5" s="96">
        <v>44742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08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5.76</v>
      </c>
      <c r="D20" s="27">
        <f t="shared" si="1"/>
        <v>5.77</v>
      </c>
      <c r="E20" s="27">
        <f t="shared" si="2"/>
        <v>5.57</v>
      </c>
      <c r="F20" s="27">
        <f t="shared" si="3"/>
        <v>5.53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4.83</v>
      </c>
      <c r="D21" s="27">
        <f t="shared" si="1"/>
        <v>4.84</v>
      </c>
      <c r="E21" s="27">
        <f t="shared" si="2"/>
        <v>4.3899999999999997</v>
      </c>
      <c r="F21" s="27">
        <f t="shared" si="3"/>
        <v>4.51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4.42</v>
      </c>
      <c r="D22" s="27">
        <f t="shared" si="1"/>
        <v>4.43</v>
      </c>
      <c r="E22" s="27">
        <f t="shared" si="2"/>
        <v>4.0599999999999996</v>
      </c>
      <c r="F22" s="27">
        <f t="shared" si="3"/>
        <v>4.21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4.22</v>
      </c>
      <c r="D23" s="27">
        <f t="shared" si="1"/>
        <v>4.2300000000000004</v>
      </c>
      <c r="E23" s="27">
        <f t="shared" si="2"/>
        <v>4.04</v>
      </c>
      <c r="F23" s="27">
        <f t="shared" si="3"/>
        <v>4.09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4.03</v>
      </c>
      <c r="D24" s="27">
        <f t="shared" si="1"/>
        <v>4.04</v>
      </c>
      <c r="E24" s="27">
        <f t="shared" si="2"/>
        <v>4.07</v>
      </c>
      <c r="F24" s="27">
        <f t="shared" si="3"/>
        <v>3.89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3.91</v>
      </c>
      <c r="D25" s="27">
        <f t="shared" si="1"/>
        <v>3.92</v>
      </c>
      <c r="E25" s="27">
        <f t="shared" si="2"/>
        <v>4.07</v>
      </c>
      <c r="F25" s="27">
        <f t="shared" si="3"/>
        <v>3.78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3.99</v>
      </c>
      <c r="D26" s="27">
        <f t="shared" si="1"/>
        <v>4</v>
      </c>
      <c r="E26" s="27">
        <f t="shared" si="2"/>
        <v>4.18</v>
      </c>
      <c r="F26" s="27">
        <f t="shared" si="3"/>
        <v>3.86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4.28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4.04</v>
      </c>
      <c r="D28" s="27">
        <f t="shared" si="1"/>
        <v>4.05</v>
      </c>
      <c r="E28" s="27">
        <f t="shared" si="2"/>
        <v>4.26</v>
      </c>
      <c r="F28" s="27">
        <f t="shared" si="3"/>
        <v>3.91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4.2</v>
      </c>
      <c r="D29" s="27">
        <f t="shared" si="1"/>
        <v>4.21</v>
      </c>
      <c r="E29" s="27">
        <f t="shared" si="2"/>
        <v>4.43</v>
      </c>
      <c r="F29" s="27">
        <f t="shared" si="3"/>
        <v>4.0599999999999996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4.3099999999999996</v>
      </c>
      <c r="D30" s="27">
        <f t="shared" si="1"/>
        <v>4.32</v>
      </c>
      <c r="E30" s="27">
        <f t="shared" si="2"/>
        <v>4.55</v>
      </c>
      <c r="F30" s="27">
        <f t="shared" si="3"/>
        <v>4.17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4.49</v>
      </c>
      <c r="D31" s="27">
        <f t="shared" si="1"/>
        <v>4.5</v>
      </c>
      <c r="E31" s="27">
        <f t="shared" si="2"/>
        <v>4.7300000000000004</v>
      </c>
      <c r="F31" s="27">
        <f t="shared" si="3"/>
        <v>4.3499999999999996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4.67</v>
      </c>
      <c r="D32" s="27">
        <f t="shared" si="1"/>
        <v>4.68</v>
      </c>
      <c r="E32" s="27">
        <f t="shared" si="2"/>
        <v>4.93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4.76</v>
      </c>
      <c r="D33" s="27">
        <f t="shared" si="1"/>
        <v>4.7699999999999996</v>
      </c>
      <c r="E33" s="27">
        <f t="shared" si="2"/>
        <v>5.03</v>
      </c>
      <c r="F33" s="27">
        <f t="shared" si="3"/>
        <v>4.62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5.21</v>
      </c>
      <c r="F34" s="27">
        <f t="shared" si="3"/>
        <v>4.78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5.49</v>
      </c>
      <c r="F35" s="27">
        <f t="shared" si="3"/>
        <v>5.04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5.5</v>
      </c>
      <c r="D36" s="27">
        <f t="shared" si="1"/>
        <v>5.51</v>
      </c>
      <c r="E36" s="27">
        <f t="shared" si="2"/>
        <v>5.81</v>
      </c>
      <c r="F36" s="27">
        <f t="shared" si="3"/>
        <v>5.35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5.83</v>
      </c>
      <c r="D37" s="27">
        <f t="shared" si="1"/>
        <v>5.84</v>
      </c>
      <c r="E37" s="27">
        <f t="shared" si="2"/>
        <v>6.16</v>
      </c>
      <c r="F37" s="27">
        <f t="shared" si="3"/>
        <v>5.68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6.16</v>
      </c>
      <c r="D38" s="27">
        <f t="shared" si="1"/>
        <v>6.17</v>
      </c>
      <c r="E38" s="27">
        <f t="shared" si="2"/>
        <v>6.49</v>
      </c>
      <c r="F38" s="27">
        <f t="shared" si="3"/>
        <v>6.01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4.9360557031656258</v>
      </c>
      <c r="J89" s="35">
        <v>4.9461946061363244</v>
      </c>
      <c r="K89" s="35">
        <v>5.0826063154683325</v>
      </c>
      <c r="L89" s="35">
        <v>4.2063247344205799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4.601962497211801</v>
      </c>
      <c r="J90" s="35">
        <v>4.6121014001824996</v>
      </c>
      <c r="K90" s="35">
        <v>4.5178186860576712</v>
      </c>
      <c r="L90" s="35">
        <v>4.5377063764500081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4.3045546767379754</v>
      </c>
      <c r="J91" s="35">
        <v>4.3146935797086741</v>
      </c>
      <c r="K91" s="35">
        <v>4.2345643374647342</v>
      </c>
      <c r="L91" s="35">
        <v>4.2958495245310875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6.2951592933184619</v>
      </c>
      <c r="J92" s="35">
        <v>6.3052981962891597</v>
      </c>
      <c r="K92" s="35">
        <v>6.437747441188141</v>
      </c>
      <c r="L92" s="35">
        <v>6.2005852186423107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7.6662968185911691</v>
      </c>
      <c r="J93" s="35">
        <v>7.6764357215618677</v>
      </c>
      <c r="K93" s="35">
        <v>7.8100543040111301</v>
      </c>
      <c r="L93" s="35">
        <v>7.5985533998374599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6.8761184335394923</v>
      </c>
      <c r="J94" s="35">
        <v>6.88625733651019</v>
      </c>
      <c r="K94" s="35">
        <v>7.2110992536482481</v>
      </c>
      <c r="L94" s="35">
        <v>7.2191873799725643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6.3002287448038121</v>
      </c>
      <c r="J95" s="35">
        <v>6.3103676477745108</v>
      </c>
      <c r="K95" s="35">
        <v>6.0433475100484593</v>
      </c>
      <c r="L95" s="35">
        <v>5.9051588075880757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5.2396994940687414</v>
      </c>
      <c r="J96" s="35">
        <v>5.24983839703944</v>
      </c>
      <c r="K96" s="35">
        <v>4.7886896984710638</v>
      </c>
      <c r="L96" s="35">
        <v>5.0043257251831772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5.1362826837676172</v>
      </c>
      <c r="J97" s="35">
        <v>5.146421586738315</v>
      </c>
      <c r="K97" s="35">
        <v>4.7820617083810149</v>
      </c>
      <c r="L97" s="35">
        <v>4.9320583358426173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5.257442574267464</v>
      </c>
      <c r="J98" s="35">
        <v>5.2675814772381626</v>
      </c>
      <c r="K98" s="35">
        <v>4.8321858834370159</v>
      </c>
      <c r="L98" s="35">
        <v>5.011853578239486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5.7831446932981851</v>
      </c>
      <c r="J99" s="35">
        <v>5.7932835962688838</v>
      </c>
      <c r="K99" s="35">
        <v>5.2260334820691936</v>
      </c>
      <c r="L99" s="35">
        <v>5.3390642577536882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6.7037570830376154</v>
      </c>
      <c r="J100" s="35">
        <v>6.7138959860083141</v>
      </c>
      <c r="K100" s="35">
        <v>5.8258665852187024</v>
      </c>
      <c r="L100" s="35">
        <v>6.1500649603533066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7.1240146111730711</v>
      </c>
      <c r="J101" s="35">
        <v>7.1341535141437697</v>
      </c>
      <c r="K101" s="35">
        <v>5.6208649229803633</v>
      </c>
      <c r="L101" s="35">
        <v>6.3176851550737725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6.882708720470446</v>
      </c>
      <c r="J102" s="35">
        <v>6.8928476234411438</v>
      </c>
      <c r="K102" s="35">
        <v>5.4746866727912185</v>
      </c>
      <c r="L102" s="35">
        <v>6.1089126969788214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4.9791296877217883</v>
      </c>
      <c r="J103" s="35">
        <v>4.989268590692487</v>
      </c>
      <c r="K103" s="35">
        <v>4.7211152682561028</v>
      </c>
      <c r="L103" s="35">
        <v>4.8643076583358429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3.9530727070870935</v>
      </c>
      <c r="J104" s="35">
        <v>3.9632116100577921</v>
      </c>
      <c r="K104" s="35">
        <v>3.7950089966893792</v>
      </c>
      <c r="L104" s="35">
        <v>3.8610957743651508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3.7862877532191019</v>
      </c>
      <c r="J105" s="35">
        <v>3.7964266561898006</v>
      </c>
      <c r="K105" s="35">
        <v>3.6521447415452584</v>
      </c>
      <c r="L105" s="35">
        <v>3.6859477265883771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3.876523989658319</v>
      </c>
      <c r="J106" s="35">
        <v>3.8866628926290181</v>
      </c>
      <c r="K106" s="35">
        <v>3.8482918232726702</v>
      </c>
      <c r="L106" s="35">
        <v>3.8053896617484693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4.2050244459089532</v>
      </c>
      <c r="J107" s="35">
        <v>4.2151633488796518</v>
      </c>
      <c r="K107" s="35">
        <v>3.9961788521569064</v>
      </c>
      <c r="L107" s="35">
        <v>3.9800358526548227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4.2607884122477948</v>
      </c>
      <c r="J108" s="35">
        <v>4.2709273152184934</v>
      </c>
      <c r="K108" s="35">
        <v>3.9755181642980792</v>
      </c>
      <c r="L108" s="35">
        <v>3.9950915587674394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4.1705521758085773</v>
      </c>
      <c r="J109" s="35">
        <v>4.1806910787792759</v>
      </c>
      <c r="K109" s="35">
        <v>3.8960858455626388</v>
      </c>
      <c r="L109" s="35">
        <v>3.9208167419451971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4.0716978718442665</v>
      </c>
      <c r="J110" s="35">
        <v>4.0818367748149642</v>
      </c>
      <c r="K110" s="35">
        <v>4.0097455193724771</v>
      </c>
      <c r="L110" s="35">
        <v>3.9007424671283748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4.9456713079184826</v>
      </c>
      <c r="J111" s="35">
        <v>4.9558102108891813</v>
      </c>
      <c r="K111" s="35">
        <v>4.4807988463192192</v>
      </c>
      <c r="L111" s="35">
        <v>4.4221717554953326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5.748165478049275</v>
      </c>
      <c r="J112" s="35">
        <v>5.7583043810199737</v>
      </c>
      <c r="K112" s="35">
        <v>5.1665369147764819</v>
      </c>
      <c r="L112" s="35">
        <v>5.2191204657231758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5.8653711963905515</v>
      </c>
      <c r="J113" s="35">
        <v>5.8755100993612492</v>
      </c>
      <c r="K113" s="35">
        <v>4.7923143805515602</v>
      </c>
      <c r="L113" s="35">
        <v>5.5789518418147139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5.7285973953158278</v>
      </c>
      <c r="J114" s="35">
        <v>5.7387362982865255</v>
      </c>
      <c r="K114" s="35">
        <v>4.6882342236687471</v>
      </c>
      <c r="L114" s="35">
        <v>5.4213687845026595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4.3795149660346748</v>
      </c>
      <c r="J115" s="35">
        <v>4.3896538690053735</v>
      </c>
      <c r="K115" s="35">
        <v>4.3074872616989337</v>
      </c>
      <c r="L115" s="35">
        <v>4.4367256047375285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4.0838645554091046</v>
      </c>
      <c r="J116" s="35">
        <v>4.0940034583798033</v>
      </c>
      <c r="K116" s="35">
        <v>3.4944710710436833</v>
      </c>
      <c r="L116" s="35">
        <v>3.6252230452674894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3.9840977501774311</v>
      </c>
      <c r="J117" s="35">
        <v>3.9942366531481297</v>
      </c>
      <c r="K117" s="35">
        <v>3.4421720867393839</v>
      </c>
      <c r="L117" s="35">
        <v>3.488216119642678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3.7239334999493057</v>
      </c>
      <c r="J118" s="35">
        <v>3.7340724029200043</v>
      </c>
      <c r="K118" s="35">
        <v>3.654423113138713</v>
      </c>
      <c r="L118" s="35">
        <v>3.6126766235069758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3.8523934005880567</v>
      </c>
      <c r="J119" s="35">
        <v>3.8625323035587553</v>
      </c>
      <c r="K119" s="35">
        <v>3.8013262997439581</v>
      </c>
      <c r="L119" s="35">
        <v>3.7913376693766936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3.9790282986920813</v>
      </c>
      <c r="J120" s="35">
        <v>3.9891672016627804</v>
      </c>
      <c r="K120" s="35">
        <v>3.7558106490474437</v>
      </c>
      <c r="L120" s="35">
        <v>3.8043859480076283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3.7397501885835953</v>
      </c>
      <c r="J121" s="35">
        <v>3.7498890915542944</v>
      </c>
      <c r="K121" s="35">
        <v>3.7132465251879054</v>
      </c>
      <c r="L121" s="35">
        <v>3.7180665662952928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3.9878491442765895</v>
      </c>
      <c r="J122" s="35">
        <v>3.9979880472472882</v>
      </c>
      <c r="K122" s="35">
        <v>3.842181644908405</v>
      </c>
      <c r="L122" s="35">
        <v>3.714051711331928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4.3792107989455538</v>
      </c>
      <c r="J123" s="35">
        <v>4.3893497019162524</v>
      </c>
      <c r="K123" s="35">
        <v>4.3372614359315786</v>
      </c>
      <c r="L123" s="35">
        <v>4.2244401485496335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5.3900594251242016</v>
      </c>
      <c r="J124" s="35">
        <v>5.4001983280948993</v>
      </c>
      <c r="K124" s="35">
        <v>4.9167445382577295</v>
      </c>
      <c r="L124" s="35">
        <v>5.1297899427883165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5.4234164158978002</v>
      </c>
      <c r="J125" s="35">
        <v>5.4335553188684989</v>
      </c>
      <c r="K125" s="35">
        <v>4.5853450337552397</v>
      </c>
      <c r="L125" s="35">
        <v>5.4956436013249013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5.1694368964818</v>
      </c>
      <c r="J126" s="35">
        <v>5.1795757994524987</v>
      </c>
      <c r="K126" s="35">
        <v>4.5120746745566418</v>
      </c>
      <c r="L126" s="35">
        <v>5.3521125363846229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4.2816745523674342</v>
      </c>
      <c r="J127" s="35">
        <v>4.291813455338132</v>
      </c>
      <c r="K127" s="35">
        <v>4.2841857340386023</v>
      </c>
      <c r="L127" s="35">
        <v>4.3534173642477159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3.9707143982561086</v>
      </c>
      <c r="J128" s="35">
        <v>3.9808533012268073</v>
      </c>
      <c r="K128" s="35">
        <v>3.4649558026739307</v>
      </c>
      <c r="L128" s="35">
        <v>3.5268590986650605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3.8638503609449457</v>
      </c>
      <c r="J129" s="35">
        <v>3.8739892639156448</v>
      </c>
      <c r="K129" s="35">
        <v>3.4065466400053666</v>
      </c>
      <c r="L129" s="35">
        <v>3.382826176854361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3.5925333174490524</v>
      </c>
      <c r="J130" s="35">
        <v>3.602672220419751</v>
      </c>
      <c r="K130" s="35">
        <v>3.6049203121536539</v>
      </c>
      <c r="L130" s="35">
        <v>3.4962458295694065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3.707914033255602</v>
      </c>
      <c r="J131" s="35">
        <v>3.7180529362263006</v>
      </c>
      <c r="K131" s="35">
        <v>3.7106056853864016</v>
      </c>
      <c r="L131" s="35">
        <v>3.6618585968081905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3.8742934310047654</v>
      </c>
      <c r="J132" s="35">
        <v>3.8844323339754641</v>
      </c>
      <c r="K132" s="35">
        <v>3.8270097613429006</v>
      </c>
      <c r="L132" s="35">
        <v>3.700802689952825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3.6594500770556624</v>
      </c>
      <c r="J133" s="35">
        <v>3.6695889800263615</v>
      </c>
      <c r="K133" s="35">
        <v>3.8374177770311824</v>
      </c>
      <c r="L133" s="35">
        <v>3.6385724380206765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3.9710185653452297</v>
      </c>
      <c r="J134" s="35">
        <v>3.9811574683159288</v>
      </c>
      <c r="K134" s="35">
        <v>3.9644369933662769</v>
      </c>
      <c r="L134" s="35">
        <v>3.6973900632339656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4.1899174804826114</v>
      </c>
      <c r="J135" s="35">
        <v>4.20005638345331</v>
      </c>
      <c r="K135" s="35">
        <v>4.4498854862898467</v>
      </c>
      <c r="L135" s="35">
        <v>4.036946421760514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4.9334032353239383</v>
      </c>
      <c r="J136" s="35">
        <v>4.943542138294637</v>
      </c>
      <c r="K136" s="35">
        <v>4.8174282492521403</v>
      </c>
      <c r="L136" s="35">
        <v>4.6777172739134798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5.2434508881679003</v>
      </c>
      <c r="J137" s="35">
        <v>5.2535897911385989</v>
      </c>
      <c r="K137" s="35">
        <v>4.9113075151369854</v>
      </c>
      <c r="L137" s="35">
        <v>5.3174844123256051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4.916674045422285</v>
      </c>
      <c r="J138" s="35">
        <v>4.9268129483929837</v>
      </c>
      <c r="K138" s="35">
        <v>4.6543693368023984</v>
      </c>
      <c r="L138" s="35">
        <v>5.1018867007929334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3.7980488806651125</v>
      </c>
      <c r="J139" s="35">
        <v>3.8081877836358111</v>
      </c>
      <c r="K139" s="35">
        <v>3.9954021345682289</v>
      </c>
      <c r="L139" s="35">
        <v>3.8746459098665058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3.8118377887052621</v>
      </c>
      <c r="J140" s="35">
        <v>3.8219766916759612</v>
      </c>
      <c r="K140" s="35">
        <v>3.4283982948334994</v>
      </c>
      <c r="L140" s="35">
        <v>3.3695771554752585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3.7247446121869614</v>
      </c>
      <c r="J141" s="35">
        <v>3.73488351515766</v>
      </c>
      <c r="K141" s="35">
        <v>3.397950965357333</v>
      </c>
      <c r="L141" s="35">
        <v>3.2451166516109606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3.4422747754232992</v>
      </c>
      <c r="J142" s="35">
        <v>3.4524136783939983</v>
      </c>
      <c r="K142" s="35">
        <v>3.5178243798765934</v>
      </c>
      <c r="L142" s="35">
        <v>3.3474954531767538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3.600745828855318</v>
      </c>
      <c r="J143" s="35">
        <v>3.6108847318260167</v>
      </c>
      <c r="K143" s="35">
        <v>3.6897378728372598</v>
      </c>
      <c r="L143" s="35">
        <v>3.5557660544012846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3.7696599523471561</v>
      </c>
      <c r="J144" s="35">
        <v>3.7797988553178552</v>
      </c>
      <c r="K144" s="35">
        <v>3.8982088736383576</v>
      </c>
      <c r="L144" s="35">
        <v>3.5971190605239385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3.5792513545574369</v>
      </c>
      <c r="J145" s="35">
        <v>3.5893902575281356</v>
      </c>
      <c r="K145" s="35">
        <v>3.9615890288744589</v>
      </c>
      <c r="L145" s="35">
        <v>3.5591786811201445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3.9541879864138703</v>
      </c>
      <c r="J146" s="35">
        <v>3.9643268893845689</v>
      </c>
      <c r="K146" s="35">
        <v>4.0866923418241488</v>
      </c>
      <c r="L146" s="35">
        <v>3.6807284151360031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4.0005227729899628</v>
      </c>
      <c r="J147" s="35">
        <v>4.0106616759606615</v>
      </c>
      <c r="K147" s="35">
        <v>4.5625095366481148</v>
      </c>
      <c r="L147" s="35">
        <v>3.8495530663454782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4.4766456564939681</v>
      </c>
      <c r="J148" s="35">
        <v>4.4867845594646667</v>
      </c>
      <c r="K148" s="35">
        <v>4.7181637414191284</v>
      </c>
      <c r="L148" s="35">
        <v>4.225544233664559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5.0634853604380003</v>
      </c>
      <c r="J149" s="35">
        <v>5.073624263408699</v>
      </c>
      <c r="K149" s="35">
        <v>5.2372699965187319</v>
      </c>
      <c r="L149" s="35">
        <v>5.1393252233263071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4.664012583392477</v>
      </c>
      <c r="J150" s="35">
        <v>4.6741514863631748</v>
      </c>
      <c r="K150" s="35">
        <v>4.7966639990481559</v>
      </c>
      <c r="L150" s="35">
        <v>4.8516608652012447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3.3144232089627903</v>
      </c>
      <c r="J151" s="35">
        <v>3.3245621119334889</v>
      </c>
      <c r="K151" s="35">
        <v>3.7066185350978555</v>
      </c>
      <c r="L151" s="35">
        <v>3.3959748268593799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3.6529611791544156</v>
      </c>
      <c r="J152" s="35">
        <v>3.6631000821251147</v>
      </c>
      <c r="K152" s="35">
        <v>3.3918407869930682</v>
      </c>
      <c r="L152" s="35">
        <v>3.2121948409113723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3.5856388634289771</v>
      </c>
      <c r="J153" s="35">
        <v>3.5957777663996757</v>
      </c>
      <c r="K153" s="35">
        <v>3.3893035095367212</v>
      </c>
      <c r="L153" s="35">
        <v>3.1074071263675598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3.2921176224272535</v>
      </c>
      <c r="J154" s="35">
        <v>3.3022565253979521</v>
      </c>
      <c r="K154" s="35">
        <v>3.4307802287721114</v>
      </c>
      <c r="L154" s="35">
        <v>3.1988454481581852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3.4935776244550341</v>
      </c>
      <c r="J155" s="35">
        <v>3.5037165274257331</v>
      </c>
      <c r="K155" s="35">
        <v>3.6688700602881186</v>
      </c>
      <c r="L155" s="35">
        <v>3.4497738833684632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3.7773655186048867</v>
      </c>
      <c r="J156" s="35">
        <v>3.7875044215755858</v>
      </c>
      <c r="K156" s="35">
        <v>3.9293811395306228</v>
      </c>
      <c r="L156" s="35">
        <v>3.6047472849543309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3.5571485460813141</v>
      </c>
      <c r="J157" s="35">
        <v>3.5672874490520132</v>
      </c>
      <c r="K157" s="35">
        <v>3.9518023872571195</v>
      </c>
      <c r="L157" s="35">
        <v>3.537297721569808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3.9652393906519317</v>
      </c>
      <c r="J158" s="35">
        <v>3.9753782936226303</v>
      </c>
      <c r="K158" s="35">
        <v>4.0979288562736862</v>
      </c>
      <c r="L158" s="35">
        <v>3.6916688949111713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4.0241464169116901</v>
      </c>
      <c r="J159" s="35">
        <v>4.0342853198823887</v>
      </c>
      <c r="K159" s="35">
        <v>4.5731764581992893</v>
      </c>
      <c r="L159" s="35">
        <v>3.8729395965070759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4.4944901257223968</v>
      </c>
      <c r="J160" s="35">
        <v>4.5046290286930954</v>
      </c>
      <c r="K160" s="35">
        <v>4.7057362600002843</v>
      </c>
      <c r="L160" s="35">
        <v>4.2431092241292783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4.9449615847105353</v>
      </c>
      <c r="J161" s="35">
        <v>4.955100487681233</v>
      </c>
      <c r="K161" s="35">
        <v>5.1618766092444153</v>
      </c>
      <c r="L161" s="35">
        <v>5.0219910870219806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4.4375094910270709</v>
      </c>
      <c r="J162" s="35">
        <v>4.4476483939977696</v>
      </c>
      <c r="K162" s="35">
        <v>4.5841022856133558</v>
      </c>
      <c r="L162" s="35">
        <v>4.6275315868714246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3.4394358825915035</v>
      </c>
      <c r="J163" s="35">
        <v>3.4495747855622025</v>
      </c>
      <c r="K163" s="35">
        <v>3.8351911866103059</v>
      </c>
      <c r="L163" s="35">
        <v>3.5197327311050888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3.7888224789617766</v>
      </c>
      <c r="J164" s="35">
        <v>3.7989613819324752</v>
      </c>
      <c r="K164" s="35">
        <v>3.5317017341276347</v>
      </c>
      <c r="L164" s="35">
        <v>3.3467928535581648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3.7160251556321606</v>
      </c>
      <c r="J165" s="35">
        <v>3.7261640586028597</v>
      </c>
      <c r="K165" s="35">
        <v>3.5254362122456353</v>
      </c>
      <c r="L165" s="35">
        <v>3.2364847134397272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3.4195636327689343</v>
      </c>
      <c r="J166" s="35">
        <v>3.4297025357396329</v>
      </c>
      <c r="K166" s="35">
        <v>3.5919750190090256</v>
      </c>
      <c r="L166" s="35">
        <v>3.325012265381913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3.6149402930142962</v>
      </c>
      <c r="J167" s="35">
        <v>3.6250791959849948</v>
      </c>
      <c r="K167" s="35">
        <v>3.8250938579574951</v>
      </c>
      <c r="L167" s="35">
        <v>3.5698180467730602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3.9210337736996856</v>
      </c>
      <c r="J168" s="35">
        <v>3.9311726766703847</v>
      </c>
      <c r="K168" s="35">
        <v>4.0930096448787276</v>
      </c>
      <c r="L168" s="35">
        <v>3.7469735220315168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3.7190668265233704</v>
      </c>
      <c r="J169" s="35">
        <v>3.729205729494069</v>
      </c>
      <c r="K169" s="35">
        <v>4.1317937431400349</v>
      </c>
      <c r="L169" s="35">
        <v>3.6975908059821339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4.0872103933894355</v>
      </c>
      <c r="J170" s="35">
        <v>4.0973492963601341</v>
      </c>
      <c r="K170" s="35">
        <v>4.2272264442022358</v>
      </c>
      <c r="L170" s="35">
        <v>3.8124156579343569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4.1575743800060838</v>
      </c>
      <c r="J171" s="35">
        <v>4.1677132829767825</v>
      </c>
      <c r="K171" s="35">
        <v>4.7103447843597728</v>
      </c>
      <c r="L171" s="35">
        <v>4.0049279534276829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4.652555623035588</v>
      </c>
      <c r="J172" s="35">
        <v>4.6626945260062866</v>
      </c>
      <c r="K172" s="35">
        <v>4.9335734193457466</v>
      </c>
      <c r="L172" s="35">
        <v>4.3995881963264072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4.9755810716820443</v>
      </c>
      <c r="J173" s="35">
        <v>4.985719974652743</v>
      </c>
      <c r="K173" s="35">
        <v>5.1941880609334081</v>
      </c>
      <c r="L173" s="35">
        <v>5.0523032419953822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4.8343461533002126</v>
      </c>
      <c r="J174" s="35">
        <v>4.8444850562709112</v>
      </c>
      <c r="K174" s="35">
        <v>4.9926039560852535</v>
      </c>
      <c r="L174" s="35">
        <v>5.0203851450366352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3.529773508060428</v>
      </c>
      <c r="J175" s="35">
        <v>3.5399124110311266</v>
      </c>
      <c r="K175" s="35">
        <v>3.9483330486943595</v>
      </c>
      <c r="L175" s="35">
        <v>3.6090632540399477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3.8518864554395216</v>
      </c>
      <c r="J176" s="35">
        <v>3.8620253584102202</v>
      </c>
      <c r="K176" s="35">
        <v>3.6143962667355218</v>
      </c>
      <c r="L176" s="35">
        <v>3.4092238482384825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3.7478613109601544</v>
      </c>
      <c r="J177" s="35">
        <v>3.758000213930853</v>
      </c>
      <c r="K177" s="35">
        <v>3.5949265458460005</v>
      </c>
      <c r="L177" s="35">
        <v>3.2680013249021376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3.4522109003345838</v>
      </c>
      <c r="J178" s="35">
        <v>3.4623498033052824</v>
      </c>
      <c r="K178" s="35">
        <v>3.661724258472284</v>
      </c>
      <c r="L178" s="35">
        <v>3.3573318478369969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3.6975723522254889</v>
      </c>
      <c r="J179" s="35">
        <v>3.7077112551961879</v>
      </c>
      <c r="K179" s="35">
        <v>3.9068045482863907</v>
      </c>
      <c r="L179" s="35">
        <v>3.6516207166516108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3.9671657822163642</v>
      </c>
      <c r="J180" s="35">
        <v>3.9773046851870633</v>
      </c>
      <c r="K180" s="35">
        <v>4.1995752980453096</v>
      </c>
      <c r="L180" s="35">
        <v>3.7926424972397874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3.7514099269998988</v>
      </c>
      <c r="J181" s="35">
        <v>3.7615488299705975</v>
      </c>
      <c r="K181" s="35">
        <v>4.1960541783099714</v>
      </c>
      <c r="L181" s="35">
        <v>3.7296092743149654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4.1536202078475117</v>
      </c>
      <c r="J182" s="35">
        <v>4.1637591108182095</v>
      </c>
      <c r="K182" s="35">
        <v>4.3126135977842059</v>
      </c>
      <c r="L182" s="35">
        <v>3.8781589079594498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4.2094855632160604</v>
      </c>
      <c r="J183" s="35">
        <v>4.2196244661867581</v>
      </c>
      <c r="K183" s="35">
        <v>4.7892592913694276</v>
      </c>
      <c r="L183" s="35">
        <v>4.056418468332831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4.6423153310351815</v>
      </c>
      <c r="J184" s="35">
        <v>4.6524542340058801</v>
      </c>
      <c r="K184" s="35">
        <v>4.9715808000183763</v>
      </c>
      <c r="L184" s="35">
        <v>4.3894506875439125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4.9443532505322922</v>
      </c>
      <c r="J185" s="35">
        <v>4.9544921535029909</v>
      </c>
      <c r="K185" s="35">
        <v>5.213502438305194</v>
      </c>
      <c r="L185" s="35">
        <v>5.0213888587774766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4.7129834847409509</v>
      </c>
      <c r="J186" s="35">
        <v>4.7231223877116495</v>
      </c>
      <c r="K186" s="35">
        <v>4.8674488619629841</v>
      </c>
      <c r="L186" s="35">
        <v>4.9002406102579545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3.4918540109500156</v>
      </c>
      <c r="J187" s="35">
        <v>3.5019929139207142</v>
      </c>
      <c r="K187" s="35">
        <v>3.9372000965899789</v>
      </c>
      <c r="L187" s="35">
        <v>3.5715243601324898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3.8444850562709116</v>
      </c>
      <c r="J188" s="35">
        <v>3.8546239592416103</v>
      </c>
      <c r="K188" s="35">
        <v>3.6034704393214558</v>
      </c>
      <c r="L188" s="35">
        <v>3.4018967379303424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3.7288001733752409</v>
      </c>
      <c r="J189" s="35">
        <v>3.7389390763459396</v>
      </c>
      <c r="K189" s="35">
        <v>3.5977227291652403</v>
      </c>
      <c r="L189" s="35">
        <v>3.2490311352002408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3.4712720379194972</v>
      </c>
      <c r="J190" s="35">
        <v>3.4814109408901959</v>
      </c>
      <c r="K190" s="35">
        <v>3.647432654840614</v>
      </c>
      <c r="L190" s="35">
        <v>3.3761012947907258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3.6897653969380513</v>
      </c>
      <c r="J191" s="35">
        <v>3.6999042999087504</v>
      </c>
      <c r="K191" s="35">
        <v>3.9166429710763087</v>
      </c>
      <c r="L191" s="35">
        <v>3.6439924922212183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3.9311726766703847</v>
      </c>
      <c r="J192" s="35">
        <v>3.9413115796410834</v>
      </c>
      <c r="K192" s="35">
        <v>4.1837302592362846</v>
      </c>
      <c r="L192" s="35">
        <v>3.7571110308140119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3.7138959860083141</v>
      </c>
      <c r="J193" s="35">
        <v>3.7240348889790127</v>
      </c>
      <c r="K193" s="35">
        <v>4.1736329305834738</v>
      </c>
      <c r="L193" s="35">
        <v>3.6925722372779282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4.1117465385785259</v>
      </c>
      <c r="J194" s="35">
        <v>4.1218854415492245</v>
      </c>
      <c r="K194" s="35">
        <v>4.2750722476647827</v>
      </c>
      <c r="L194" s="35">
        <v>3.8367055304627118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4.1846452509378489</v>
      </c>
      <c r="J195" s="35">
        <v>4.1947841539085475</v>
      </c>
      <c r="K195" s="35">
        <v>4.7795762120972451</v>
      </c>
      <c r="L195" s="35">
        <v>4.0318274816822237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4.6505278424414485</v>
      </c>
      <c r="J196" s="35">
        <v>4.6606667454121471</v>
      </c>
      <c r="K196" s="35">
        <v>4.9256508999412336</v>
      </c>
      <c r="L196" s="35">
        <v>4.3976811402188094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5.1114423714894048</v>
      </c>
      <c r="J197" s="35">
        <v>5.1215812744601026</v>
      </c>
      <c r="K197" s="35">
        <v>5.3940116059138941</v>
      </c>
      <c r="L197" s="35">
        <v>5.1868008832680914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4.978318575484133</v>
      </c>
      <c r="J198" s="35">
        <v>4.9884574784548317</v>
      </c>
      <c r="K198" s="35">
        <v>5.1439603235322489</v>
      </c>
      <c r="L198" s="35">
        <v>5.162912496236074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3.6208208567373008</v>
      </c>
      <c r="J199" s="35">
        <v>3.6309597597079999</v>
      </c>
      <c r="K199" s="35">
        <v>4.0746273286133547</v>
      </c>
      <c r="L199" s="35">
        <v>3.6991967479674797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3.9759866278008724</v>
      </c>
      <c r="J200" s="35">
        <v>3.9861255307715711</v>
      </c>
      <c r="K200" s="35">
        <v>3.7427100123850798</v>
      </c>
      <c r="L200" s="35">
        <v>3.5319780387433504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3.899539299401805</v>
      </c>
      <c r="J201" s="35">
        <v>3.9096782023725036</v>
      </c>
      <c r="K201" s="35">
        <v>3.732768027250005</v>
      </c>
      <c r="L201" s="35">
        <v>3.4180565291578842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3.5994277714691267</v>
      </c>
      <c r="J202" s="35">
        <v>3.6095666744398258</v>
      </c>
      <c r="K202" s="35">
        <v>3.7835653575495276</v>
      </c>
      <c r="L202" s="35">
        <v>3.5029707116330422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3.7990627709621823</v>
      </c>
      <c r="J203" s="35">
        <v>3.8092016739328809</v>
      </c>
      <c r="K203" s="35">
        <v>4.0460441213500156</v>
      </c>
      <c r="L203" s="35">
        <v>3.7521928334838903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4.0807214954881887</v>
      </c>
      <c r="J204" s="35">
        <v>4.0908603984588865</v>
      </c>
      <c r="K204" s="35">
        <v>4.3372096547590004</v>
      </c>
      <c r="L204" s="35">
        <v>3.9050584362139915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3.868919812430295</v>
      </c>
      <c r="J205" s="35">
        <v>3.8790587154009937</v>
      </c>
      <c r="K205" s="35">
        <v>4.3494817926601073</v>
      </c>
      <c r="L205" s="35">
        <v>3.8459396968784501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4.2744759312582374</v>
      </c>
      <c r="J206" s="35">
        <v>4.2846148342289361</v>
      </c>
      <c r="K206" s="35">
        <v>4.4526298884365083</v>
      </c>
      <c r="L206" s="35">
        <v>3.9977012144936266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4.3245621119334894</v>
      </c>
      <c r="J207" s="35">
        <v>4.3347010149041871</v>
      </c>
      <c r="K207" s="35">
        <v>4.9456902137291188</v>
      </c>
      <c r="L207" s="35">
        <v>4.1703399779182977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4.8195433549629936</v>
      </c>
      <c r="J208" s="35">
        <v>4.8296822579336913</v>
      </c>
      <c r="K208" s="35">
        <v>5.0991178280792564</v>
      </c>
      <c r="L208" s="35">
        <v>4.5648998494429387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5.1575743800060838</v>
      </c>
      <c r="J209" s="35">
        <v>5.1677132829767825</v>
      </c>
      <c r="K209" s="35">
        <v>5.4516440509937789</v>
      </c>
      <c r="L209" s="35">
        <v>5.232469858476362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4.713490429889486</v>
      </c>
      <c r="J210" s="35">
        <v>4.7236293328601837</v>
      </c>
      <c r="K210" s="35">
        <v>4.8965498809521097</v>
      </c>
      <c r="L210" s="35">
        <v>4.9007424671283744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3.7326529565041064</v>
      </c>
      <c r="J211" s="35">
        <v>3.7427918594748051</v>
      </c>
      <c r="K211" s="35">
        <v>4.1848694450330122</v>
      </c>
      <c r="L211" s="35">
        <v>3.8099063735822543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4.1221896086383456</v>
      </c>
      <c r="J212" s="35">
        <v>4.1323285116090434</v>
      </c>
      <c r="K212" s="35">
        <v>3.8912184153402585</v>
      </c>
      <c r="L212" s="35">
        <v>3.676813931546723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3.9963658227719763</v>
      </c>
      <c r="J213" s="35">
        <v>4.0065047257426754</v>
      </c>
      <c r="K213" s="35">
        <v>3.8834512394534806</v>
      </c>
      <c r="L213" s="35">
        <v>3.5140115627822945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3.7425890814153906</v>
      </c>
      <c r="J214" s="35">
        <v>3.7527279843860897</v>
      </c>
      <c r="K214" s="35">
        <v>3.9423782138478303</v>
      </c>
      <c r="L214" s="35">
        <v>3.6447954632138915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4.0004213839602558</v>
      </c>
      <c r="J215" s="35">
        <v>4.0105602869309545</v>
      </c>
      <c r="K215" s="35">
        <v>4.2805610519581059</v>
      </c>
      <c r="L215" s="35">
        <v>3.9514300110408511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4.2472022822670592</v>
      </c>
      <c r="J216" s="35">
        <v>4.2573411852377578</v>
      </c>
      <c r="K216" s="35">
        <v>4.5071036819891042</v>
      </c>
      <c r="L216" s="35">
        <v>4.0698682324601023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4.0311422599614719</v>
      </c>
      <c r="J217" s="35">
        <v>4.0412811629321714</v>
      </c>
      <c r="K217" s="35">
        <v>4.5249164053561133</v>
      </c>
      <c r="L217" s="35">
        <v>4.0065338954130283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4.4617414691270403</v>
      </c>
      <c r="J218" s="35">
        <v>4.4718803720977389</v>
      </c>
      <c r="K218" s="35">
        <v>4.6547318050104476</v>
      </c>
      <c r="L218" s="35">
        <v>4.18308714242698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4.5020943029504208</v>
      </c>
      <c r="J219" s="35">
        <v>4.5122332059211185</v>
      </c>
      <c r="K219" s="35">
        <v>5.1290991270022159</v>
      </c>
      <c r="L219" s="35">
        <v>4.3460902539395763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4.9528699290276794</v>
      </c>
      <c r="J220" s="35">
        <v>4.9630088319983781</v>
      </c>
      <c r="K220" s="35">
        <v>5.2476262310344346</v>
      </c>
      <c r="L220" s="35">
        <v>4.6969885777376295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5.3998941610057791</v>
      </c>
      <c r="J221" s="35">
        <v>5.4100330639764778</v>
      </c>
      <c r="K221" s="35">
        <v>5.6912355365145642</v>
      </c>
      <c r="L221" s="35">
        <v>5.4723574425373886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5.180995245868397</v>
      </c>
      <c r="J222" s="35">
        <v>5.1911341488390956</v>
      </c>
      <c r="K222" s="35">
        <v>5.3561077875864216</v>
      </c>
      <c r="L222" s="35">
        <v>5.3635548730302114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3.9147476538578529</v>
      </c>
      <c r="J223" s="35">
        <v>3.9248865568285516</v>
      </c>
      <c r="K223" s="35">
        <v>4.383398460699035</v>
      </c>
      <c r="L223" s="35">
        <v>3.9901733614373178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4.2742731531988243</v>
      </c>
      <c r="J224" s="35">
        <v>4.2844120561695229</v>
      </c>
      <c r="K224" s="35">
        <v>4.0506526457095031</v>
      </c>
      <c r="L224" s="35">
        <v>3.8273709926728894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4.1934660965223571</v>
      </c>
      <c r="J225" s="35">
        <v>4.2036049994930549</v>
      </c>
      <c r="K225" s="35">
        <v>4.0403999735389569</v>
      </c>
      <c r="L225" s="35">
        <v>3.7090331426277223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3.8912253989658319</v>
      </c>
      <c r="J226" s="35">
        <v>3.9013643019365309</v>
      </c>
      <c r="K226" s="35">
        <v>4.09849844917205</v>
      </c>
      <c r="L226" s="35">
        <v>3.7919398976211984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4.1073868103011257</v>
      </c>
      <c r="J227" s="35">
        <v>4.1175257132718244</v>
      </c>
      <c r="K227" s="35">
        <v>4.3723690709398113</v>
      </c>
      <c r="L227" s="35">
        <v>4.0574221820736724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4.3336871246071178</v>
      </c>
      <c r="J228" s="35">
        <v>4.3438260275778164</v>
      </c>
      <c r="K228" s="35">
        <v>4.5982385457272894</v>
      </c>
      <c r="L228" s="35">
        <v>4.1554850145538493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4.1211757183412763</v>
      </c>
      <c r="J229" s="35">
        <v>4.131314621311974</v>
      </c>
      <c r="K229" s="35">
        <v>4.6118569941154384</v>
      </c>
      <c r="L229" s="35">
        <v>4.0956636755997184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4.571951344418534</v>
      </c>
      <c r="J230" s="35">
        <v>4.5820902473892327</v>
      </c>
      <c r="K230" s="35">
        <v>4.780197586168188</v>
      </c>
      <c r="L230" s="35">
        <v>4.2922911974304929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4.6745570424820038</v>
      </c>
      <c r="J231" s="35">
        <v>4.6846959454527024</v>
      </c>
      <c r="K231" s="35">
        <v>5.3086244523319239</v>
      </c>
      <c r="L231" s="35">
        <v>4.5167215898825654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5.181198023927811</v>
      </c>
      <c r="J232" s="35">
        <v>5.1913369268985097</v>
      </c>
      <c r="K232" s="35">
        <v>5.490428149255087</v>
      </c>
      <c r="L232" s="35">
        <v>4.9229245408009632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5.548834645645341</v>
      </c>
      <c r="J233" s="35">
        <v>5.5589735486160397</v>
      </c>
      <c r="K233" s="35">
        <v>5.857712006354487</v>
      </c>
      <c r="L233" s="35">
        <v>5.6198029910669476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5.3439274166075235</v>
      </c>
      <c r="J234" s="35">
        <v>5.3540663195782212</v>
      </c>
      <c r="K234" s="35">
        <v>5.5331476166323608</v>
      </c>
      <c r="L234" s="35">
        <v>5.5248516711833782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4.146624364797729</v>
      </c>
      <c r="J235" s="35">
        <v>4.1567632677684268</v>
      </c>
      <c r="K235" s="35">
        <v>4.6096821848671414</v>
      </c>
      <c r="L235" s="35">
        <v>4.2198230653417648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4.4489664513839609</v>
      </c>
      <c r="J236" s="35">
        <v>4.4591053543546586</v>
      </c>
      <c r="K236" s="35">
        <v>4.265389168392602</v>
      </c>
      <c r="L236" s="35">
        <v>4.0002104988457292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4.3969538791442764</v>
      </c>
      <c r="J237" s="35">
        <v>4.407092782114975</v>
      </c>
      <c r="K237" s="35">
        <v>4.2559649949833114</v>
      </c>
      <c r="L237" s="35">
        <v>3.9104784904145338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4.0914687326371295</v>
      </c>
      <c r="J238" s="35">
        <v>4.1016076356078273</v>
      </c>
      <c r="K238" s="35">
        <v>4.2980113071170649</v>
      </c>
      <c r="L238" s="35">
        <v>3.9901733614373178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4.1851521960863831</v>
      </c>
      <c r="J239" s="35">
        <v>4.1952910990570818</v>
      </c>
      <c r="K239" s="35">
        <v>4.5252788735641625</v>
      </c>
      <c r="L239" s="35">
        <v>4.134407025996186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4.5712416212105849</v>
      </c>
      <c r="J240" s="35">
        <v>4.5813805241812835</v>
      </c>
      <c r="K240" s="35">
        <v>4.8431117108510824</v>
      </c>
      <c r="L240" s="35">
        <v>4.3906551440329222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4.3635968883706786</v>
      </c>
      <c r="J241" s="35">
        <v>4.3737357913413772</v>
      </c>
      <c r="K241" s="35">
        <v>4.8638241798824886</v>
      </c>
      <c r="L241" s="35">
        <v>4.3356516310348292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4.7794946882287332</v>
      </c>
      <c r="J242" s="35">
        <v>4.7896335911994319</v>
      </c>
      <c r="K242" s="35">
        <v>4.9938467042271375</v>
      </c>
      <c r="L242" s="35">
        <v>4.4976510288065841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4.8517850664098141</v>
      </c>
      <c r="J243" s="35">
        <v>4.8619239693805127</v>
      </c>
      <c r="K243" s="35">
        <v>5.484110846200509</v>
      </c>
      <c r="L243" s="35">
        <v>4.6921707517815916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5.3451440849640068</v>
      </c>
      <c r="J244" s="35">
        <v>5.3552829879347055</v>
      </c>
      <c r="K244" s="35">
        <v>5.6586133977901021</v>
      </c>
      <c r="L244" s="35">
        <v>5.0853254240690555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5.725555724424618</v>
      </c>
      <c r="J245" s="35">
        <v>5.7356946273953158</v>
      </c>
      <c r="K245" s="35">
        <v>6.0475935661998994</v>
      </c>
      <c r="L245" s="35">
        <v>5.794750296095553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5.6024694423603369</v>
      </c>
      <c r="J246" s="35">
        <v>5.6126083453310347</v>
      </c>
      <c r="K246" s="35">
        <v>5.7994581872036592</v>
      </c>
      <c r="L246" s="35">
        <v>5.7807986750978619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4.2388883818310861</v>
      </c>
      <c r="J247" s="35">
        <v>4.2490272848017838</v>
      </c>
      <c r="K247" s="35">
        <v>4.7364942765119222</v>
      </c>
      <c r="L247" s="35">
        <v>4.3110606443842219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4.5506596481800674</v>
      </c>
      <c r="J248" s="35">
        <v>4.5607985511507652</v>
      </c>
      <c r="K248" s="35">
        <v>4.3507245408019921</v>
      </c>
      <c r="L248" s="35">
        <v>4.1009833584261761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4.4738067636621714</v>
      </c>
      <c r="J249" s="35">
        <v>4.4839456666328701</v>
      </c>
      <c r="K249" s="35">
        <v>4.3432162707781075</v>
      </c>
      <c r="L249" s="35">
        <v>3.9866603633443742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4.1684230061847307</v>
      </c>
      <c r="J250" s="35">
        <v>4.1785619091554294</v>
      </c>
      <c r="K250" s="35">
        <v>4.3990881559903245</v>
      </c>
      <c r="L250" s="35">
        <v>4.0663552343671583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4.2956662384669979</v>
      </c>
      <c r="J251" s="35">
        <v>4.3058051414376965</v>
      </c>
      <c r="K251" s="35">
        <v>4.5911445250840321</v>
      </c>
      <c r="L251" s="35">
        <v>4.2437114523737831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4.5900999807360847</v>
      </c>
      <c r="J252" s="35">
        <v>4.6002388837067825</v>
      </c>
      <c r="K252" s="35">
        <v>4.8877470816137611</v>
      </c>
      <c r="L252" s="35">
        <v>4.4093242196125662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4.3703899533610473</v>
      </c>
      <c r="J253" s="35">
        <v>4.380528856331745</v>
      </c>
      <c r="K253" s="35">
        <v>4.8894040791362734</v>
      </c>
      <c r="L253" s="35">
        <v>4.342376513098464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4.8199489110818208</v>
      </c>
      <c r="J254" s="35">
        <v>4.8300878140525194</v>
      </c>
      <c r="K254" s="35">
        <v>5.0331486142142294</v>
      </c>
      <c r="L254" s="35">
        <v>4.5377995784402287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4.8904142867281761</v>
      </c>
      <c r="J255" s="35">
        <v>4.9005531896988739</v>
      </c>
      <c r="K255" s="35">
        <v>5.5333029601500963</v>
      </c>
      <c r="L255" s="35">
        <v>4.7305126166817217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5.4119594555409103</v>
      </c>
      <c r="J256" s="35">
        <v>5.4220983585116089</v>
      </c>
      <c r="K256" s="35">
        <v>5.7656968626824687</v>
      </c>
      <c r="L256" s="35">
        <v>5.1514701595904846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5.7344779590388324</v>
      </c>
      <c r="J257" s="35">
        <v>5.744616862009531</v>
      </c>
      <c r="K257" s="35">
        <v>6.0461954745402791</v>
      </c>
      <c r="L257" s="35">
        <v>5.8034826056408706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5.2542995143465481</v>
      </c>
      <c r="J258" s="35">
        <v>5.2644384173172458</v>
      </c>
      <c r="K258" s="35">
        <v>5.45583832597264</v>
      </c>
      <c r="L258" s="35">
        <v>5.4361233764930246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4.4117566774814971</v>
      </c>
      <c r="J259" s="35">
        <v>4.4218955804521958</v>
      </c>
      <c r="K259" s="35">
        <v>4.9200067521301758</v>
      </c>
      <c r="L259" s="35">
        <v>4.482294208571715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4.725555724424618</v>
      </c>
      <c r="J260" s="35">
        <v>4.7356946273953158</v>
      </c>
      <c r="K260" s="35">
        <v>4.5470787472197181</v>
      </c>
      <c r="L260" s="35">
        <v>4.2741239787212688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4.6444445006590289</v>
      </c>
      <c r="J261" s="35">
        <v>4.6545834036297276</v>
      </c>
      <c r="K261" s="35">
        <v>4.5377063549830066</v>
      </c>
      <c r="L261" s="35">
        <v>4.1555853859279335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4.2937398469025654</v>
      </c>
      <c r="J262" s="35">
        <v>4.3038787498732631</v>
      </c>
      <c r="K262" s="35">
        <v>4.5852932525826606</v>
      </c>
      <c r="L262" s="35">
        <v>4.1904142527351196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4.5263262810503901</v>
      </c>
      <c r="J263" s="35">
        <v>4.5364651840210888</v>
      </c>
      <c r="K263" s="35">
        <v>4.8629438999486529</v>
      </c>
      <c r="L263" s="35">
        <v>4.4720563284151353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4.8531031237960054</v>
      </c>
      <c r="J264" s="35">
        <v>4.863242026766704</v>
      </c>
      <c r="K264" s="35">
        <v>5.175753963495457</v>
      </c>
      <c r="L264" s="35">
        <v>4.6697879353608345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4.6456611690155123</v>
      </c>
      <c r="J265" s="35">
        <v>4.6558000719862109</v>
      </c>
      <c r="K265" s="35">
        <v>5.2077029469763998</v>
      </c>
      <c r="L265" s="35">
        <v>4.6148847937368265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5.0789978819831694</v>
      </c>
      <c r="J266" s="35">
        <v>5.089136784953868</v>
      </c>
      <c r="K266" s="35">
        <v>5.3164434093912796</v>
      </c>
      <c r="L266" s="35">
        <v>4.7942484392251332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5.1597035496299304</v>
      </c>
      <c r="J267" s="35">
        <v>5.1698424526006281</v>
      </c>
      <c r="K267" s="35">
        <v>5.8275235827412146</v>
      </c>
      <c r="L267" s="35">
        <v>4.9970989862491217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5.7181543252560081</v>
      </c>
      <c r="J268" s="35">
        <v>5.7282932282267058</v>
      </c>
      <c r="K268" s="35">
        <v>6.0553607420866769</v>
      </c>
      <c r="L268" s="35">
        <v>5.4545917093245002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5.8904142867281761</v>
      </c>
      <c r="J269" s="35">
        <v>5.9005531896988739</v>
      </c>
      <c r="K269" s="35">
        <v>6.2219407742717561</v>
      </c>
      <c r="L269" s="35">
        <v>5.9579541503563185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5.7872002544864642</v>
      </c>
      <c r="J270" s="35">
        <v>5.7973391574571629</v>
      </c>
      <c r="K270" s="35">
        <v>5.9897539964296982</v>
      </c>
      <c r="L270" s="35">
        <v>5.9636753186791127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4.6958487387204704</v>
      </c>
      <c r="J271" s="35">
        <v>4.705987641691169</v>
      </c>
      <c r="K271" s="35">
        <v>5.2456585464764514</v>
      </c>
      <c r="L271" s="35">
        <v>4.763434427381311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5.0174547409510293</v>
      </c>
      <c r="J272" s="35">
        <v>5.0275936439217279</v>
      </c>
      <c r="K272" s="35">
        <v>4.8497397009411323</v>
      </c>
      <c r="L272" s="35">
        <v>4.5630931647094242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4.9324907340565751</v>
      </c>
      <c r="J273" s="35">
        <v>4.9426296370272738</v>
      </c>
      <c r="K273" s="35">
        <v>4.8390209982173804</v>
      </c>
      <c r="L273" s="35">
        <v>4.4407404597008933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4.6401861614113358</v>
      </c>
      <c r="J274" s="35">
        <v>4.6503250643820344</v>
      </c>
      <c r="K274" s="35">
        <v>4.882310058493017</v>
      </c>
      <c r="L274" s="35">
        <v>4.5333832379805283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4.763677999594444</v>
      </c>
      <c r="J275" s="35">
        <v>4.7738169025651418</v>
      </c>
      <c r="K275" s="35">
        <v>5.1254226637491413</v>
      </c>
      <c r="L275" s="35">
        <v>4.7070257151460408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5.0323589283179562</v>
      </c>
      <c r="J276" s="35">
        <v>5.0424978312886548</v>
      </c>
      <c r="K276" s="35">
        <v>5.3658426480311823</v>
      </c>
      <c r="L276" s="35">
        <v>4.8471441533674593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4.7691530071986215</v>
      </c>
      <c r="J277" s="35">
        <v>4.7792919101693201</v>
      </c>
      <c r="K277" s="35">
        <v>5.3750596967501583</v>
      </c>
      <c r="L277" s="35">
        <v>4.7371371273712732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5.2941454030213935</v>
      </c>
      <c r="J278" s="35">
        <v>5.3042843059920912</v>
      </c>
      <c r="K278" s="35">
        <v>5.5469731897108252</v>
      </c>
      <c r="L278" s="35">
        <v>5.0071361236575322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5.3675510605292507</v>
      </c>
      <c r="J279" s="35">
        <v>5.3776899634999493</v>
      </c>
      <c r="K279" s="35">
        <v>6.0600210476187417</v>
      </c>
      <c r="L279" s="35">
        <v>5.2028603031215495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5.9651380016222246</v>
      </c>
      <c r="J280" s="35">
        <v>5.9752769045929233</v>
      </c>
      <c r="K280" s="35">
        <v>6.3272636792964532</v>
      </c>
      <c r="L280" s="35">
        <v>5.6990963765933955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6.20411194464159</v>
      </c>
      <c r="J281" s="35">
        <v>6.2142508476122877</v>
      </c>
      <c r="K281" s="35">
        <v>6.5413788279086091</v>
      </c>
      <c r="L281" s="35">
        <v>6.2685031817725587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6.050406175605799</v>
      </c>
      <c r="J282" s="35">
        <v>6.0605450785764976</v>
      </c>
      <c r="K282" s="35">
        <v>6.2807124051483694</v>
      </c>
      <c r="L282" s="35">
        <v>6.2242394058014652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4.974263014295853</v>
      </c>
      <c r="J283" s="35">
        <v>4.9844019172665517</v>
      </c>
      <c r="K283" s="35">
        <v>5.4855607190327067</v>
      </c>
      <c r="L283" s="35">
        <v>5.0390542206162801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5.2941454030213935</v>
      </c>
      <c r="J284" s="35">
        <v>5.3042843059920912</v>
      </c>
      <c r="K284" s="35">
        <v>5.1331380584633397</v>
      </c>
      <c r="L284" s="35">
        <v>4.8370066445849647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5.2051258349386602</v>
      </c>
      <c r="J285" s="35">
        <v>5.215264737909358</v>
      </c>
      <c r="K285" s="35">
        <v>5.1225746992573233</v>
      </c>
      <c r="L285" s="35">
        <v>4.7106390846130681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4.9107934816992804</v>
      </c>
      <c r="J286" s="35">
        <v>4.9209323846699782</v>
      </c>
      <c r="K286" s="35">
        <v>5.165553072497489</v>
      </c>
      <c r="L286" s="35">
        <v>4.8012744354110204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5.0552728490317351</v>
      </c>
      <c r="J287" s="35">
        <v>5.0654117520024329</v>
      </c>
      <c r="K287" s="35">
        <v>5.4987649180402283</v>
      </c>
      <c r="L287" s="35">
        <v>4.9957941583860288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5.4371039349082428</v>
      </c>
      <c r="J288" s="35">
        <v>5.4472428378789415</v>
      </c>
      <c r="K288" s="35">
        <v>5.7665253614437235</v>
      </c>
      <c r="L288" s="35">
        <v>5.2479270500853152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5.222970304167089</v>
      </c>
      <c r="J289" s="35">
        <v>5.2331092071377876</v>
      </c>
      <c r="K289" s="35">
        <v>5.8118338874499234</v>
      </c>
      <c r="L289" s="35">
        <v>5.1863993977717557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5.6554959048970899</v>
      </c>
      <c r="J290" s="35">
        <v>5.6656348078677885</v>
      </c>
      <c r="K290" s="35">
        <v>5.9122375810796628</v>
      </c>
      <c r="L290" s="35">
        <v>5.3649600722673894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5.744414083950117</v>
      </c>
      <c r="J291" s="35">
        <v>5.7545529869208156</v>
      </c>
      <c r="K291" s="35">
        <v>6.4335704266001414</v>
      </c>
      <c r="L291" s="35">
        <v>5.5759407005921906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6.2495342299503198</v>
      </c>
      <c r="J292" s="35">
        <v>6.2596731329210185</v>
      </c>
      <c r="K292" s="35">
        <v>6.6133546577927431</v>
      </c>
      <c r="L292" s="35">
        <v>5.9806380808993271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6.6319736500050697</v>
      </c>
      <c r="J293" s="35">
        <v>6.6421125529757683</v>
      </c>
      <c r="K293" s="35">
        <v>6.9981405512236812</v>
      </c>
      <c r="L293" s="35">
        <v>6.6919700090334233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6.3448399178748858</v>
      </c>
      <c r="J294" s="35">
        <v>6.3549788208455844</v>
      </c>
      <c r="K294" s="35">
        <v>6.5750365900846424</v>
      </c>
      <c r="L294" s="35">
        <v>6.515717876141724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5.3385537980330531</v>
      </c>
      <c r="J295" s="35">
        <v>5.3486927010037508</v>
      </c>
      <c r="K295" s="35">
        <v>5.8577637875270661</v>
      </c>
      <c r="L295" s="35">
        <v>5.3996885677004922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5.6991945767008012</v>
      </c>
      <c r="J296" s="35">
        <v>5.7093334796714998</v>
      </c>
      <c r="K296" s="35">
        <v>5.5393613573417833</v>
      </c>
      <c r="L296" s="35">
        <v>5.2379902840509889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5.5554249325762948</v>
      </c>
      <c r="J297" s="35">
        <v>5.5655638355469934</v>
      </c>
      <c r="K297" s="35">
        <v>5.4912048668437645</v>
      </c>
      <c r="L297" s="35">
        <v>5.0574221820736724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5.2596731329210185</v>
      </c>
      <c r="J298" s="35">
        <v>5.2698120358917162</v>
      </c>
      <c r="K298" s="35">
        <v>5.5272445629584102</v>
      </c>
      <c r="L298" s="35">
        <v>5.1465519622603635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5.34605658623137</v>
      </c>
      <c r="J299" s="35">
        <v>5.3561954892020687</v>
      </c>
      <c r="K299" s="35">
        <v>5.7186795579811776</v>
      </c>
      <c r="L299" s="35">
        <v>5.2836592592592586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5.6082486170536345</v>
      </c>
      <c r="J300" s="35">
        <v>5.6183875200243332</v>
      </c>
      <c r="K300" s="35">
        <v>5.9970033605906901</v>
      </c>
      <c r="L300" s="35">
        <v>5.4172535581652106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5.5095970911487377</v>
      </c>
      <c r="J301" s="35">
        <v>5.5197359941194364</v>
      </c>
      <c r="K301" s="35">
        <v>6.093730590967354</v>
      </c>
      <c r="L301" s="35">
        <v>5.4702496436816217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5.9681796725134344</v>
      </c>
      <c r="J302" s="35">
        <v>5.978318575484133</v>
      </c>
      <c r="K302" s="35">
        <v>6.2416176198515902</v>
      </c>
      <c r="L302" s="35">
        <v>5.6745053899427882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6.0828506651120344</v>
      </c>
      <c r="J303" s="35">
        <v>6.0929895680827331</v>
      </c>
      <c r="K303" s="35">
        <v>6.7814363439826</v>
      </c>
      <c r="L303" s="35">
        <v>5.910980347284954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6.6542792365406065</v>
      </c>
      <c r="J304" s="35">
        <v>6.6644181395113042</v>
      </c>
      <c r="K304" s="35">
        <v>7.0557729963035678</v>
      </c>
      <c r="L304" s="35">
        <v>6.3812202348690157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6.8647628622123085</v>
      </c>
      <c r="J305" s="35">
        <v>6.8749017651830071</v>
      </c>
      <c r="K305" s="35">
        <v>7.242340561103954</v>
      </c>
      <c r="L305" s="35">
        <v>6.9225230553046275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6.4542386809287242</v>
      </c>
      <c r="J306" s="35">
        <v>6.4643775838994229</v>
      </c>
      <c r="K306" s="35">
        <v>6.6857965182300845</v>
      </c>
      <c r="L306" s="35">
        <v>6.6239182174043965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5.6480945057284799</v>
      </c>
      <c r="J307" s="35">
        <v>5.6582334086991786</v>
      </c>
      <c r="K307" s="35">
        <v>6.1889043861666639</v>
      </c>
      <c r="L307" s="35">
        <v>5.7062227441533677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5.9878491442765895</v>
      </c>
      <c r="J308" s="35">
        <v>5.9979880472472882</v>
      </c>
      <c r="K308" s="35">
        <v>5.8460612425243212</v>
      </c>
      <c r="L308" s="35">
        <v>5.5237475860684535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5.8411392182905812</v>
      </c>
      <c r="J309" s="35">
        <v>5.8512781212612799</v>
      </c>
      <c r="K309" s="35">
        <v>5.8729356710925709</v>
      </c>
      <c r="L309" s="35">
        <v>5.3402687142426979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5.6223416921829061</v>
      </c>
      <c r="J310" s="35">
        <v>5.6324805951536048</v>
      </c>
      <c r="K310" s="35">
        <v>5.9020884712542738</v>
      </c>
      <c r="L310" s="35">
        <v>5.5056807387333135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5.6917931775321913</v>
      </c>
      <c r="J311" s="35">
        <v>5.701932080502889</v>
      </c>
      <c r="K311" s="35">
        <v>6.0204084505961779</v>
      </c>
      <c r="L311" s="35">
        <v>5.6258252735119942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6.0529409013484745</v>
      </c>
      <c r="J312" s="35">
        <v>6.0630798043191723</v>
      </c>
      <c r="K312" s="35">
        <v>6.3996537585612154</v>
      </c>
      <c r="L312" s="35">
        <v>5.8575827762722072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5.8827087204704451</v>
      </c>
      <c r="J313" s="35">
        <v>5.8928476234411429</v>
      </c>
      <c r="K313" s="35">
        <v>6.4661925653246062</v>
      </c>
      <c r="L313" s="35">
        <v>5.8395159289370664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6.3448399178748858</v>
      </c>
      <c r="J314" s="35">
        <v>6.3549788208455844</v>
      </c>
      <c r="K314" s="35">
        <v>6.6296657271549755</v>
      </c>
      <c r="L314" s="35">
        <v>6.0472846732911778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6.4870887265537878</v>
      </c>
      <c r="J315" s="35">
        <v>6.4972276295244855</v>
      </c>
      <c r="K315" s="35">
        <v>7.1963070986816549</v>
      </c>
      <c r="L315" s="35">
        <v>6.3111610157583051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7.039151993308324</v>
      </c>
      <c r="J316" s="35">
        <v>7.0492908962790226</v>
      </c>
      <c r="K316" s="35">
        <v>7.4580609260660431</v>
      </c>
      <c r="L316" s="35">
        <v>6.7623303422663854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7.2821814975159684</v>
      </c>
      <c r="J317" s="35">
        <v>7.2923204004866671</v>
      </c>
      <c r="K317" s="35">
        <v>7.6791665329762981</v>
      </c>
      <c r="L317" s="35">
        <v>7.3357520024089125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7.0733200963195788</v>
      </c>
      <c r="J318" s="35">
        <v>7.0834589992902774</v>
      </c>
      <c r="K318" s="35">
        <v>7.3391195726531961</v>
      </c>
      <c r="L318" s="35">
        <v>7.2368861989360633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6.0425992203183618</v>
      </c>
      <c r="J319" s="35">
        <v>6.0527381232890596</v>
      </c>
      <c r="K319" s="35">
        <v>6.6024288303786758</v>
      </c>
      <c r="L319" s="35">
        <v>6.096767760714644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6.3518357609246685</v>
      </c>
      <c r="J320" s="35">
        <v>6.3619746638953671</v>
      </c>
      <c r="K320" s="35">
        <v>6.209513292852912</v>
      </c>
      <c r="L320" s="35">
        <v>5.8840808190304124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6.22327447125621</v>
      </c>
      <c r="J321" s="35">
        <v>6.2334133742269087</v>
      </c>
      <c r="K321" s="35">
        <v>6.1736289402560018</v>
      </c>
      <c r="L321" s="35">
        <v>5.7185684231657126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5.8612142461725645</v>
      </c>
      <c r="J322" s="35">
        <v>5.8713531491432631</v>
      </c>
      <c r="K322" s="35">
        <v>6.2213711813733914</v>
      </c>
      <c r="L322" s="35">
        <v>5.7421556960754794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6.0341839308526826</v>
      </c>
      <c r="J323" s="35">
        <v>6.0443228338233812</v>
      </c>
      <c r="K323" s="35">
        <v>6.501662668540888</v>
      </c>
      <c r="L323" s="35">
        <v>5.9647794037940383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6.3714038436581166</v>
      </c>
      <c r="J324" s="35">
        <v>6.3815427466288144</v>
      </c>
      <c r="K324" s="35">
        <v>6.7150528807369447</v>
      </c>
      <c r="L324" s="35">
        <v>6.1727488908963162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6.2008674956909662</v>
      </c>
      <c r="J325" s="35">
        <v>6.2110063986616648</v>
      </c>
      <c r="K325" s="35">
        <v>6.7917407973257244</v>
      </c>
      <c r="L325" s="35">
        <v>6.1544813008130079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6.6519472888573459</v>
      </c>
      <c r="J326" s="35">
        <v>6.6620861918280436</v>
      </c>
      <c r="K326" s="35">
        <v>6.9310839327345057</v>
      </c>
      <c r="L326" s="35">
        <v>6.3514099367660348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6.7967308232789216</v>
      </c>
      <c r="J327" s="35">
        <v>6.8068697262496203</v>
      </c>
      <c r="K327" s="35">
        <v>7.5141399359685739</v>
      </c>
      <c r="L327" s="35">
        <v>6.6176951922111815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7.3721135668660649</v>
      </c>
      <c r="J328" s="35">
        <v>7.3822524698367635</v>
      </c>
      <c r="K328" s="35">
        <v>7.7870267154573432</v>
      </c>
      <c r="L328" s="35">
        <v>7.091849563384522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7.8317100385278318</v>
      </c>
      <c r="J329" s="35">
        <v>7.8418489414985304</v>
      </c>
      <c r="K329" s="35">
        <v>8.2558534519832101</v>
      </c>
      <c r="L329" s="35">
        <v>7.8797648499447952</v>
      </c>
      <c r="M329" s="104">
        <f t="shared" ref="M329:M340" si="13">YEAR(H329)</f>
        <v>2042</v>
      </c>
    </row>
    <row r="330" spans="8:15">
      <c r="H330" s="31">
        <v>51898</v>
      </c>
      <c r="I330" s="35">
        <v>7.5311929544763263</v>
      </c>
      <c r="J330" s="35">
        <v>7.5413318574470249</v>
      </c>
      <c r="K330" s="35">
        <v>7.8183543248673448</v>
      </c>
      <c r="L330" s="35">
        <v>7.6901633242999097</v>
      </c>
      <c r="M330" s="104">
        <f t="shared" si="13"/>
        <v>2042</v>
      </c>
    </row>
    <row r="331" spans="8:15">
      <c r="H331" s="31">
        <v>51926</v>
      </c>
      <c r="I331" s="35">
        <v>6.319188493359019</v>
      </c>
      <c r="J331" s="35">
        <v>6.3293273963297167</v>
      </c>
      <c r="K331" s="35">
        <v>6.8873288419056617</v>
      </c>
      <c r="L331" s="35">
        <v>6.3704804978420153</v>
      </c>
      <c r="M331" s="104">
        <f t="shared" si="13"/>
        <v>2042</v>
      </c>
    </row>
    <row r="332" spans="8:15">
      <c r="H332" s="31">
        <v>51957</v>
      </c>
      <c r="I332" s="35">
        <v>6.5280498945554095</v>
      </c>
      <c r="J332" s="35">
        <v>6.5381887975261082</v>
      </c>
      <c r="K332" s="35">
        <v>6.4595127940619781</v>
      </c>
      <c r="L332" s="35">
        <v>6.058526267188598</v>
      </c>
      <c r="M332" s="104">
        <f t="shared" si="13"/>
        <v>2042</v>
      </c>
    </row>
    <row r="333" spans="8:15">
      <c r="H333" s="31">
        <v>51987</v>
      </c>
      <c r="I333" s="35">
        <v>6.4245316952245775</v>
      </c>
      <c r="J333" s="35">
        <v>6.4346705981952752</v>
      </c>
      <c r="K333" s="35">
        <v>6.4515384934848869</v>
      </c>
      <c r="L333" s="35">
        <v>5.9178056007226738</v>
      </c>
      <c r="M333" s="104">
        <f t="shared" si="13"/>
        <v>2042</v>
      </c>
    </row>
    <row r="334" spans="8:15">
      <c r="H334" s="31">
        <v>52018</v>
      </c>
      <c r="I334" s="35">
        <v>6.2091813961269393</v>
      </c>
      <c r="J334" s="35">
        <v>6.2193202990976371</v>
      </c>
      <c r="K334" s="35">
        <v>6.5078764092503105</v>
      </c>
      <c r="L334" s="35">
        <v>6.0866302519321485</v>
      </c>
      <c r="M334" s="104">
        <f t="shared" si="13"/>
        <v>2042</v>
      </c>
    </row>
    <row r="335" spans="8:15">
      <c r="H335" s="31">
        <v>52048</v>
      </c>
      <c r="I335" s="35">
        <v>6.3792107989455538</v>
      </c>
      <c r="J335" s="35">
        <v>6.3893497019162524</v>
      </c>
      <c r="K335" s="35">
        <v>6.8062913068202873</v>
      </c>
      <c r="L335" s="35">
        <v>6.3064435611763523</v>
      </c>
      <c r="M335" s="104">
        <f t="shared" si="13"/>
        <v>2042</v>
      </c>
    </row>
    <row r="336" spans="8:15">
      <c r="H336" s="31">
        <v>52079</v>
      </c>
      <c r="I336" s="35">
        <v>6.7772641295751805</v>
      </c>
      <c r="J336" s="35">
        <v>6.7874030325458792</v>
      </c>
      <c r="K336" s="35">
        <v>7.1600084967041155</v>
      </c>
      <c r="L336" s="35">
        <v>6.5745355013550135</v>
      </c>
      <c r="M336" s="104">
        <f t="shared" si="13"/>
        <v>2042</v>
      </c>
    </row>
    <row r="337" spans="8:13">
      <c r="H337" s="31">
        <v>52110</v>
      </c>
      <c r="I337" s="35">
        <v>6.5456915857244242</v>
      </c>
      <c r="J337" s="35">
        <v>6.5558304886951229</v>
      </c>
      <c r="K337" s="35">
        <v>7.2148965396373415</v>
      </c>
      <c r="L337" s="35">
        <v>6.4958443440730695</v>
      </c>
      <c r="M337" s="104">
        <f t="shared" si="13"/>
        <v>2042</v>
      </c>
    </row>
    <row r="338" spans="8:13">
      <c r="H338" s="31">
        <v>52140</v>
      </c>
      <c r="I338" s="35">
        <v>7.031750594139714</v>
      </c>
      <c r="J338" s="35">
        <v>7.0418894971104127</v>
      </c>
      <c r="K338" s="35">
        <v>7.3407247890031311</v>
      </c>
      <c r="L338" s="35">
        <v>6.7274011040851152</v>
      </c>
      <c r="M338" s="104">
        <f t="shared" si="13"/>
        <v>2042</v>
      </c>
    </row>
    <row r="339" spans="8:13">
      <c r="H339" s="31">
        <v>52171</v>
      </c>
      <c r="I339" s="35">
        <v>7.2246939176721083</v>
      </c>
      <c r="J339" s="35">
        <v>7.234832820642807</v>
      </c>
      <c r="K339" s="35">
        <v>7.9764422447495491</v>
      </c>
      <c r="L339" s="35">
        <v>7.0413627622202144</v>
      </c>
      <c r="M339" s="104">
        <f t="shared" si="13"/>
        <v>2042</v>
      </c>
    </row>
    <row r="340" spans="8:13">
      <c r="H340" s="31">
        <v>52201</v>
      </c>
      <c r="I340" s="35">
        <v>7.7834488603873071</v>
      </c>
      <c r="J340" s="35">
        <v>7.7935877633580048</v>
      </c>
      <c r="K340" s="35">
        <v>8.2222992521523324</v>
      </c>
      <c r="L340" s="35">
        <v>7.4991565994178453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91" t="s">
        <v>130</v>
      </c>
      <c r="C1" s="391"/>
      <c r="D1" s="391"/>
      <c r="E1" s="391"/>
      <c r="F1" s="391"/>
      <c r="G1" s="391"/>
      <c r="H1" s="391"/>
      <c r="I1" s="391"/>
      <c r="J1" s="391"/>
      <c r="K1" s="391"/>
      <c r="M1" s="335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32" t="s">
        <v>98</v>
      </c>
      <c r="B3" s="333">
        <v>2024</v>
      </c>
      <c r="C3" s="333">
        <v>2030</v>
      </c>
      <c r="D3" s="333">
        <v>2024</v>
      </c>
      <c r="E3" s="333">
        <v>2024</v>
      </c>
      <c r="F3" s="333">
        <v>2024</v>
      </c>
      <c r="G3" s="333">
        <v>2024</v>
      </c>
      <c r="H3" s="333">
        <v>2029</v>
      </c>
      <c r="I3" s="333">
        <v>2024</v>
      </c>
      <c r="J3" s="333">
        <v>2030</v>
      </c>
      <c r="K3" s="333">
        <v>2026</v>
      </c>
      <c r="L3" s="333">
        <v>2029</v>
      </c>
      <c r="M3" s="333">
        <v>2032</v>
      </c>
    </row>
    <row r="4" spans="1:14" ht="51">
      <c r="B4" s="196" t="s">
        <v>129</v>
      </c>
      <c r="C4" s="196" t="s">
        <v>137</v>
      </c>
      <c r="D4" s="196" t="s">
        <v>136</v>
      </c>
      <c r="E4" s="196" t="s">
        <v>135</v>
      </c>
      <c r="F4" s="196" t="s">
        <v>133</v>
      </c>
      <c r="G4" s="196" t="s">
        <v>134</v>
      </c>
      <c r="H4" s="196" t="s">
        <v>134</v>
      </c>
      <c r="I4" s="196" t="s">
        <v>132</v>
      </c>
      <c r="J4" s="196" t="s">
        <v>132</v>
      </c>
      <c r="K4" s="196" t="s">
        <v>138</v>
      </c>
      <c r="L4" s="196" t="s">
        <v>141</v>
      </c>
      <c r="M4" s="196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65">
        <v>2.2750000000000006E-2</v>
      </c>
    </row>
    <row r="15" spans="1:14">
      <c r="A15" s="134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29">
        <f>B25*(1+$N$14)</f>
        <v>66.455305798913329</v>
      </c>
      <c r="C26" s="329" t="e">
        <f t="shared" ref="C26:C40" si="1">C25*(1+$N$14)</f>
        <v>#REF!</v>
      </c>
      <c r="D26" s="329" t="e">
        <f t="shared" ref="D26:D40" si="2">D25*(1+$N$14)</f>
        <v>#REF!</v>
      </c>
      <c r="E26" s="329" t="e">
        <f t="shared" ref="E26:E40" si="3">E25*(1+$N$14)</f>
        <v>#REF!</v>
      </c>
      <c r="F26" s="329" t="e">
        <f t="shared" ref="F26:F40" si="4">F25*(1+$N$14)</f>
        <v>#REF!</v>
      </c>
      <c r="G26" s="329" t="e">
        <f t="shared" ref="G26:G40" si="5">G25*(1+$N$14)</f>
        <v>#REF!</v>
      </c>
      <c r="H26" s="329" t="e">
        <f t="shared" ref="H26:H40" si="6">H25*(1+$N$14)</f>
        <v>#REF!</v>
      </c>
      <c r="I26" s="329">
        <f t="shared" ref="I26:I40" si="7">I25*(1+$N$14)</f>
        <v>99.260363987496106</v>
      </c>
      <c r="J26" s="329" t="e">
        <f t="shared" ref="J26:J40" si="8">J25*(1+$N$14)</f>
        <v>#REF!</v>
      </c>
      <c r="K26" s="329">
        <f t="shared" ref="K26:K40" si="9">K25*(1+$N$14)</f>
        <v>476.2844475</v>
      </c>
      <c r="L26" s="329" t="e">
        <f t="shared" ref="L26:L40" si="10">L25*(1+$N$14)</f>
        <v>#REF!</v>
      </c>
      <c r="M26" s="329" t="e">
        <f t="shared" ref="M26:M46" si="11">M25*(1+$N$14)</f>
        <v>#REF!</v>
      </c>
    </row>
    <row r="27" spans="1:13">
      <c r="A27" s="134">
        <f t="shared" si="0"/>
        <v>2040</v>
      </c>
      <c r="B27" s="329">
        <f t="shared" ref="B27:B40" si="12">B26*(1+$N$14)</f>
        <v>67.967164005838612</v>
      </c>
      <c r="C27" s="329" t="e">
        <f t="shared" si="1"/>
        <v>#REF!</v>
      </c>
      <c r="D27" s="329" t="e">
        <f t="shared" si="2"/>
        <v>#REF!</v>
      </c>
      <c r="E27" s="329" t="e">
        <f t="shared" si="3"/>
        <v>#REF!</v>
      </c>
      <c r="F27" s="329" t="e">
        <f t="shared" si="4"/>
        <v>#REF!</v>
      </c>
      <c r="G27" s="329" t="e">
        <f t="shared" si="5"/>
        <v>#REF!</v>
      </c>
      <c r="H27" s="329" t="e">
        <f t="shared" si="6"/>
        <v>#REF!</v>
      </c>
      <c r="I27" s="329">
        <f t="shared" si="7"/>
        <v>101.51853726821165</v>
      </c>
      <c r="J27" s="329" t="e">
        <f t="shared" si="8"/>
        <v>#REF!</v>
      </c>
      <c r="K27" s="329">
        <f t="shared" si="9"/>
        <v>487.11991868062501</v>
      </c>
      <c r="L27" s="329" t="e">
        <f t="shared" si="10"/>
        <v>#REF!</v>
      </c>
      <c r="M27" s="329" t="e">
        <f t="shared" si="11"/>
        <v>#REF!</v>
      </c>
    </row>
    <row r="28" spans="1:13">
      <c r="A28" s="134">
        <f t="shared" si="0"/>
        <v>2041</v>
      </c>
      <c r="B28" s="329">
        <f t="shared" si="12"/>
        <v>69.51341698697145</v>
      </c>
      <c r="C28" s="329" t="e">
        <f t="shared" si="1"/>
        <v>#REF!</v>
      </c>
      <c r="D28" s="329" t="e">
        <f t="shared" si="2"/>
        <v>#REF!</v>
      </c>
      <c r="E28" s="329" t="e">
        <f t="shared" si="3"/>
        <v>#REF!</v>
      </c>
      <c r="F28" s="329" t="e">
        <f t="shared" si="4"/>
        <v>#REF!</v>
      </c>
      <c r="G28" s="329" t="e">
        <f t="shared" si="5"/>
        <v>#REF!</v>
      </c>
      <c r="H28" s="329" t="e">
        <f t="shared" si="6"/>
        <v>#REF!</v>
      </c>
      <c r="I28" s="329">
        <f t="shared" si="7"/>
        <v>103.82808399106347</v>
      </c>
      <c r="J28" s="329" t="e">
        <f t="shared" si="8"/>
        <v>#REF!</v>
      </c>
      <c r="K28" s="329">
        <f t="shared" si="9"/>
        <v>498.20189683060926</v>
      </c>
      <c r="L28" s="329" t="e">
        <f t="shared" si="10"/>
        <v>#REF!</v>
      </c>
      <c r="M28" s="329" t="e">
        <f t="shared" si="11"/>
        <v>#REF!</v>
      </c>
    </row>
    <row r="29" spans="1:13">
      <c r="A29" s="134">
        <f t="shared" si="0"/>
        <v>2042</v>
      </c>
      <c r="B29" s="329">
        <f t="shared" si="12"/>
        <v>71.094847223425049</v>
      </c>
      <c r="C29" s="329" t="e">
        <f t="shared" si="1"/>
        <v>#REF!</v>
      </c>
      <c r="D29" s="329" t="e">
        <f t="shared" si="2"/>
        <v>#REF!</v>
      </c>
      <c r="E29" s="329" t="e">
        <f t="shared" si="3"/>
        <v>#REF!</v>
      </c>
      <c r="F29" s="329" t="e">
        <f t="shared" si="4"/>
        <v>#REF!</v>
      </c>
      <c r="G29" s="329" t="e">
        <f t="shared" si="5"/>
        <v>#REF!</v>
      </c>
      <c r="H29" s="329" t="e">
        <f t="shared" si="6"/>
        <v>#REF!</v>
      </c>
      <c r="I29" s="329">
        <f t="shared" si="7"/>
        <v>106.19017290186017</v>
      </c>
      <c r="J29" s="329" t="e">
        <f t="shared" si="8"/>
        <v>#REF!</v>
      </c>
      <c r="K29" s="329">
        <f t="shared" si="9"/>
        <v>509.53598998350566</v>
      </c>
      <c r="L29" s="329" t="e">
        <f t="shared" si="10"/>
        <v>#REF!</v>
      </c>
      <c r="M29" s="329" t="e">
        <f t="shared" si="11"/>
        <v>#REF!</v>
      </c>
    </row>
    <row r="30" spans="1:13">
      <c r="A30" s="134">
        <f t="shared" si="0"/>
        <v>2043</v>
      </c>
      <c r="B30" s="329">
        <f t="shared" si="12"/>
        <v>72.712254997757967</v>
      </c>
      <c r="C30" s="329" t="e">
        <f t="shared" si="1"/>
        <v>#REF!</v>
      </c>
      <c r="D30" s="329" t="e">
        <f t="shared" si="2"/>
        <v>#REF!</v>
      </c>
      <c r="E30" s="329" t="e">
        <f t="shared" si="3"/>
        <v>#REF!</v>
      </c>
      <c r="F30" s="329" t="e">
        <f t="shared" si="4"/>
        <v>#REF!</v>
      </c>
      <c r="G30" s="329" t="e">
        <f t="shared" si="5"/>
        <v>#REF!</v>
      </c>
      <c r="H30" s="329" t="e">
        <f t="shared" si="6"/>
        <v>#REF!</v>
      </c>
      <c r="I30" s="329">
        <f t="shared" si="7"/>
        <v>108.60599933537749</v>
      </c>
      <c r="J30" s="329" t="e">
        <f t="shared" si="8"/>
        <v>#REF!</v>
      </c>
      <c r="K30" s="329">
        <f t="shared" si="9"/>
        <v>521.12793375563047</v>
      </c>
      <c r="L30" s="329" t="e">
        <f t="shared" si="10"/>
        <v>#REF!</v>
      </c>
      <c r="M30" s="329" t="e">
        <f t="shared" si="11"/>
        <v>#REF!</v>
      </c>
    </row>
    <row r="31" spans="1:13">
      <c r="A31" s="134">
        <f t="shared" si="0"/>
        <v>2044</v>
      </c>
      <c r="B31" s="329">
        <f t="shared" si="12"/>
        <v>74.36645879895697</v>
      </c>
      <c r="C31" s="329" t="e">
        <f t="shared" si="1"/>
        <v>#REF!</v>
      </c>
      <c r="D31" s="329" t="e">
        <f t="shared" si="2"/>
        <v>#REF!</v>
      </c>
      <c r="E31" s="329" t="e">
        <f t="shared" si="3"/>
        <v>#REF!</v>
      </c>
      <c r="F31" s="329" t="e">
        <f t="shared" si="4"/>
        <v>#REF!</v>
      </c>
      <c r="G31" s="329" t="e">
        <f t="shared" si="5"/>
        <v>#REF!</v>
      </c>
      <c r="H31" s="329" t="e">
        <f t="shared" si="6"/>
        <v>#REF!</v>
      </c>
      <c r="I31" s="329">
        <f t="shared" si="7"/>
        <v>111.07678582025733</v>
      </c>
      <c r="J31" s="329" t="e">
        <f t="shared" si="8"/>
        <v>#REF!</v>
      </c>
      <c r="K31" s="329">
        <f t="shared" si="9"/>
        <v>532.98359424857108</v>
      </c>
      <c r="L31" s="329" t="e">
        <f t="shared" si="10"/>
        <v>#REF!</v>
      </c>
      <c r="M31" s="329" t="e">
        <f t="shared" si="11"/>
        <v>#REF!</v>
      </c>
    </row>
    <row r="32" spans="1:13">
      <c r="A32" s="134">
        <f t="shared" si="0"/>
        <v>2045</v>
      </c>
      <c r="B32" s="329">
        <f t="shared" si="12"/>
        <v>76.058295736633241</v>
      </c>
      <c r="C32" s="329" t="e">
        <f t="shared" si="1"/>
        <v>#REF!</v>
      </c>
      <c r="D32" s="329" t="e">
        <f t="shared" si="2"/>
        <v>#REF!</v>
      </c>
      <c r="E32" s="329" t="e">
        <f t="shared" si="3"/>
        <v>#REF!</v>
      </c>
      <c r="F32" s="329" t="e">
        <f t="shared" si="4"/>
        <v>#REF!</v>
      </c>
      <c r="G32" s="329" t="e">
        <f t="shared" si="5"/>
        <v>#REF!</v>
      </c>
      <c r="H32" s="329" t="e">
        <f t="shared" si="6"/>
        <v>#REF!</v>
      </c>
      <c r="I32" s="329">
        <f t="shared" si="7"/>
        <v>113.60378269766819</v>
      </c>
      <c r="J32" s="329" t="e">
        <f t="shared" si="8"/>
        <v>#REF!</v>
      </c>
      <c r="K32" s="329">
        <f t="shared" si="9"/>
        <v>545.10897101772605</v>
      </c>
      <c r="L32" s="329" t="e">
        <f t="shared" si="10"/>
        <v>#REF!</v>
      </c>
      <c r="M32" s="329" t="e">
        <f t="shared" si="11"/>
        <v>#REF!</v>
      </c>
    </row>
    <row r="33" spans="1:13">
      <c r="A33" s="134">
        <f t="shared" si="0"/>
        <v>2046</v>
      </c>
      <c r="B33" s="329">
        <f t="shared" si="12"/>
        <v>77.788621964641649</v>
      </c>
      <c r="C33" s="329" t="e">
        <f t="shared" si="1"/>
        <v>#REF!</v>
      </c>
      <c r="D33" s="329" t="e">
        <f t="shared" si="2"/>
        <v>#REF!</v>
      </c>
      <c r="E33" s="329" t="e">
        <f t="shared" si="3"/>
        <v>#REF!</v>
      </c>
      <c r="F33" s="329" t="e">
        <f t="shared" si="4"/>
        <v>#REF!</v>
      </c>
      <c r="G33" s="329" t="e">
        <f t="shared" si="5"/>
        <v>#REF!</v>
      </c>
      <c r="H33" s="329" t="e">
        <f t="shared" si="6"/>
        <v>#REF!</v>
      </c>
      <c r="I33" s="329">
        <f t="shared" si="7"/>
        <v>116.18826875404015</v>
      </c>
      <c r="J33" s="329" t="e">
        <f t="shared" si="8"/>
        <v>#REF!</v>
      </c>
      <c r="K33" s="329">
        <f t="shared" si="9"/>
        <v>557.51020010837931</v>
      </c>
      <c r="L33" s="329" t="e">
        <f t="shared" si="10"/>
        <v>#REF!</v>
      </c>
      <c r="M33" s="329" t="e">
        <f t="shared" si="11"/>
        <v>#REF!</v>
      </c>
    </row>
    <row r="34" spans="1:13">
      <c r="A34" s="134">
        <f t="shared" si="0"/>
        <v>2047</v>
      </c>
      <c r="B34" s="329">
        <f t="shared" si="12"/>
        <v>79.558313114337253</v>
      </c>
      <c r="C34" s="329" t="e">
        <f t="shared" si="1"/>
        <v>#REF!</v>
      </c>
      <c r="D34" s="329" t="e">
        <f t="shared" si="2"/>
        <v>#REF!</v>
      </c>
      <c r="E34" s="329" t="e">
        <f t="shared" si="3"/>
        <v>#REF!</v>
      </c>
      <c r="F34" s="329" t="e">
        <f t="shared" si="4"/>
        <v>#REF!</v>
      </c>
      <c r="G34" s="329" t="e">
        <f t="shared" si="5"/>
        <v>#REF!</v>
      </c>
      <c r="H34" s="329" t="e">
        <f t="shared" si="6"/>
        <v>#REF!</v>
      </c>
      <c r="I34" s="329">
        <f t="shared" si="7"/>
        <v>118.83155186819457</v>
      </c>
      <c r="J34" s="329" t="e">
        <f t="shared" si="8"/>
        <v>#REF!</v>
      </c>
      <c r="K34" s="329">
        <f t="shared" si="9"/>
        <v>570.19355716084499</v>
      </c>
      <c r="L34" s="329" t="e">
        <f t="shared" si="10"/>
        <v>#REF!</v>
      </c>
      <c r="M34" s="329" t="e">
        <f t="shared" si="11"/>
        <v>#REF!</v>
      </c>
    </row>
    <row r="35" spans="1:13">
      <c r="A35" s="134">
        <f t="shared" si="0"/>
        <v>2048</v>
      </c>
      <c r="B35" s="329">
        <f t="shared" si="12"/>
        <v>81.368264737688435</v>
      </c>
      <c r="C35" s="329" t="e">
        <f t="shared" si="1"/>
        <v>#REF!</v>
      </c>
      <c r="D35" s="329" t="e">
        <f t="shared" si="2"/>
        <v>#REF!</v>
      </c>
      <c r="E35" s="329" t="e">
        <f t="shared" si="3"/>
        <v>#REF!</v>
      </c>
      <c r="F35" s="329" t="e">
        <f t="shared" si="4"/>
        <v>#REF!</v>
      </c>
      <c r="G35" s="329" t="e">
        <f t="shared" si="5"/>
        <v>#REF!</v>
      </c>
      <c r="H35" s="329" t="e">
        <f t="shared" si="6"/>
        <v>#REF!</v>
      </c>
      <c r="I35" s="329">
        <f t="shared" si="7"/>
        <v>121.534969673196</v>
      </c>
      <c r="J35" s="329" t="e">
        <f t="shared" si="8"/>
        <v>#REF!</v>
      </c>
      <c r="K35" s="329">
        <f t="shared" si="9"/>
        <v>583.1654605862542</v>
      </c>
      <c r="L35" s="329" t="e">
        <f t="shared" si="10"/>
        <v>#REF!</v>
      </c>
      <c r="M35" s="329" t="e">
        <f t="shared" si="11"/>
        <v>#REF!</v>
      </c>
    </row>
    <row r="36" spans="1:13">
      <c r="A36" s="134">
        <f t="shared" si="0"/>
        <v>2049</v>
      </c>
      <c r="B36" s="329">
        <f t="shared" si="12"/>
        <v>83.219392760470853</v>
      </c>
      <c r="C36" s="329" t="e">
        <f t="shared" si="1"/>
        <v>#REF!</v>
      </c>
      <c r="D36" s="329" t="e">
        <f t="shared" si="2"/>
        <v>#REF!</v>
      </c>
      <c r="E36" s="329" t="e">
        <f t="shared" si="3"/>
        <v>#REF!</v>
      </c>
      <c r="F36" s="329" t="e">
        <f t="shared" si="4"/>
        <v>#REF!</v>
      </c>
      <c r="G36" s="329" t="e">
        <f t="shared" si="5"/>
        <v>#REF!</v>
      </c>
      <c r="H36" s="329" t="e">
        <f t="shared" si="6"/>
        <v>#REF!</v>
      </c>
      <c r="I36" s="329">
        <f t="shared" si="7"/>
        <v>124.29989023326122</v>
      </c>
      <c r="J36" s="329" t="e">
        <f t="shared" si="8"/>
        <v>#REF!</v>
      </c>
      <c r="K36" s="329">
        <f t="shared" si="9"/>
        <v>596.4324748145915</v>
      </c>
      <c r="L36" s="329" t="e">
        <f t="shared" si="10"/>
        <v>#REF!</v>
      </c>
      <c r="M36" s="329" t="e">
        <f t="shared" si="11"/>
        <v>#REF!</v>
      </c>
    </row>
    <row r="37" spans="1:13">
      <c r="A37" s="134">
        <f t="shared" si="0"/>
        <v>2050</v>
      </c>
      <c r="B37" s="329">
        <f t="shared" si="12"/>
        <v>85.112633945771563</v>
      </c>
      <c r="C37" s="329" t="e">
        <f t="shared" si="1"/>
        <v>#REF!</v>
      </c>
      <c r="D37" s="329" t="e">
        <f t="shared" si="2"/>
        <v>#REF!</v>
      </c>
      <c r="E37" s="329" t="e">
        <f t="shared" si="3"/>
        <v>#REF!</v>
      </c>
      <c r="F37" s="329" t="e">
        <f t="shared" si="4"/>
        <v>#REF!</v>
      </c>
      <c r="G37" s="329" t="e">
        <f t="shared" si="5"/>
        <v>#REF!</v>
      </c>
      <c r="H37" s="329" t="e">
        <f t="shared" si="6"/>
        <v>#REF!</v>
      </c>
      <c r="I37" s="329">
        <f t="shared" si="7"/>
        <v>127.12771273606792</v>
      </c>
      <c r="J37" s="329" t="e">
        <f t="shared" si="8"/>
        <v>#REF!</v>
      </c>
      <c r="K37" s="329">
        <f t="shared" si="9"/>
        <v>610.00131361662352</v>
      </c>
      <c r="L37" s="329" t="e">
        <f t="shared" si="10"/>
        <v>#REF!</v>
      </c>
      <c r="M37" s="329" t="e">
        <f t="shared" si="11"/>
        <v>#REF!</v>
      </c>
    </row>
    <row r="38" spans="1:13">
      <c r="A38" s="134">
        <f t="shared" si="0"/>
        <v>2051</v>
      </c>
      <c r="B38" s="329">
        <f t="shared" si="12"/>
        <v>87.048946368037875</v>
      </c>
      <c r="C38" s="329" t="e">
        <f t="shared" si="1"/>
        <v>#REF!</v>
      </c>
      <c r="D38" s="329" t="e">
        <f t="shared" si="2"/>
        <v>#REF!</v>
      </c>
      <c r="E38" s="329" t="e">
        <f t="shared" si="3"/>
        <v>#REF!</v>
      </c>
      <c r="F38" s="329" t="e">
        <f t="shared" si="4"/>
        <v>#REF!</v>
      </c>
      <c r="G38" s="329" t="e">
        <f t="shared" si="5"/>
        <v>#REF!</v>
      </c>
      <c r="H38" s="329" t="e">
        <f t="shared" si="6"/>
        <v>#REF!</v>
      </c>
      <c r="I38" s="329">
        <f t="shared" si="7"/>
        <v>130.01986820081348</v>
      </c>
      <c r="J38" s="329" t="e">
        <f t="shared" si="8"/>
        <v>#REF!</v>
      </c>
      <c r="K38" s="329">
        <f t="shared" si="9"/>
        <v>623.87884350140178</v>
      </c>
      <c r="L38" s="329" t="e">
        <f t="shared" si="10"/>
        <v>#REF!</v>
      </c>
      <c r="M38" s="329" t="e">
        <f t="shared" si="11"/>
        <v>#REF!</v>
      </c>
    </row>
    <row r="39" spans="1:13">
      <c r="A39" s="134">
        <f t="shared" si="0"/>
        <v>2052</v>
      </c>
      <c r="B39" s="329">
        <f t="shared" si="12"/>
        <v>89.029309897910736</v>
      </c>
      <c r="C39" s="329" t="e">
        <f t="shared" si="1"/>
        <v>#REF!</v>
      </c>
      <c r="D39" s="329" t="e">
        <f t="shared" si="2"/>
        <v>#REF!</v>
      </c>
      <c r="E39" s="329" t="e">
        <f t="shared" si="3"/>
        <v>#REF!</v>
      </c>
      <c r="F39" s="329" t="e">
        <f t="shared" si="4"/>
        <v>#REF!</v>
      </c>
      <c r="G39" s="329" t="e">
        <f t="shared" si="5"/>
        <v>#REF!</v>
      </c>
      <c r="H39" s="329" t="e">
        <f t="shared" si="6"/>
        <v>#REF!</v>
      </c>
      <c r="I39" s="329">
        <f t="shared" si="7"/>
        <v>132.97782020238199</v>
      </c>
      <c r="J39" s="329" t="e">
        <f t="shared" si="8"/>
        <v>#REF!</v>
      </c>
      <c r="K39" s="329">
        <f t="shared" si="9"/>
        <v>638.0720871910587</v>
      </c>
      <c r="L39" s="329" t="e">
        <f t="shared" si="10"/>
        <v>#REF!</v>
      </c>
      <c r="M39" s="329" t="e">
        <f t="shared" si="11"/>
        <v>#REF!</v>
      </c>
    </row>
    <row r="40" spans="1:13">
      <c r="A40" s="134">
        <f t="shared" si="0"/>
        <v>2053</v>
      </c>
      <c r="B40" s="329">
        <f t="shared" si="12"/>
        <v>91.054726698088203</v>
      </c>
      <c r="C40" s="329" t="e">
        <f t="shared" si="1"/>
        <v>#REF!</v>
      </c>
      <c r="D40" s="329" t="e">
        <f t="shared" si="2"/>
        <v>#REF!</v>
      </c>
      <c r="E40" s="329" t="e">
        <f t="shared" si="3"/>
        <v>#REF!</v>
      </c>
      <c r="F40" s="329" t="e">
        <f t="shared" si="4"/>
        <v>#REF!</v>
      </c>
      <c r="G40" s="329" t="e">
        <f t="shared" si="5"/>
        <v>#REF!</v>
      </c>
      <c r="H40" s="329" t="e">
        <f t="shared" si="6"/>
        <v>#REF!</v>
      </c>
      <c r="I40" s="329">
        <f t="shared" si="7"/>
        <v>136.00306561198619</v>
      </c>
      <c r="J40" s="329" t="e">
        <f t="shared" si="8"/>
        <v>#REF!</v>
      </c>
      <c r="K40" s="329">
        <f t="shared" si="9"/>
        <v>652.58822717465534</v>
      </c>
      <c r="L40" s="329" t="e">
        <f t="shared" si="10"/>
        <v>#REF!</v>
      </c>
      <c r="M40" s="329" t="e">
        <f t="shared" si="11"/>
        <v>#REF!</v>
      </c>
    </row>
    <row r="41" spans="1:13">
      <c r="A41" s="134">
        <f t="shared" si="0"/>
        <v>2054</v>
      </c>
      <c r="B41" s="329"/>
      <c r="C41" s="329" t="e">
        <f t="shared" ref="C41:C46" si="13">C40*(1+$N$14)</f>
        <v>#REF!</v>
      </c>
      <c r="D41" s="329"/>
      <c r="E41" s="329"/>
      <c r="F41" s="329"/>
      <c r="G41" s="329"/>
      <c r="H41" s="329" t="e">
        <f t="shared" ref="H41:H45" si="14">H40*(1+$N$14)</f>
        <v>#REF!</v>
      </c>
      <c r="I41" s="329"/>
      <c r="J41" s="329" t="e">
        <f t="shared" ref="J41:J46" si="15">J40*(1+$N$14)</f>
        <v>#REF!</v>
      </c>
      <c r="K41" s="329">
        <f>K40*(1+$N$14)</f>
        <v>667.43460934287873</v>
      </c>
      <c r="L41" s="329" t="e">
        <f>L40*(1+$N$14)</f>
        <v>#REF!</v>
      </c>
      <c r="M41" s="329" t="e">
        <f t="shared" si="11"/>
        <v>#REF!</v>
      </c>
    </row>
    <row r="42" spans="1:13">
      <c r="A42" s="134">
        <f t="shared" si="0"/>
        <v>2055</v>
      </c>
      <c r="B42" s="329"/>
      <c r="C42" s="329" t="e">
        <f t="shared" si="13"/>
        <v>#REF!</v>
      </c>
      <c r="D42" s="329"/>
      <c r="E42" s="329"/>
      <c r="F42" s="329"/>
      <c r="G42" s="329"/>
      <c r="H42" s="329" t="e">
        <f t="shared" si="14"/>
        <v>#REF!</v>
      </c>
      <c r="I42" s="329"/>
      <c r="J42" s="329" t="e">
        <f t="shared" si="15"/>
        <v>#REF!</v>
      </c>
      <c r="K42" s="329">
        <f>K41*(1+$N$14)</f>
        <v>682.6187467054292</v>
      </c>
      <c r="L42" s="329" t="e">
        <f>L41*(1+$N$14)</f>
        <v>#REF!</v>
      </c>
      <c r="M42" s="329" t="e">
        <f t="shared" si="11"/>
        <v>#REF!</v>
      </c>
    </row>
    <row r="43" spans="1:13">
      <c r="A43" s="134">
        <f t="shared" si="0"/>
        <v>2056</v>
      </c>
      <c r="B43" s="329"/>
      <c r="C43" s="329" t="e">
        <f t="shared" si="13"/>
        <v>#REF!</v>
      </c>
      <c r="D43" s="329"/>
      <c r="E43" s="329"/>
      <c r="F43" s="329"/>
      <c r="G43" s="329"/>
      <c r="H43" s="329" t="e">
        <f t="shared" si="14"/>
        <v>#REF!</v>
      </c>
      <c r="I43" s="329"/>
      <c r="J43" s="329" t="e">
        <f t="shared" si="15"/>
        <v>#REF!</v>
      </c>
      <c r="K43" s="334"/>
      <c r="L43" s="329" t="e">
        <f>L42*(1+$N$14)</f>
        <v>#REF!</v>
      </c>
      <c r="M43" s="329" t="e">
        <f t="shared" si="11"/>
        <v>#REF!</v>
      </c>
    </row>
    <row r="44" spans="1:13">
      <c r="A44" s="134">
        <f t="shared" si="0"/>
        <v>2057</v>
      </c>
      <c r="B44" s="329"/>
      <c r="C44" s="329" t="e">
        <f t="shared" si="13"/>
        <v>#REF!</v>
      </c>
      <c r="D44" s="329"/>
      <c r="E44" s="329"/>
      <c r="F44" s="329"/>
      <c r="G44" s="329"/>
      <c r="H44" s="329" t="e">
        <f t="shared" si="14"/>
        <v>#REF!</v>
      </c>
      <c r="I44" s="329"/>
      <c r="J44" s="329" t="e">
        <f t="shared" si="15"/>
        <v>#REF!</v>
      </c>
      <c r="K44" s="334"/>
      <c r="L44" s="329" t="e">
        <f>L43*(1+$N$14)</f>
        <v>#REF!</v>
      </c>
      <c r="M44" s="329" t="e">
        <f t="shared" si="11"/>
        <v>#REF!</v>
      </c>
    </row>
    <row r="45" spans="1:13">
      <c r="A45" s="134">
        <f t="shared" si="0"/>
        <v>2058</v>
      </c>
      <c r="B45" s="329"/>
      <c r="C45" s="329" t="e">
        <f t="shared" si="13"/>
        <v>#REF!</v>
      </c>
      <c r="D45" s="329"/>
      <c r="E45" s="329"/>
      <c r="F45" s="329"/>
      <c r="G45" s="329"/>
      <c r="H45" s="329" t="e">
        <f t="shared" si="14"/>
        <v>#REF!</v>
      </c>
      <c r="I45" s="329"/>
      <c r="J45" s="329" t="e">
        <f t="shared" si="15"/>
        <v>#REF!</v>
      </c>
      <c r="K45" s="334"/>
      <c r="L45" s="329" t="e">
        <f>L44*(1+$N$14)</f>
        <v>#REF!</v>
      </c>
      <c r="M45" s="329" t="e">
        <f t="shared" si="11"/>
        <v>#REF!</v>
      </c>
    </row>
    <row r="46" spans="1:13">
      <c r="A46" s="134">
        <f t="shared" si="0"/>
        <v>2059</v>
      </c>
      <c r="B46" s="329"/>
      <c r="C46" s="329" t="e">
        <f t="shared" si="13"/>
        <v>#REF!</v>
      </c>
      <c r="D46" s="329"/>
      <c r="E46" s="329"/>
      <c r="F46" s="329"/>
      <c r="G46" s="329"/>
      <c r="H46" s="329"/>
      <c r="I46" s="329"/>
      <c r="J46" s="329" t="e">
        <f t="shared" si="15"/>
        <v>#REF!</v>
      </c>
      <c r="K46" s="334"/>
      <c r="L46" s="334"/>
      <c r="M46" s="329" t="e">
        <f t="shared" si="11"/>
        <v>#REF!</v>
      </c>
    </row>
    <row r="47" spans="1:13">
      <c r="A47" s="134">
        <f t="shared" ref="A47:A48" si="16">A46+1</f>
        <v>2060</v>
      </c>
      <c r="B47" s="329"/>
      <c r="C47" s="329" t="e">
        <f t="shared" ref="C47:C48" si="17">C46*(1+$N$14)</f>
        <v>#REF!</v>
      </c>
      <c r="D47" s="329"/>
      <c r="E47" s="329"/>
      <c r="F47" s="329"/>
      <c r="G47" s="329"/>
      <c r="H47" s="329"/>
      <c r="I47" s="329"/>
      <c r="J47" s="329"/>
      <c r="K47" s="334"/>
      <c r="L47" s="334"/>
      <c r="M47" s="329" t="e">
        <f t="shared" ref="M47:M48" si="18">M46*(1+$N$14)</f>
        <v>#REF!</v>
      </c>
    </row>
    <row r="48" spans="1:13">
      <c r="A48" s="134">
        <f t="shared" si="16"/>
        <v>2061</v>
      </c>
      <c r="B48" s="329"/>
      <c r="C48" s="329" t="e">
        <f t="shared" si="17"/>
        <v>#REF!</v>
      </c>
      <c r="D48" s="329"/>
      <c r="E48" s="329"/>
      <c r="F48" s="329"/>
      <c r="G48" s="329"/>
      <c r="H48" s="329"/>
      <c r="I48" s="329"/>
      <c r="J48" s="329"/>
      <c r="K48" s="334"/>
      <c r="L48" s="334"/>
      <c r="M48" s="329" t="e">
        <f t="shared" si="18"/>
        <v>#REF!</v>
      </c>
    </row>
    <row r="49" spans="1:13" ht="12" customHeight="1">
      <c r="A49" s="134"/>
    </row>
    <row r="50" spans="1:13" ht="12" customHeight="1">
      <c r="A50" s="330" t="s">
        <v>131</v>
      </c>
      <c r="B50" s="331">
        <f>PMT(Discount_Rate,30,-NPV(Discount_Rate,Table3ACsummary!B$11:B$40))</f>
        <v>44.043433473808903</v>
      </c>
      <c r="C50" s="331" t="e">
        <f>PMT(Discount_Rate,30,-NPV(Discount_Rate,Table3ACsummary!C$17:C$46))</f>
        <v>#REF!</v>
      </c>
      <c r="D50" s="331" t="e">
        <f>PMT(Discount_Rate,30,-NPV(Discount_Rate,Table3ACsummary!D$11:D$40))</f>
        <v>#REF!</v>
      </c>
      <c r="E50" s="331" t="e">
        <f>PMT(Discount_Rate,30,-NPV(Discount_Rate,Table3ACsummary!E$11:E$40))</f>
        <v>#REF!</v>
      </c>
      <c r="F50" s="331" t="e">
        <f>PMT(Discount_Rate,30,-NPV(Discount_Rate,Table3ACsummary!F$11:F$40))</f>
        <v>#REF!</v>
      </c>
      <c r="G50" s="331" t="e">
        <f>PMT(Discount_Rate,30,-NPV(Discount_Rate,Table3ACsummary!G$11:G$40))</f>
        <v>#REF!</v>
      </c>
      <c r="H50" s="331" t="e">
        <f>PMT(Discount_Rate,30,-NPV(Discount_Rate,Table3ACsummary!H$16:H$45))</f>
        <v>#REF!</v>
      </c>
      <c r="I50" s="331">
        <f>PMT(Discount_Rate,30,-NPV(Discount_Rate,Table3ACsummary!I$11:I$40))</f>
        <v>79.847204615211268</v>
      </c>
      <c r="J50" s="331" t="e">
        <f>PMT(Discount_Rate,30,-NPV(Discount_Rate,Table3ACsummary!J$11:J$40))</f>
        <v>#REF!</v>
      </c>
      <c r="K50" s="331">
        <f>PMT(Discount_Rate,30,-NPV(Discount_Rate,Table3ACsummary!K$13:K$42))</f>
        <v>329.82023917053118</v>
      </c>
      <c r="L50" s="331" t="e">
        <f>PMT(Discount_Rate,30,-NPV(Discount_Rate,Table3ACsummary!L$16:L$45))</f>
        <v>#REF!</v>
      </c>
      <c r="M50" s="331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41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9" sqref="C19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Tesoro Non Firm - 25.0 MW and 85.0% CF</v>
      </c>
      <c r="C4" s="83"/>
      <c r="D4" s="83"/>
      <c r="E4" s="83"/>
      <c r="F4" s="83"/>
      <c r="G4" s="83"/>
      <c r="K4" s="56">
        <f>MIN(K13:K24)</f>
        <v>44927</v>
      </c>
      <c r="M4" s="352" t="s">
        <v>230</v>
      </c>
      <c r="P4" s="202" t="s">
        <v>201</v>
      </c>
      <c r="Q4" s="202" t="s">
        <v>202</v>
      </c>
      <c r="R4" s="202" t="s">
        <v>154</v>
      </c>
      <c r="S4" s="202" t="s">
        <v>229</v>
      </c>
    </row>
    <row r="5" spans="1:19">
      <c r="B5" s="83" t="str">
        <f>TEXT($K$5,"MMMM YYYY")&amp;"  through  "&amp;TEXT($K$6,"MMMM YYYY")</f>
        <v>January 2023  through  December 2023</v>
      </c>
      <c r="C5" s="83"/>
      <c r="D5" s="83"/>
      <c r="E5" s="83"/>
      <c r="F5" s="83"/>
      <c r="G5" s="83"/>
      <c r="J5" s="56" t="s">
        <v>38</v>
      </c>
      <c r="K5" s="176">
        <f>MIN(K13:K24)</f>
        <v>44927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6">
        <f>EDATE(K5,1*12-1)</f>
        <v>45261</v>
      </c>
      <c r="M6" s="57">
        <v>25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S5+1*12-1</f>
        <v>24</v>
      </c>
    </row>
    <row r="7" spans="1:19">
      <c r="A7" s="107"/>
      <c r="C7" s="58"/>
      <c r="D7" s="58"/>
      <c r="E7" s="58"/>
      <c r="F7" s="350"/>
      <c r="G7" s="91"/>
      <c r="M7" s="351">
        <f ca="1">SUM(OFFSET(F12,MATCH(K5,B13:B24,0),0,12))/(EDATE(K5,12)-K5)/24/Study_MW</f>
        <v>0.85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6457758.8689834531</v>
      </c>
      <c r="D9" s="58">
        <f ca="1">NPV($K$9,INDIRECT("d"&amp;$S$5&amp;":d"&amp;$S$6))</f>
        <v>0</v>
      </c>
      <c r="E9" s="58">
        <f ca="1">NPV($K$9,INDIRECT("e"&amp;$S$5&amp;":e"&amp;$S$6))</f>
        <v>6457758.8689834531</v>
      </c>
      <c r="F9" s="350">
        <f ca="1">NPV($K$9,INDIRECT("f"&amp;$S$5&amp;":f"&amp;$S$6))</f>
        <v>179567.39743348368</v>
      </c>
      <c r="G9" s="91">
        <f ca="1">($C9+D9)/$F9</f>
        <v>35.962869436672491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50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0.0% CF</v>
      </c>
      <c r="E12" s="66" t="s">
        <v>50</v>
      </c>
      <c r="F12" s="67" t="s">
        <v>46</v>
      </c>
      <c r="G12" s="65" t="str">
        <f>D12</f>
        <v>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f>[8]NPC!$F$3</f>
        <v>44927</v>
      </c>
      <c r="C13" s="69">
        <f>IF(F13="","",-INDEX([8]Delta!$F$1:$EE$997,$L$13,$I13))</f>
        <v>349613.76548928022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349613.76548928022</v>
      </c>
      <c r="F13" s="69">
        <f>IF(INDEX([8]Delta!$F$1:$EE$997,$L$14,$I13)=0,"",INDEX([8]Delta!$F$1:$EE$997,$L$14,$I13))</f>
        <v>15810</v>
      </c>
      <c r="G13" s="72">
        <f t="shared" ref="G13:G17" si="1">IF(ISNUMBER($F13),E13/$F13,"")</f>
        <v>22.113457652705897</v>
      </c>
      <c r="I13" s="60">
        <v>1</v>
      </c>
      <c r="J13" s="73">
        <f>YEAR(B13)</f>
        <v>2023</v>
      </c>
      <c r="K13" s="74">
        <f t="shared" ref="K13:K24" si="2">IF(ISNUMBER(F13),B13,"")</f>
        <v>44927</v>
      </c>
      <c r="L13" s="56">
        <f>MATCH(M13,[8]Delta!$A$1:$A$997,FALSE)</f>
        <v>386</v>
      </c>
      <c r="M13" s="56" t="s">
        <v>49</v>
      </c>
    </row>
    <row r="14" spans="1:19">
      <c r="B14" s="78">
        <f t="shared" ref="B14:B77" si="3">EDATE(B13,1)</f>
        <v>44958</v>
      </c>
      <c r="C14" s="75">
        <f>IF(F14="","",-INDEX([8]Delta!$F$1:$EE$997,$L$13,$I14))</f>
        <v>477672.02647142112</v>
      </c>
      <c r="D14" s="71">
        <f>IF(ISNUMBER($F14),VLOOKUP($J14,'Table 1'!$B$13:$C$33,2,FALSE)/12*1000*Study_MW,"")</f>
        <v>0</v>
      </c>
      <c r="E14" s="71">
        <f t="shared" si="0"/>
        <v>477672.02647142112</v>
      </c>
      <c r="F14" s="75">
        <f>IF(INDEX([8]Delta!$F$1:$EE$997,$L$14,$I14)=0,"",INDEX([8]Delta!$F$1:$EE$997,$L$14,$I14))</f>
        <v>14280</v>
      </c>
      <c r="G14" s="76">
        <f t="shared" si="1"/>
        <v>33.450422021808201</v>
      </c>
      <c r="I14" s="77">
        <f>I13+1</f>
        <v>2</v>
      </c>
      <c r="J14" s="73">
        <f t="shared" ref="J14:J77" si="4">YEAR(B14)</f>
        <v>2023</v>
      </c>
      <c r="K14" s="78">
        <f t="shared" si="2"/>
        <v>44958</v>
      </c>
      <c r="L14" s="56">
        <f>MATCH(M14,[8]Delta!$C$304:$C$507,FALSE)+ROW([8]Delta!$C$303)+2</f>
        <v>505</v>
      </c>
      <c r="M14" s="90" t="str">
        <f>CHOOSE([8]NPC!$EQ$107,[8]NPC!$EI$107,[8]NPC!$EK$107,[8]NPC!$EM$107,[8]NPC!$EO$107)</f>
        <v>QF - 435 - UT - Gas</v>
      </c>
    </row>
    <row r="15" spans="1:19">
      <c r="B15" s="78">
        <f t="shared" si="3"/>
        <v>44986</v>
      </c>
      <c r="C15" s="75">
        <f>IF(F15="","",-INDEX([8]Delta!$F$1:$EE$997,$L$13,$I15))</f>
        <v>459777.53280293941</v>
      </c>
      <c r="D15" s="71">
        <f>IF(ISNUMBER($F15),VLOOKUP($J15,'Table 1'!$B$13:$C$33,2,FALSE)/12*1000*Study_MW,"")</f>
        <v>0</v>
      </c>
      <c r="E15" s="71">
        <f t="shared" si="0"/>
        <v>459777.53280293941</v>
      </c>
      <c r="F15" s="75">
        <f>IF(INDEX([8]Delta!$F$1:$EE$997,$L$14,$I15)=0,"",INDEX([8]Delta!$F$1:$EE$997,$L$14,$I15))</f>
        <v>15810</v>
      </c>
      <c r="G15" s="76">
        <f t="shared" si="1"/>
        <v>29.08143787494873</v>
      </c>
      <c r="I15" s="77">
        <f t="shared" ref="I15:I24" si="5">I14+1</f>
        <v>3</v>
      </c>
      <c r="J15" s="73">
        <f t="shared" si="4"/>
        <v>2023</v>
      </c>
      <c r="K15" s="78">
        <f t="shared" si="2"/>
        <v>44986</v>
      </c>
    </row>
    <row r="16" spans="1:19">
      <c r="B16" s="78">
        <f t="shared" si="3"/>
        <v>45017</v>
      </c>
      <c r="C16" s="75">
        <f>IF(F16="","",-INDEX([8]Delta!$F$1:$EE$997,$L$13,$I16))</f>
        <v>385004.68610313535</v>
      </c>
      <c r="D16" s="71">
        <f>IF(ISNUMBER($F16),VLOOKUP($J16,'Table 1'!$B$13:$C$33,2,FALSE)/12*1000*Study_MW,"")</f>
        <v>0</v>
      </c>
      <c r="E16" s="71">
        <f t="shared" si="0"/>
        <v>385004.68610313535</v>
      </c>
      <c r="F16" s="75">
        <f>IF(INDEX([8]Delta!$F$1:$EE$997,$L$14,$I16)=0,"",INDEX([8]Delta!$F$1:$EE$997,$L$14,$I16))</f>
        <v>15300</v>
      </c>
      <c r="G16" s="76">
        <f t="shared" si="1"/>
        <v>25.163704974061133</v>
      </c>
      <c r="I16" s="77">
        <f t="shared" si="5"/>
        <v>4</v>
      </c>
      <c r="J16" s="73">
        <f t="shared" si="4"/>
        <v>2023</v>
      </c>
      <c r="K16" s="78">
        <f t="shared" si="2"/>
        <v>45017</v>
      </c>
      <c r="L16" s="73">
        <f>YEAR(B13)</f>
        <v>2023</v>
      </c>
      <c r="M16" s="56">
        <f t="shared" ref="M16:M38" si="6">SUMIF($J$13:$J$240,L16,$C$13:$C$240)</f>
        <v>6714339.0165857971</v>
      </c>
      <c r="N16" s="56">
        <f t="shared" ref="N16:N38" si="7">SUMIF($J$13:$J$240,L16,$D$13:$D$240)</f>
        <v>0</v>
      </c>
      <c r="O16" s="56">
        <f t="shared" ref="O16:O38" si="8">SUMIF($J$13:$J$240,L16,$F$13:$F$240)</f>
        <v>186150</v>
      </c>
      <c r="P16" s="112">
        <f t="shared" ref="P16:P25" si="9">(M16+N16)/O16</f>
        <v>36.069508550017709</v>
      </c>
      <c r="Q16" s="163">
        <f>M16/O16</f>
        <v>36.069508550017709</v>
      </c>
      <c r="R16" s="163">
        <f>IFERROR(N16/O16,0)</f>
        <v>0</v>
      </c>
    </row>
    <row r="17" spans="2:20">
      <c r="B17" s="78">
        <f t="shared" si="3"/>
        <v>45047</v>
      </c>
      <c r="C17" s="75">
        <f>IF(F17="","",-INDEX([8]Delta!$F$1:$EE$997,$L$13,$I17))</f>
        <v>347025.23373423517</v>
      </c>
      <c r="D17" s="71">
        <f>IF(ISNUMBER($F17),VLOOKUP($J17,'Table 1'!$B$13:$C$33,2,FALSE)/12*1000*Study_MW,"")</f>
        <v>0</v>
      </c>
      <c r="E17" s="71">
        <f t="shared" si="0"/>
        <v>347025.23373423517</v>
      </c>
      <c r="F17" s="75">
        <f>IF(INDEX([8]Delta!$F$1:$EE$997,$L$14,$I17)=0,"",INDEX([8]Delta!$F$1:$EE$997,$L$14,$I17))</f>
        <v>15810</v>
      </c>
      <c r="G17" s="76">
        <f t="shared" si="1"/>
        <v>21.949730153968069</v>
      </c>
      <c r="I17" s="77">
        <f t="shared" si="5"/>
        <v>5</v>
      </c>
      <c r="J17" s="73">
        <f t="shared" si="4"/>
        <v>2023</v>
      </c>
      <c r="K17" s="78">
        <f t="shared" si="2"/>
        <v>45047</v>
      </c>
      <c r="L17" s="73">
        <f>L16+1</f>
        <v>2024</v>
      </c>
      <c r="M17" s="56">
        <f t="shared" si="6"/>
        <v>0</v>
      </c>
      <c r="N17" s="56">
        <f t="shared" si="7"/>
        <v>0</v>
      </c>
      <c r="O17" s="56">
        <f t="shared" si="8"/>
        <v>0</v>
      </c>
      <c r="P17" s="112" t="e">
        <f t="shared" si="9"/>
        <v>#DIV/0!</v>
      </c>
      <c r="Q17" s="163" t="e">
        <f t="shared" ref="Q17:Q33" si="10">M17/O17</f>
        <v>#DIV/0!</v>
      </c>
      <c r="R17" s="163">
        <f t="shared" ref="R17:R33" si="11">IFERROR(N17/O17,0)</f>
        <v>0</v>
      </c>
    </row>
    <row r="18" spans="2:20">
      <c r="B18" s="78">
        <f t="shared" si="3"/>
        <v>45078</v>
      </c>
      <c r="C18" s="75">
        <f>IF(F18="","",-INDEX([8]Delta!$F$1:$EE$997,$L$13,$I18))</f>
        <v>443544.3817563355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443544.3817563355</v>
      </c>
      <c r="F18" s="75">
        <f>IF(INDEX([8]Delta!$F$1:$EE$997,$L$14,$I18)=0,"",INDEX([8]Delta!$F$1:$EE$997,$L$14,$I18))</f>
        <v>15300</v>
      </c>
      <c r="G18" s="76">
        <f t="shared" ref="G18:G19" si="13">IF(ISNUMBER($F18),E18/$F18,"")</f>
        <v>28.989828872963106</v>
      </c>
      <c r="I18" s="77">
        <f t="shared" si="5"/>
        <v>6</v>
      </c>
      <c r="J18" s="73">
        <f t="shared" si="4"/>
        <v>2023</v>
      </c>
      <c r="K18" s="78">
        <f t="shared" si="2"/>
        <v>45078</v>
      </c>
      <c r="L18" s="73">
        <f t="shared" ref="L18:L42" si="14">L17+1</f>
        <v>2025</v>
      </c>
      <c r="M18" s="56">
        <f t="shared" si="6"/>
        <v>0</v>
      </c>
      <c r="N18" s="56">
        <f t="shared" si="7"/>
        <v>0</v>
      </c>
      <c r="O18" s="56">
        <f t="shared" si="8"/>
        <v>0</v>
      </c>
      <c r="P18" s="112" t="e">
        <f t="shared" si="9"/>
        <v>#DIV/0!</v>
      </c>
      <c r="Q18" s="163" t="e">
        <f t="shared" si="10"/>
        <v>#DIV/0!</v>
      </c>
      <c r="R18" s="163">
        <f t="shared" si="11"/>
        <v>0</v>
      </c>
    </row>
    <row r="19" spans="2:20">
      <c r="B19" s="78">
        <f t="shared" si="3"/>
        <v>45108</v>
      </c>
      <c r="C19" s="75">
        <f>IF(F19="","",-INDEX([8]Delta!$F$1:$EE$997,$L$13,$I19))</f>
        <v>929406.44197371602</v>
      </c>
      <c r="D19" s="71">
        <f>IF(ISNUMBER($F19),VLOOKUP($J19,'Table 1'!$B$13:$C$33,2,FALSE)/12*1000*Study_MW,"")</f>
        <v>0</v>
      </c>
      <c r="E19" s="71">
        <f t="shared" si="12"/>
        <v>929406.44197371602</v>
      </c>
      <c r="F19" s="75">
        <f>IF(INDEX([8]Delta!$F$1:$EE$997,$L$14,$I19)=0,"",INDEX([8]Delta!$F$1:$EE$997,$L$14,$I19))</f>
        <v>15810</v>
      </c>
      <c r="G19" s="76">
        <f t="shared" si="13"/>
        <v>58.785986209596203</v>
      </c>
      <c r="I19" s="77">
        <f t="shared" si="5"/>
        <v>7</v>
      </c>
      <c r="J19" s="73">
        <f t="shared" si="4"/>
        <v>2023</v>
      </c>
      <c r="K19" s="78">
        <f t="shared" si="2"/>
        <v>45108</v>
      </c>
      <c r="L19" s="73">
        <f t="shared" si="14"/>
        <v>2026</v>
      </c>
      <c r="M19" s="56">
        <f t="shared" si="6"/>
        <v>0</v>
      </c>
      <c r="N19" s="56">
        <f t="shared" si="7"/>
        <v>0</v>
      </c>
      <c r="O19" s="56">
        <f t="shared" si="8"/>
        <v>0</v>
      </c>
      <c r="P19" s="112" t="e">
        <f t="shared" si="9"/>
        <v>#DIV/0!</v>
      </c>
      <c r="Q19" s="163" t="e">
        <f t="shared" si="10"/>
        <v>#DIV/0!</v>
      </c>
      <c r="R19" s="163">
        <f t="shared" si="11"/>
        <v>0</v>
      </c>
    </row>
    <row r="20" spans="2:20">
      <c r="B20" s="78">
        <f t="shared" si="3"/>
        <v>45139</v>
      </c>
      <c r="C20" s="75">
        <f>IF(F20="","",-INDEX([8]Delta!$F$1:$EE$997,$L$13,$I20))</f>
        <v>997773.17176020145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997773.17176020145</v>
      </c>
      <c r="F20" s="75">
        <f>IF(INDEX([8]Delta!$F$1:$EE$997,$L$14,$I20)=0,"",INDEX([8]Delta!$F$1:$EE$997,$L$14,$I20))</f>
        <v>15810</v>
      </c>
      <c r="G20" s="76">
        <f t="shared" ref="G20:G77" si="16">IF(ISNUMBER($F20),E20/$F20,"")</f>
        <v>63.110257543339749</v>
      </c>
      <c r="I20" s="77">
        <f t="shared" si="5"/>
        <v>8</v>
      </c>
      <c r="J20" s="73">
        <f t="shared" si="4"/>
        <v>2023</v>
      </c>
      <c r="K20" s="78">
        <f t="shared" si="2"/>
        <v>45139</v>
      </c>
      <c r="L20" s="73">
        <f t="shared" si="14"/>
        <v>2027</v>
      </c>
      <c r="M20" s="56">
        <f t="shared" si="6"/>
        <v>0</v>
      </c>
      <c r="N20" s="56">
        <f t="shared" si="7"/>
        <v>0</v>
      </c>
      <c r="O20" s="56">
        <f t="shared" si="8"/>
        <v>0</v>
      </c>
      <c r="P20" s="112" t="e">
        <f t="shared" si="9"/>
        <v>#DIV/0!</v>
      </c>
      <c r="Q20" s="163" t="e">
        <f t="shared" si="10"/>
        <v>#DIV/0!</v>
      </c>
      <c r="R20" s="163">
        <f t="shared" si="11"/>
        <v>0</v>
      </c>
    </row>
    <row r="21" spans="2:20">
      <c r="B21" s="78">
        <f t="shared" si="3"/>
        <v>45170</v>
      </c>
      <c r="C21" s="75">
        <f>IF(F21="","",-INDEX([8]Delta!$F$1:$EE$997,$L$13,$I21))</f>
        <v>746624.78039285541</v>
      </c>
      <c r="D21" s="71">
        <f>IF(ISNUMBER($F21),VLOOKUP($J21,'Table 1'!$B$13:$C$33,2,FALSE)/12*1000*Study_MW,"")</f>
        <v>0</v>
      </c>
      <c r="E21" s="71">
        <f t="shared" si="15"/>
        <v>746624.78039285541</v>
      </c>
      <c r="F21" s="75">
        <f>IF(INDEX([8]Delta!$F$1:$EE$997,$L$14,$I21)=0,"",INDEX([8]Delta!$F$1:$EE$997,$L$14,$I21))</f>
        <v>15300</v>
      </c>
      <c r="G21" s="76">
        <f t="shared" si="16"/>
        <v>48.799005254434995</v>
      </c>
      <c r="I21" s="77">
        <f t="shared" si="5"/>
        <v>9</v>
      </c>
      <c r="J21" s="73">
        <f t="shared" si="4"/>
        <v>2023</v>
      </c>
      <c r="K21" s="78">
        <f t="shared" si="2"/>
        <v>45170</v>
      </c>
      <c r="L21" s="73">
        <f t="shared" si="14"/>
        <v>2028</v>
      </c>
      <c r="M21" s="56">
        <f t="shared" si="6"/>
        <v>0</v>
      </c>
      <c r="N21" s="56">
        <f t="shared" si="7"/>
        <v>0</v>
      </c>
      <c r="O21" s="56">
        <f t="shared" si="8"/>
        <v>0</v>
      </c>
      <c r="P21" s="112" t="e">
        <f t="shared" si="9"/>
        <v>#DIV/0!</v>
      </c>
      <c r="Q21" s="163" t="e">
        <f t="shared" si="10"/>
        <v>#DIV/0!</v>
      </c>
      <c r="R21" s="163">
        <f t="shared" si="11"/>
        <v>0</v>
      </c>
    </row>
    <row r="22" spans="2:20">
      <c r="B22" s="78">
        <f t="shared" si="3"/>
        <v>45200</v>
      </c>
      <c r="C22" s="75">
        <f>IF(F22="","",-INDEX([8]Delta!$F$1:$EE$997,$L$13,$I22))</f>
        <v>463428.3875041604</v>
      </c>
      <c r="D22" s="71">
        <f>IF(ISNUMBER($F22),VLOOKUP($J22,'Table 1'!$B$13:$C$33,2,FALSE)/12*1000*Study_MW,"")</f>
        <v>0</v>
      </c>
      <c r="E22" s="71">
        <f t="shared" si="15"/>
        <v>463428.3875041604</v>
      </c>
      <c r="F22" s="75">
        <f>IF(INDEX([8]Delta!$F$1:$EE$997,$L$14,$I22)=0,"",INDEX([8]Delta!$F$1:$EE$997,$L$14,$I22))</f>
        <v>15810</v>
      </c>
      <c r="G22" s="76">
        <f t="shared" si="16"/>
        <v>29.312358475911473</v>
      </c>
      <c r="I22" s="77">
        <f t="shared" si="5"/>
        <v>10</v>
      </c>
      <c r="J22" s="73">
        <f t="shared" si="4"/>
        <v>2023</v>
      </c>
      <c r="K22" s="78">
        <f t="shared" si="2"/>
        <v>45200</v>
      </c>
      <c r="L22" s="73">
        <f t="shared" si="14"/>
        <v>2029</v>
      </c>
      <c r="M22" s="56">
        <f t="shared" si="6"/>
        <v>0</v>
      </c>
      <c r="N22" s="56">
        <f t="shared" si="7"/>
        <v>0</v>
      </c>
      <c r="O22" s="56">
        <f t="shared" si="8"/>
        <v>0</v>
      </c>
      <c r="P22" s="112" t="e">
        <f t="shared" si="9"/>
        <v>#DIV/0!</v>
      </c>
      <c r="Q22" s="163" t="e">
        <f t="shared" si="10"/>
        <v>#DIV/0!</v>
      </c>
      <c r="R22" s="163">
        <f t="shared" si="11"/>
        <v>0</v>
      </c>
    </row>
    <row r="23" spans="2:20">
      <c r="B23" s="78">
        <f t="shared" si="3"/>
        <v>45231</v>
      </c>
      <c r="C23" s="75">
        <f>IF(F23="","",-INDEX([8]Delta!$F$1:$EE$997,$L$13,$I23))</f>
        <v>462512.07453858852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462512.07453858852</v>
      </c>
      <c r="F23" s="75">
        <f>IF(INDEX([8]Delta!$F$1:$EE$997,$L$14,$I23)=0,"",INDEX([8]Delta!$F$1:$EE$997,$L$14,$I23))</f>
        <v>15300</v>
      </c>
      <c r="G23" s="76">
        <f t="shared" ref="G23" si="18">IF(ISNUMBER($F23),E23/$F23,"")</f>
        <v>30.229547355463303</v>
      </c>
      <c r="I23" s="77">
        <f t="shared" si="5"/>
        <v>11</v>
      </c>
      <c r="J23" s="73">
        <f t="shared" si="4"/>
        <v>2023</v>
      </c>
      <c r="K23" s="78">
        <f t="shared" si="2"/>
        <v>45231</v>
      </c>
      <c r="L23" s="73">
        <f t="shared" si="14"/>
        <v>2030</v>
      </c>
      <c r="M23" s="56">
        <f t="shared" si="6"/>
        <v>0</v>
      </c>
      <c r="N23" s="56">
        <f t="shared" si="7"/>
        <v>0</v>
      </c>
      <c r="O23" s="56">
        <f t="shared" si="8"/>
        <v>0</v>
      </c>
      <c r="P23" s="112" t="e">
        <f t="shared" si="9"/>
        <v>#DIV/0!</v>
      </c>
      <c r="Q23" s="163" t="e">
        <f t="shared" si="10"/>
        <v>#DIV/0!</v>
      </c>
      <c r="R23" s="163">
        <f t="shared" si="11"/>
        <v>0</v>
      </c>
      <c r="T23" s="41"/>
    </row>
    <row r="24" spans="2:20">
      <c r="B24" s="82">
        <f t="shared" si="3"/>
        <v>45261</v>
      </c>
      <c r="C24" s="79">
        <f>IF(F24="","",-INDEX([8]Delta!$F$1:$EE$997,$L$13,$I24))</f>
        <v>651956.53405892849</v>
      </c>
      <c r="D24" s="80">
        <f>IF(F24&lt;&gt;0,VLOOKUP($J24,'Table 1'!$B$13:$C$33,2,FALSE)/12*1000*Study_MW,0)</f>
        <v>0</v>
      </c>
      <c r="E24" s="80">
        <f t="shared" ref="E24" si="19">IF(ISNUMBER(C24+D24),C24+D24,"")</f>
        <v>651956.53405892849</v>
      </c>
      <c r="F24" s="79">
        <f>IF(INDEX([8]Delta!$F$1:$EE$997,$L$14,$I24)=0,"",INDEX([8]Delta!$F$1:$EE$997,$L$14,$I24))</f>
        <v>15810</v>
      </c>
      <c r="G24" s="81">
        <f t="shared" ref="G24" si="20">IF(ISNUMBER($F24),E24/$F24,"")</f>
        <v>41.236972426244684</v>
      </c>
      <c r="I24" s="64">
        <f t="shared" si="5"/>
        <v>12</v>
      </c>
      <c r="J24" s="73">
        <f t="shared" si="4"/>
        <v>2023</v>
      </c>
      <c r="K24" s="82">
        <f t="shared" si="2"/>
        <v>45261</v>
      </c>
      <c r="L24" s="73">
        <f t="shared" si="14"/>
        <v>2031</v>
      </c>
      <c r="M24" s="56">
        <f t="shared" si="6"/>
        <v>0</v>
      </c>
      <c r="N24" s="56">
        <f t="shared" si="7"/>
        <v>0</v>
      </c>
      <c r="O24" s="56">
        <f t="shared" si="8"/>
        <v>0</v>
      </c>
      <c r="P24" s="112" t="e">
        <f t="shared" si="9"/>
        <v>#DIV/0!</v>
      </c>
      <c r="Q24" s="163" t="e">
        <f t="shared" si="10"/>
        <v>#DIV/0!</v>
      </c>
      <c r="R24" s="163">
        <f t="shared" si="11"/>
        <v>0</v>
      </c>
    </row>
    <row r="25" spans="2:20" hidden="1" outlineLevel="1">
      <c r="B25" s="74">
        <f t="shared" si="3"/>
        <v>45292</v>
      </c>
      <c r="C25" s="69">
        <f>IF(F25&lt;&gt;0,-INDEX([8]Delta!$F$1:$EE$997,$L$13,$I25),0)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21">C25+D25</f>
        <v>0</v>
      </c>
      <c r="F25" s="69">
        <f>INDEX([8]Delta!$F$1:$EE$997,$L$14,$I25)</f>
        <v>0</v>
      </c>
      <c r="G25" s="72" t="e">
        <f t="shared" si="16"/>
        <v>#DIV/0!</v>
      </c>
      <c r="I25" s="60">
        <f>I13+13</f>
        <v>14</v>
      </c>
      <c r="J25" s="73">
        <f t="shared" si="4"/>
        <v>2024</v>
      </c>
      <c r="K25" s="74" t="str">
        <f>IF(ISNUMBER(F25),IF(F25&lt;&gt;0,B25,""),"")</f>
        <v/>
      </c>
      <c r="L25" s="73">
        <f t="shared" si="14"/>
        <v>2032</v>
      </c>
      <c r="M25" s="56">
        <f t="shared" si="6"/>
        <v>0</v>
      </c>
      <c r="N25" s="56">
        <f t="shared" si="7"/>
        <v>0</v>
      </c>
      <c r="O25" s="56">
        <f t="shared" si="8"/>
        <v>0</v>
      </c>
      <c r="P25" s="112" t="e">
        <f t="shared" si="9"/>
        <v>#DIV/0!</v>
      </c>
      <c r="Q25" s="163" t="e">
        <f t="shared" si="10"/>
        <v>#DIV/0!</v>
      </c>
      <c r="R25" s="163">
        <f t="shared" si="11"/>
        <v>0</v>
      </c>
    </row>
    <row r="26" spans="2:20" hidden="1" outlineLevel="1">
      <c r="B26" s="78">
        <f t="shared" si="3"/>
        <v>45323</v>
      </c>
      <c r="C26" s="75">
        <f>IF(F26&lt;&gt;0,-INDEX([8]Delta!$F$1:$EE$997,$L$13,$I26),0)</f>
        <v>0</v>
      </c>
      <c r="D26" s="71">
        <f>IF(F26&lt;&gt;0,VLOOKUP($J26,'Table 1'!$B$13:$C$33,2,FALSE)/12*1000*Study_MW,0)</f>
        <v>0</v>
      </c>
      <c r="E26" s="71">
        <f t="shared" si="21"/>
        <v>0</v>
      </c>
      <c r="F26" s="75">
        <f>INDEX([8]Delta!$F$1:$EE$997,$L$14,$I26)</f>
        <v>0</v>
      </c>
      <c r="G26" s="76" t="e">
        <f t="shared" si="16"/>
        <v>#DIV/0!</v>
      </c>
      <c r="I26" s="77">
        <f t="shared" ref="I26:I89" si="22">I14+13</f>
        <v>15</v>
      </c>
      <c r="J26" s="73">
        <f t="shared" si="4"/>
        <v>2024</v>
      </c>
      <c r="K26" s="78" t="str">
        <f t="shared" ref="K26:K89" si="23">IF(ISNUMBER(F26),IF(F26&lt;&gt;0,B26,""),"")</f>
        <v/>
      </c>
      <c r="L26" s="73">
        <f t="shared" si="14"/>
        <v>2033</v>
      </c>
      <c r="M26" s="56">
        <f t="shared" si="6"/>
        <v>0</v>
      </c>
      <c r="N26" s="56">
        <f t="shared" si="7"/>
        <v>0</v>
      </c>
      <c r="O26" s="56">
        <f t="shared" si="8"/>
        <v>0</v>
      </c>
      <c r="P26" s="112" t="e">
        <f>(M26+N26)/O26</f>
        <v>#DIV/0!</v>
      </c>
      <c r="Q26" s="163" t="e">
        <f t="shared" si="10"/>
        <v>#DIV/0!</v>
      </c>
      <c r="R26" s="163">
        <f t="shared" si="11"/>
        <v>0</v>
      </c>
    </row>
    <row r="27" spans="2:20" hidden="1" outlineLevel="1">
      <c r="B27" s="78">
        <f t="shared" si="3"/>
        <v>45352</v>
      </c>
      <c r="C27" s="75">
        <f>IF(F27&lt;&gt;0,-INDEX([8]Delta!$F$1:$EE$997,$L$13,$I27),0)</f>
        <v>0</v>
      </c>
      <c r="D27" s="71">
        <f>IF(F27&lt;&gt;0,VLOOKUP($J27,'Table 1'!$B$13:$C$33,2,FALSE)/12*1000*Study_MW,0)</f>
        <v>0</v>
      </c>
      <c r="E27" s="71">
        <f t="shared" si="21"/>
        <v>0</v>
      </c>
      <c r="F27" s="75">
        <f>INDEX([8]Delta!$F$1:$EE$997,$L$14,$I27)</f>
        <v>0</v>
      </c>
      <c r="G27" s="76" t="e">
        <f t="shared" si="16"/>
        <v>#DIV/0!</v>
      </c>
      <c r="I27" s="77">
        <f t="shared" si="22"/>
        <v>16</v>
      </c>
      <c r="J27" s="73">
        <f t="shared" si="4"/>
        <v>2024</v>
      </c>
      <c r="K27" s="78" t="str">
        <f t="shared" si="23"/>
        <v/>
      </c>
      <c r="L27" s="73">
        <f t="shared" si="14"/>
        <v>2034</v>
      </c>
      <c r="M27" s="56">
        <f t="shared" si="6"/>
        <v>0</v>
      </c>
      <c r="N27" s="56">
        <f t="shared" si="7"/>
        <v>0</v>
      </c>
      <c r="O27" s="56">
        <f t="shared" si="8"/>
        <v>0</v>
      </c>
      <c r="P27" s="112" t="e">
        <f t="shared" ref="P27:P31" si="24">(M27+N27)/O27</f>
        <v>#DIV/0!</v>
      </c>
      <c r="Q27" s="163" t="e">
        <f t="shared" si="10"/>
        <v>#DIV/0!</v>
      </c>
      <c r="R27" s="163">
        <f t="shared" si="11"/>
        <v>0</v>
      </c>
    </row>
    <row r="28" spans="2:20" hidden="1" outlineLevel="1">
      <c r="B28" s="78">
        <f t="shared" si="3"/>
        <v>45383</v>
      </c>
      <c r="C28" s="75">
        <f>IF(F28&lt;&gt;0,-INDEX([8]Delta!$F$1:$EE$997,$L$13,$I28),0)</f>
        <v>0</v>
      </c>
      <c r="D28" s="71">
        <f>IF(F28&lt;&gt;0,VLOOKUP($J28,'Table 1'!$B$13:$C$33,2,FALSE)/12*1000*Study_MW,0)</f>
        <v>0</v>
      </c>
      <c r="E28" s="71">
        <f t="shared" si="21"/>
        <v>0</v>
      </c>
      <c r="F28" s="75">
        <f>INDEX([8]Delta!$F$1:$EE$997,$L$14,$I28)</f>
        <v>0</v>
      </c>
      <c r="G28" s="76" t="e">
        <f t="shared" si="16"/>
        <v>#DIV/0!</v>
      </c>
      <c r="I28" s="77">
        <f t="shared" si="22"/>
        <v>17</v>
      </c>
      <c r="J28" s="73">
        <f t="shared" si="4"/>
        <v>2024</v>
      </c>
      <c r="K28" s="78" t="str">
        <f t="shared" si="23"/>
        <v/>
      </c>
      <c r="L28" s="73">
        <f t="shared" si="14"/>
        <v>2035</v>
      </c>
      <c r="M28" s="56">
        <f t="shared" si="6"/>
        <v>0</v>
      </c>
      <c r="N28" s="56">
        <f t="shared" si="7"/>
        <v>0</v>
      </c>
      <c r="O28" s="56">
        <f t="shared" si="8"/>
        <v>0</v>
      </c>
      <c r="P28" s="112" t="e">
        <f t="shared" si="24"/>
        <v>#DIV/0!</v>
      </c>
      <c r="Q28" s="163" t="e">
        <f t="shared" si="10"/>
        <v>#DIV/0!</v>
      </c>
      <c r="R28" s="163">
        <f t="shared" si="11"/>
        <v>0</v>
      </c>
    </row>
    <row r="29" spans="2:20" hidden="1" outlineLevel="1">
      <c r="B29" s="78">
        <f t="shared" si="3"/>
        <v>45413</v>
      </c>
      <c r="C29" s="75">
        <f>IF(F29&lt;&gt;0,-INDEX([8]Delta!$F$1:$EE$997,$L$13,$I29),0)</f>
        <v>0</v>
      </c>
      <c r="D29" s="71">
        <f>IF(F29&lt;&gt;0,VLOOKUP($J29,'Table 1'!$B$13:$C$33,2,FALSE)/12*1000*Study_MW,0)</f>
        <v>0</v>
      </c>
      <c r="E29" s="71">
        <f t="shared" si="21"/>
        <v>0</v>
      </c>
      <c r="F29" s="75">
        <f>INDEX([8]Delta!$F$1:$EE$997,$L$14,$I29)</f>
        <v>0</v>
      </c>
      <c r="G29" s="76" t="e">
        <f t="shared" si="16"/>
        <v>#DIV/0!</v>
      </c>
      <c r="I29" s="77">
        <f t="shared" si="22"/>
        <v>18</v>
      </c>
      <c r="J29" s="73">
        <f t="shared" si="4"/>
        <v>2024</v>
      </c>
      <c r="K29" s="78" t="str">
        <f t="shared" si="23"/>
        <v/>
      </c>
      <c r="L29" s="73">
        <f t="shared" si="14"/>
        <v>2036</v>
      </c>
      <c r="M29" s="56">
        <f t="shared" si="6"/>
        <v>0</v>
      </c>
      <c r="N29" s="56">
        <f t="shared" si="7"/>
        <v>0</v>
      </c>
      <c r="O29" s="56">
        <f t="shared" si="8"/>
        <v>0</v>
      </c>
      <c r="P29" s="112" t="e">
        <f t="shared" si="24"/>
        <v>#DIV/0!</v>
      </c>
      <c r="Q29" s="163" t="e">
        <f t="shared" si="10"/>
        <v>#DIV/0!</v>
      </c>
      <c r="R29" s="163">
        <f t="shared" si="11"/>
        <v>0</v>
      </c>
    </row>
    <row r="30" spans="2:20" hidden="1" outlineLevel="1">
      <c r="B30" s="78">
        <f t="shared" si="3"/>
        <v>45444</v>
      </c>
      <c r="C30" s="75">
        <f>IF(F30&lt;&gt;0,-INDEX([8]Delta!$F$1:$EE$997,$L$13,$I30),0)</f>
        <v>0</v>
      </c>
      <c r="D30" s="71">
        <f>IF(F30&lt;&gt;0,VLOOKUP($J30,'Table 1'!$B$13:$C$33,2,FALSE)/12*1000*Study_MW,0)</f>
        <v>0</v>
      </c>
      <c r="E30" s="71">
        <f t="shared" si="21"/>
        <v>0</v>
      </c>
      <c r="F30" s="75">
        <f>INDEX([8]Delta!$F$1:$EE$997,$L$14,$I30)</f>
        <v>0</v>
      </c>
      <c r="G30" s="76" t="e">
        <f t="shared" si="16"/>
        <v>#DIV/0!</v>
      </c>
      <c r="I30" s="77">
        <f t="shared" si="22"/>
        <v>19</v>
      </c>
      <c r="J30" s="73">
        <f t="shared" si="4"/>
        <v>2024</v>
      </c>
      <c r="K30" s="78" t="str">
        <f t="shared" si="23"/>
        <v/>
      </c>
      <c r="L30" s="73">
        <f t="shared" si="14"/>
        <v>2037</v>
      </c>
      <c r="M30" s="56">
        <f t="shared" si="6"/>
        <v>0</v>
      </c>
      <c r="N30" s="56">
        <f t="shared" si="7"/>
        <v>0</v>
      </c>
      <c r="O30" s="56">
        <f t="shared" si="8"/>
        <v>0</v>
      </c>
      <c r="P30" s="112" t="e">
        <f t="shared" si="24"/>
        <v>#DIV/0!</v>
      </c>
      <c r="Q30" s="163" t="e">
        <f t="shared" si="10"/>
        <v>#DIV/0!</v>
      </c>
      <c r="R30" s="163">
        <f t="shared" si="11"/>
        <v>0</v>
      </c>
    </row>
    <row r="31" spans="2:20" hidden="1" outlineLevel="1">
      <c r="B31" s="78">
        <f t="shared" si="3"/>
        <v>45474</v>
      </c>
      <c r="C31" s="75">
        <f>IF(F31&lt;&gt;0,-INDEX([8]Delta!$F$1:$EE$997,$L$13,$I31),0)</f>
        <v>0</v>
      </c>
      <c r="D31" s="71">
        <f>IF(F31&lt;&gt;0,VLOOKUP($J31,'Table 1'!$B$13:$C$33,2,FALSE)/12*1000*Study_MW,0)</f>
        <v>0</v>
      </c>
      <c r="E31" s="71">
        <f t="shared" si="21"/>
        <v>0</v>
      </c>
      <c r="F31" s="75">
        <f>INDEX([8]Delta!$F$1:$EE$997,$L$14,$I31)</f>
        <v>0</v>
      </c>
      <c r="G31" s="76" t="e">
        <f t="shared" si="16"/>
        <v>#DIV/0!</v>
      </c>
      <c r="I31" s="77">
        <f t="shared" si="22"/>
        <v>20</v>
      </c>
      <c r="J31" s="73">
        <f t="shared" si="4"/>
        <v>2024</v>
      </c>
      <c r="K31" s="78" t="str">
        <f t="shared" si="23"/>
        <v/>
      </c>
      <c r="L31" s="73">
        <f t="shared" si="14"/>
        <v>2038</v>
      </c>
      <c r="M31" s="56">
        <f t="shared" si="6"/>
        <v>0</v>
      </c>
      <c r="N31" s="56">
        <f t="shared" si="7"/>
        <v>0</v>
      </c>
      <c r="O31" s="56">
        <f t="shared" si="8"/>
        <v>0</v>
      </c>
      <c r="P31" s="112" t="e">
        <f t="shared" si="24"/>
        <v>#DIV/0!</v>
      </c>
      <c r="Q31" s="163" t="e">
        <f t="shared" si="10"/>
        <v>#DIV/0!</v>
      </c>
      <c r="R31" s="163">
        <f t="shared" si="11"/>
        <v>0</v>
      </c>
    </row>
    <row r="32" spans="2:20" hidden="1" outlineLevel="1">
      <c r="B32" s="78">
        <f t="shared" si="3"/>
        <v>45505</v>
      </c>
      <c r="C32" s="75">
        <f>IF(F32&lt;&gt;0,-INDEX([8]Delta!$F$1:$EE$997,$L$13,$I32),0)</f>
        <v>0</v>
      </c>
      <c r="D32" s="71">
        <f>IF(F32&lt;&gt;0,VLOOKUP($J32,'Table 1'!$B$13:$C$33,2,FALSE)/12*1000*Study_MW,0)</f>
        <v>0</v>
      </c>
      <c r="E32" s="71">
        <f t="shared" si="21"/>
        <v>0</v>
      </c>
      <c r="F32" s="75">
        <f>INDEX([8]Delta!$F$1:$EE$997,$L$14,$I32)</f>
        <v>0</v>
      </c>
      <c r="G32" s="76" t="e">
        <f t="shared" si="16"/>
        <v>#DIV/0!</v>
      </c>
      <c r="I32" s="77">
        <f t="shared" si="22"/>
        <v>21</v>
      </c>
      <c r="J32" s="73">
        <f t="shared" si="4"/>
        <v>2024</v>
      </c>
      <c r="K32" s="78" t="str">
        <f t="shared" si="23"/>
        <v/>
      </c>
      <c r="L32" s="73">
        <f t="shared" si="14"/>
        <v>2039</v>
      </c>
      <c r="M32" s="56">
        <f t="shared" si="6"/>
        <v>0</v>
      </c>
      <c r="N32" s="56">
        <f t="shared" si="7"/>
        <v>0</v>
      </c>
      <c r="O32" s="56">
        <f t="shared" si="8"/>
        <v>0</v>
      </c>
      <c r="P32" s="112" t="e">
        <f t="shared" ref="P32:P34" si="25">(M32+N32)/O32</f>
        <v>#DIV/0!</v>
      </c>
      <c r="Q32" s="163" t="e">
        <f t="shared" si="10"/>
        <v>#DIV/0!</v>
      </c>
      <c r="R32" s="163">
        <f t="shared" si="11"/>
        <v>0</v>
      </c>
    </row>
    <row r="33" spans="2:20" hidden="1" outlineLevel="1">
      <c r="B33" s="78">
        <f t="shared" si="3"/>
        <v>45536</v>
      </c>
      <c r="C33" s="75">
        <f>IF(F33&lt;&gt;0,-INDEX([8]Delta!$F$1:$EE$997,$L$13,$I33),0)</f>
        <v>0</v>
      </c>
      <c r="D33" s="71">
        <f>IF(F33&lt;&gt;0,VLOOKUP($J33,'Table 1'!$B$13:$C$33,2,FALSE)/12*1000*Study_MW,0)</f>
        <v>0</v>
      </c>
      <c r="E33" s="71">
        <f t="shared" si="21"/>
        <v>0</v>
      </c>
      <c r="F33" s="75">
        <f>INDEX([8]Delta!$F$1:$EE$997,$L$14,$I33)</f>
        <v>0</v>
      </c>
      <c r="G33" s="76" t="e">
        <f t="shared" si="16"/>
        <v>#DIV/0!</v>
      </c>
      <c r="I33" s="77">
        <f t="shared" si="22"/>
        <v>22</v>
      </c>
      <c r="J33" s="73">
        <f t="shared" si="4"/>
        <v>2024</v>
      </c>
      <c r="K33" s="78" t="str">
        <f t="shared" si="23"/>
        <v/>
      </c>
      <c r="L33" s="73">
        <f t="shared" si="14"/>
        <v>2040</v>
      </c>
      <c r="M33" s="56">
        <f t="shared" si="6"/>
        <v>0</v>
      </c>
      <c r="N33" s="56">
        <f t="shared" si="7"/>
        <v>0</v>
      </c>
      <c r="O33" s="56">
        <f t="shared" si="8"/>
        <v>0</v>
      </c>
      <c r="P33" s="112" t="e">
        <f t="shared" si="25"/>
        <v>#DIV/0!</v>
      </c>
      <c r="Q33" s="163" t="e">
        <f t="shared" si="10"/>
        <v>#DIV/0!</v>
      </c>
      <c r="R33" s="163">
        <f t="shared" si="11"/>
        <v>0</v>
      </c>
    </row>
    <row r="34" spans="2:20" hidden="1" outlineLevel="1">
      <c r="B34" s="78">
        <f t="shared" si="3"/>
        <v>45566</v>
      </c>
      <c r="C34" s="75">
        <f>IF(F34&lt;&gt;0,-INDEX([8]Delta!$F$1:$EE$997,$L$13,$I34),0)</f>
        <v>0</v>
      </c>
      <c r="D34" s="71">
        <f>IF(F34&lt;&gt;0,VLOOKUP($J34,'Table 1'!$B$13:$C$33,2,FALSE)/12*1000*Study_MW,0)</f>
        <v>0</v>
      </c>
      <c r="E34" s="71">
        <f t="shared" si="21"/>
        <v>0</v>
      </c>
      <c r="F34" s="75">
        <f>INDEX([8]Delta!$F$1:$EE$997,$L$14,$I34)</f>
        <v>0</v>
      </c>
      <c r="G34" s="76" t="e">
        <f t="shared" si="16"/>
        <v>#DIV/0!</v>
      </c>
      <c r="I34" s="77">
        <f t="shared" si="22"/>
        <v>23</v>
      </c>
      <c r="J34" s="73">
        <f t="shared" si="4"/>
        <v>2024</v>
      </c>
      <c r="K34" s="78" t="str">
        <f t="shared" si="23"/>
        <v/>
      </c>
      <c r="L34" s="73">
        <f t="shared" si="14"/>
        <v>2041</v>
      </c>
      <c r="M34" s="56">
        <f t="shared" si="6"/>
        <v>0</v>
      </c>
      <c r="N34" s="56">
        <f t="shared" si="7"/>
        <v>0</v>
      </c>
      <c r="O34" s="56">
        <f t="shared" si="8"/>
        <v>0</v>
      </c>
      <c r="P34" s="112" t="e">
        <f t="shared" si="25"/>
        <v>#DIV/0!</v>
      </c>
      <c r="Q34" s="163" t="e">
        <f t="shared" ref="Q34" si="26">M34/O34</f>
        <v>#DIV/0!</v>
      </c>
      <c r="R34" s="163">
        <f t="shared" ref="R34" si="27">IFERROR(N34/O34,0)</f>
        <v>0</v>
      </c>
    </row>
    <row r="35" spans="2:20" hidden="1" outlineLevel="1">
      <c r="B35" s="78">
        <f t="shared" si="3"/>
        <v>45597</v>
      </c>
      <c r="C35" s="75">
        <f>IF(F35&lt;&gt;0,-INDEX([8]Delta!$F$1:$EE$997,$L$13,$I35),0)</f>
        <v>0</v>
      </c>
      <c r="D35" s="71">
        <f>IF(F35&lt;&gt;0,VLOOKUP($J35,'Table 1'!$B$13:$C$33,2,FALSE)/12*1000*Study_MW,0)</f>
        <v>0</v>
      </c>
      <c r="E35" s="71">
        <f t="shared" si="21"/>
        <v>0</v>
      </c>
      <c r="F35" s="75">
        <f>INDEX([8]Delta!$F$1:$EE$997,$L$14,$I35)</f>
        <v>0</v>
      </c>
      <c r="G35" s="76" t="e">
        <f t="shared" si="16"/>
        <v>#DIV/0!</v>
      </c>
      <c r="I35" s="77">
        <f t="shared" si="22"/>
        <v>24</v>
      </c>
      <c r="J35" s="73">
        <f t="shared" si="4"/>
        <v>2024</v>
      </c>
      <c r="K35" s="78" t="str">
        <f t="shared" si="23"/>
        <v/>
      </c>
      <c r="L35" s="73">
        <f t="shared" si="14"/>
        <v>2042</v>
      </c>
      <c r="M35" s="56">
        <f t="shared" si="6"/>
        <v>0</v>
      </c>
      <c r="N35" s="56">
        <f t="shared" si="7"/>
        <v>0</v>
      </c>
      <c r="O35" s="56">
        <f t="shared" si="8"/>
        <v>0</v>
      </c>
      <c r="P35" s="112" t="e">
        <f t="shared" ref="P35" si="28">(M35+N35)/O35</f>
        <v>#DIV/0!</v>
      </c>
      <c r="Q35" s="163" t="e">
        <f t="shared" ref="Q35" si="29">M35/O35</f>
        <v>#DIV/0!</v>
      </c>
      <c r="R35" s="163">
        <f t="shared" ref="R35" si="30">IFERROR(N35/O35,0)</f>
        <v>0</v>
      </c>
    </row>
    <row r="36" spans="2:20" hidden="1" outlineLevel="1">
      <c r="B36" s="82">
        <f t="shared" si="3"/>
        <v>45627</v>
      </c>
      <c r="C36" s="79">
        <f>IF(F36&lt;&gt;0,-INDEX([8]Delta!$F$1:$EE$997,$L$13,$I36),0)</f>
        <v>0</v>
      </c>
      <c r="D36" s="80">
        <f>IF(F36&lt;&gt;0,VLOOKUP($J36,'Table 1'!$B$13:$C$33,2,FALSE)/12*1000*Study_MW,0)</f>
        <v>0</v>
      </c>
      <c r="E36" s="80">
        <f t="shared" si="21"/>
        <v>0</v>
      </c>
      <c r="F36" s="79">
        <f>INDEX([8]Delta!$F$1:$EE$997,$L$14,$I36)</f>
        <v>0</v>
      </c>
      <c r="G36" s="81" t="e">
        <f t="shared" si="16"/>
        <v>#DIV/0!</v>
      </c>
      <c r="I36" s="64">
        <f t="shared" si="22"/>
        <v>25</v>
      </c>
      <c r="J36" s="73">
        <f t="shared" si="4"/>
        <v>2024</v>
      </c>
      <c r="K36" s="82" t="str">
        <f t="shared" si="23"/>
        <v/>
      </c>
      <c r="L36" s="73">
        <f t="shared" si="14"/>
        <v>2043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2" t="e">
        <f t="shared" ref="P36" si="31">(M36+N36)/O36</f>
        <v>#DIV/0!</v>
      </c>
      <c r="Q36" s="163" t="e">
        <f t="shared" ref="Q36" si="32">M36/O36</f>
        <v>#DIV/0!</v>
      </c>
      <c r="R36" s="163">
        <f t="shared" ref="R36" si="33">IFERROR(N36/O36,0)</f>
        <v>0</v>
      </c>
    </row>
    <row r="37" spans="2:20" hidden="1" outlineLevel="1">
      <c r="B37" s="74">
        <f t="shared" si="3"/>
        <v>45658</v>
      </c>
      <c r="C37" s="69">
        <f>IF(F37&lt;&gt;0,-INDEX([8]Delta!$F$1:$EE$997,$L$13,$I37),0)</f>
        <v>0</v>
      </c>
      <c r="D37" s="70">
        <f>IF(F37&lt;&gt;0,VLOOKUP($J37,'Table 1'!$B$13:$C$33,2,FALSE)/12*1000*Study_MW,0)</f>
        <v>0</v>
      </c>
      <c r="E37" s="70">
        <f t="shared" si="21"/>
        <v>0</v>
      </c>
      <c r="F37" s="69">
        <f>INDEX([8]Delta!$F$1:$EE$997,$L$14,$I37)</f>
        <v>0</v>
      </c>
      <c r="G37" s="72" t="e">
        <f t="shared" si="16"/>
        <v>#DIV/0!</v>
      </c>
      <c r="I37" s="60">
        <f>I25+13</f>
        <v>27</v>
      </c>
      <c r="J37" s="73">
        <f t="shared" si="4"/>
        <v>2025</v>
      </c>
      <c r="K37" s="74" t="str">
        <f t="shared" si="23"/>
        <v/>
      </c>
      <c r="L37" s="73">
        <f t="shared" si="14"/>
        <v>2044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2" t="e">
        <f t="shared" ref="P37" si="34">(M37+N37)/O37</f>
        <v>#DIV/0!</v>
      </c>
      <c r="Q37" s="163" t="e">
        <f t="shared" ref="Q37" si="35">M37/O37</f>
        <v>#DIV/0!</v>
      </c>
      <c r="R37" s="163">
        <f t="shared" ref="R37" si="36">IFERROR(N37/O37,0)</f>
        <v>0</v>
      </c>
    </row>
    <row r="38" spans="2:20" hidden="1" outlineLevel="1">
      <c r="B38" s="78">
        <f t="shared" si="3"/>
        <v>45689</v>
      </c>
      <c r="C38" s="75">
        <f>IF(F38&lt;&gt;0,-INDEX([8]Delta!$F$1:$EE$997,$L$13,$I38),0)</f>
        <v>0</v>
      </c>
      <c r="D38" s="71">
        <f>IF(F38&lt;&gt;0,VLOOKUP($J38,'Table 1'!$B$13:$C$33,2,FALSE)/12*1000*Study_MW,0)</f>
        <v>0</v>
      </c>
      <c r="E38" s="71">
        <f t="shared" si="21"/>
        <v>0</v>
      </c>
      <c r="F38" s="75">
        <f>INDEX([8]Delta!$F$1:$EE$997,$L$14,$I38)</f>
        <v>0</v>
      </c>
      <c r="G38" s="76" t="e">
        <f t="shared" si="16"/>
        <v>#DIV/0!</v>
      </c>
      <c r="I38" s="77">
        <f t="shared" si="22"/>
        <v>28</v>
      </c>
      <c r="J38" s="73">
        <f t="shared" si="4"/>
        <v>2025</v>
      </c>
      <c r="K38" s="78" t="str">
        <f t="shared" si="23"/>
        <v/>
      </c>
      <c r="L38" s="73">
        <f t="shared" si="14"/>
        <v>2045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2" t="e">
        <f t="shared" ref="P38:P41" si="37">(M38+N38)/O38</f>
        <v>#DIV/0!</v>
      </c>
      <c r="Q38" s="163" t="e">
        <f t="shared" ref="Q38:Q41" si="38">M38/O38</f>
        <v>#DIV/0!</v>
      </c>
      <c r="R38" s="163">
        <f t="shared" ref="R38:R41" si="39">IFERROR(N38/O38,0)</f>
        <v>0</v>
      </c>
    </row>
    <row r="39" spans="2:20" hidden="1" outlineLevel="1">
      <c r="B39" s="78">
        <f t="shared" si="3"/>
        <v>45717</v>
      </c>
      <c r="C39" s="75">
        <f>IF(F39&lt;&gt;0,-INDEX([8]Delta!$F$1:$EE$997,$L$13,$I39),0)</f>
        <v>0</v>
      </c>
      <c r="D39" s="71">
        <f>IF(F39&lt;&gt;0,VLOOKUP($J39,'Table 1'!$B$13:$C$33,2,FALSE)/12*1000*Study_MW,0)</f>
        <v>0</v>
      </c>
      <c r="E39" s="71">
        <f t="shared" si="21"/>
        <v>0</v>
      </c>
      <c r="F39" s="75">
        <f>INDEX([8]Delta!$F$1:$EE$997,$L$14,$I39)</f>
        <v>0</v>
      </c>
      <c r="G39" s="76" t="e">
        <f t="shared" si="16"/>
        <v>#DIV/0!</v>
      </c>
      <c r="I39" s="77">
        <f t="shared" si="22"/>
        <v>29</v>
      </c>
      <c r="J39" s="73">
        <f t="shared" si="4"/>
        <v>2025</v>
      </c>
      <c r="K39" s="78" t="str">
        <f t="shared" si="23"/>
        <v/>
      </c>
      <c r="L39" s="73">
        <f t="shared" si="14"/>
        <v>2046</v>
      </c>
      <c r="M39" s="56">
        <f>SUMIF($J$13:$J$316,L39,$C$13:$C$316)</f>
        <v>0</v>
      </c>
      <c r="N39" s="56">
        <f>SUMIF($J$13:$J$316,L39,$D$13:$D$316)</f>
        <v>0</v>
      </c>
      <c r="O39" s="56">
        <f>SUMIF($J$13:$J$316,L39,$F$13:$F$316)</f>
        <v>0</v>
      </c>
      <c r="P39" s="112" t="e">
        <f t="shared" si="37"/>
        <v>#DIV/0!</v>
      </c>
      <c r="Q39" s="163" t="e">
        <f t="shared" si="38"/>
        <v>#DIV/0!</v>
      </c>
      <c r="R39" s="163">
        <f t="shared" si="39"/>
        <v>0</v>
      </c>
    </row>
    <row r="40" spans="2:20" hidden="1" outlineLevel="1">
      <c r="B40" s="78">
        <f t="shared" si="3"/>
        <v>45748</v>
      </c>
      <c r="C40" s="75">
        <f>IF(F40&lt;&gt;0,-INDEX([8]Delta!$F$1:$EE$997,$L$13,$I40),0)</f>
        <v>0</v>
      </c>
      <c r="D40" s="71">
        <f>IF(F40&lt;&gt;0,VLOOKUP($J40,'Table 1'!$B$13:$C$33,2,FALSE)/12*1000*Study_MW,0)</f>
        <v>0</v>
      </c>
      <c r="E40" s="71">
        <f t="shared" si="21"/>
        <v>0</v>
      </c>
      <c r="F40" s="75">
        <f>INDEX([8]Delta!$F$1:$EE$997,$L$14,$I40)</f>
        <v>0</v>
      </c>
      <c r="G40" s="76" t="e">
        <f t="shared" si="16"/>
        <v>#DIV/0!</v>
      </c>
      <c r="I40" s="77">
        <f t="shared" si="22"/>
        <v>30</v>
      </c>
      <c r="J40" s="73">
        <f t="shared" si="4"/>
        <v>2025</v>
      </c>
      <c r="K40" s="78" t="str">
        <f t="shared" si="23"/>
        <v/>
      </c>
      <c r="L40" s="73">
        <f t="shared" si="14"/>
        <v>2047</v>
      </c>
      <c r="M40" s="56">
        <f>SUMIF($J$13:$J$316,L40,$C$13:$C$316)</f>
        <v>0</v>
      </c>
      <c r="N40" s="56">
        <f>SUMIF($J$13:$J$316,L40,$D$13:$D$316)</f>
        <v>0</v>
      </c>
      <c r="O40" s="56">
        <f>SUMIF($J$13:$J$316,L40,$F$13:$F$316)</f>
        <v>0</v>
      </c>
      <c r="P40" s="112" t="e">
        <f t="shared" si="37"/>
        <v>#DIV/0!</v>
      </c>
      <c r="Q40" s="163" t="e">
        <f t="shared" si="38"/>
        <v>#DIV/0!</v>
      </c>
      <c r="R40" s="163">
        <f t="shared" si="39"/>
        <v>0</v>
      </c>
      <c r="S40" s="58"/>
      <c r="T40" s="91"/>
    </row>
    <row r="41" spans="2:20" hidden="1" outlineLevel="1">
      <c r="B41" s="78">
        <f t="shared" si="3"/>
        <v>45778</v>
      </c>
      <c r="C41" s="75">
        <f>IF(F41&lt;&gt;0,-INDEX([8]Delta!$F$1:$EE$997,$L$13,$I41),0)</f>
        <v>0</v>
      </c>
      <c r="D41" s="71">
        <f>IF(F41&lt;&gt;0,VLOOKUP($J41,'Table 1'!$B$13:$C$33,2,FALSE)/12*1000*Study_MW,0)</f>
        <v>0</v>
      </c>
      <c r="E41" s="71">
        <f t="shared" si="21"/>
        <v>0</v>
      </c>
      <c r="F41" s="75">
        <f>INDEX([8]Delta!$F$1:$EE$997,$L$14,$I41)</f>
        <v>0</v>
      </c>
      <c r="G41" s="76" t="e">
        <f t="shared" si="16"/>
        <v>#DIV/0!</v>
      </c>
      <c r="I41" s="77">
        <f t="shared" si="22"/>
        <v>31</v>
      </c>
      <c r="J41" s="73">
        <f t="shared" si="4"/>
        <v>2025</v>
      </c>
      <c r="K41" s="78" t="str">
        <f t="shared" si="23"/>
        <v/>
      </c>
      <c r="L41" s="73">
        <f t="shared" si="14"/>
        <v>2048</v>
      </c>
      <c r="M41" s="56">
        <f>SUMIF($J$13:$J$316,L41,$C$13:$C$316)</f>
        <v>0</v>
      </c>
      <c r="N41" s="56">
        <f>SUMIF($J$13:$J$316,L41,$D$13:$D$316)</f>
        <v>0</v>
      </c>
      <c r="O41" s="56">
        <f>SUMIF($J$13:$J$316,L41,$F$13:$F$316)</f>
        <v>0</v>
      </c>
      <c r="P41" s="112" t="e">
        <f t="shared" si="37"/>
        <v>#DIV/0!</v>
      </c>
      <c r="Q41" s="163" t="e">
        <f t="shared" si="38"/>
        <v>#DIV/0!</v>
      </c>
      <c r="R41" s="163">
        <f t="shared" si="39"/>
        <v>0</v>
      </c>
      <c r="S41" s="58"/>
      <c r="T41" s="91"/>
    </row>
    <row r="42" spans="2:20" hidden="1" outlineLevel="1">
      <c r="B42" s="78">
        <f t="shared" si="3"/>
        <v>45809</v>
      </c>
      <c r="C42" s="75">
        <f>IF(F42&lt;&gt;0,-INDEX([8]Delta!$F$1:$EE$997,$L$13,$I42),0)</f>
        <v>0</v>
      </c>
      <c r="D42" s="71">
        <f>IF(F42&lt;&gt;0,VLOOKUP($J42,'Table 1'!$B$13:$C$33,2,FALSE)/12*1000*Study_MW,0)</f>
        <v>0</v>
      </c>
      <c r="E42" s="71">
        <f t="shared" si="21"/>
        <v>0</v>
      </c>
      <c r="F42" s="75">
        <f>INDEX([8]Delta!$F$1:$EE$997,$L$14,$I42)</f>
        <v>0</v>
      </c>
      <c r="G42" s="76" t="e">
        <f t="shared" si="16"/>
        <v>#DIV/0!</v>
      </c>
      <c r="I42" s="77">
        <f t="shared" si="22"/>
        <v>32</v>
      </c>
      <c r="J42" s="73">
        <f t="shared" si="4"/>
        <v>2025</v>
      </c>
      <c r="K42" s="78" t="str">
        <f t="shared" si="23"/>
        <v/>
      </c>
      <c r="L42" s="73">
        <f t="shared" si="14"/>
        <v>2049</v>
      </c>
      <c r="P42" s="112"/>
      <c r="Q42" s="163"/>
      <c r="R42" s="163"/>
    </row>
    <row r="43" spans="2:20" hidden="1" outlineLevel="1">
      <c r="B43" s="78">
        <f t="shared" si="3"/>
        <v>45839</v>
      </c>
      <c r="C43" s="75">
        <f>IF(F43&lt;&gt;0,-INDEX([8]Delta!$F$1:$EE$997,$L$13,$I43),0)</f>
        <v>0</v>
      </c>
      <c r="D43" s="71">
        <f>IF(F43&lt;&gt;0,VLOOKUP($J43,'Table 1'!$B$13:$C$33,2,FALSE)/12*1000*Study_MW,0)</f>
        <v>0</v>
      </c>
      <c r="E43" s="71">
        <f t="shared" si="21"/>
        <v>0</v>
      </c>
      <c r="F43" s="75">
        <f>INDEX([8]Delta!$F$1:$EE$997,$L$14,$I43)</f>
        <v>0</v>
      </c>
      <c r="G43" s="76" t="e">
        <f t="shared" si="16"/>
        <v>#DIV/0!</v>
      </c>
      <c r="I43" s="77">
        <f t="shared" si="22"/>
        <v>33</v>
      </c>
      <c r="J43" s="73">
        <f t="shared" si="4"/>
        <v>2025</v>
      </c>
      <c r="K43" s="78" t="str">
        <f t="shared" si="23"/>
        <v/>
      </c>
    </row>
    <row r="44" spans="2:20" hidden="1" outlineLevel="1">
      <c r="B44" s="78">
        <f t="shared" si="3"/>
        <v>45870</v>
      </c>
      <c r="C44" s="75">
        <f>IF(F44&lt;&gt;0,-INDEX([8]Delta!$F$1:$EE$997,$L$13,$I44),0)</f>
        <v>0</v>
      </c>
      <c r="D44" s="71">
        <f>IF(F44&lt;&gt;0,VLOOKUP($J44,'Table 1'!$B$13:$C$33,2,FALSE)/12*1000*Study_MW,0)</f>
        <v>0</v>
      </c>
      <c r="E44" s="71">
        <f t="shared" si="21"/>
        <v>0</v>
      </c>
      <c r="F44" s="75">
        <f>INDEX([8]Delta!$F$1:$EE$997,$L$14,$I44)</f>
        <v>0</v>
      </c>
      <c r="G44" s="76" t="e">
        <f t="shared" si="16"/>
        <v>#DIV/0!</v>
      </c>
      <c r="I44" s="77">
        <f t="shared" si="22"/>
        <v>34</v>
      </c>
      <c r="J44" s="73">
        <f t="shared" si="4"/>
        <v>2025</v>
      </c>
      <c r="K44" s="78" t="str">
        <f t="shared" si="23"/>
        <v/>
      </c>
    </row>
    <row r="45" spans="2:20" hidden="1" outlineLevel="1">
      <c r="B45" s="78">
        <f t="shared" si="3"/>
        <v>45901</v>
      </c>
      <c r="C45" s="75">
        <f>IF(F45&lt;&gt;0,-INDEX([8]Delta!$F$1:$EE$997,$L$13,$I45),0)</f>
        <v>0</v>
      </c>
      <c r="D45" s="71">
        <f>IF(F45&lt;&gt;0,VLOOKUP($J45,'Table 1'!$B$13:$C$33,2,FALSE)/12*1000*Study_MW,0)</f>
        <v>0</v>
      </c>
      <c r="E45" s="71">
        <f t="shared" si="21"/>
        <v>0</v>
      </c>
      <c r="F45" s="75">
        <f>INDEX([8]Delta!$F$1:$EE$997,$L$14,$I45)</f>
        <v>0</v>
      </c>
      <c r="G45" s="76" t="e">
        <f t="shared" si="16"/>
        <v>#DIV/0!</v>
      </c>
      <c r="I45" s="77">
        <f t="shared" si="22"/>
        <v>35</v>
      </c>
      <c r="J45" s="73">
        <f t="shared" si="4"/>
        <v>2025</v>
      </c>
      <c r="K45" s="78" t="str">
        <f t="shared" si="23"/>
        <v/>
      </c>
    </row>
    <row r="46" spans="2:20" hidden="1" outlineLevel="1">
      <c r="B46" s="78">
        <f t="shared" si="3"/>
        <v>45931</v>
      </c>
      <c r="C46" s="75">
        <f>IF(F46&lt;&gt;0,-INDEX([8]Delta!$F$1:$EE$997,$L$13,$I46),0)</f>
        <v>0</v>
      </c>
      <c r="D46" s="71">
        <f>IF(F46&lt;&gt;0,VLOOKUP($J46,'Table 1'!$B$13:$C$33,2,FALSE)/12*1000*Study_MW,0)</f>
        <v>0</v>
      </c>
      <c r="E46" s="71">
        <f t="shared" si="21"/>
        <v>0</v>
      </c>
      <c r="F46" s="75">
        <f>INDEX([8]Delta!$F$1:$EE$997,$L$14,$I46)</f>
        <v>0</v>
      </c>
      <c r="G46" s="76" t="e">
        <f t="shared" si="16"/>
        <v>#DIV/0!</v>
      </c>
      <c r="I46" s="77">
        <f t="shared" si="22"/>
        <v>36</v>
      </c>
      <c r="J46" s="73">
        <f t="shared" si="4"/>
        <v>2025</v>
      </c>
      <c r="K46" s="78" t="str">
        <f t="shared" si="23"/>
        <v/>
      </c>
    </row>
    <row r="47" spans="2:20" hidden="1" outlineLevel="1">
      <c r="B47" s="78">
        <f t="shared" si="3"/>
        <v>45962</v>
      </c>
      <c r="C47" s="75">
        <f>IF(F47&lt;&gt;0,-INDEX([8]Delta!$F$1:$EE$997,$L$13,$I47),0)</f>
        <v>0</v>
      </c>
      <c r="D47" s="71">
        <f>IF(F47&lt;&gt;0,VLOOKUP($J47,'Table 1'!$B$13:$C$33,2,FALSE)/12*1000*Study_MW,0)</f>
        <v>0</v>
      </c>
      <c r="E47" s="71">
        <f t="shared" si="21"/>
        <v>0</v>
      </c>
      <c r="F47" s="75">
        <f>INDEX([8]Delta!$F$1:$EE$997,$L$14,$I47)</f>
        <v>0</v>
      </c>
      <c r="G47" s="76" t="e">
        <f t="shared" si="16"/>
        <v>#DIV/0!</v>
      </c>
      <c r="I47" s="77">
        <f t="shared" si="22"/>
        <v>37</v>
      </c>
      <c r="J47" s="73">
        <f t="shared" si="4"/>
        <v>2025</v>
      </c>
      <c r="K47" s="78" t="str">
        <f t="shared" si="23"/>
        <v/>
      </c>
    </row>
    <row r="48" spans="2:20" hidden="1" outlineLevel="1">
      <c r="B48" s="82">
        <f t="shared" si="3"/>
        <v>45992</v>
      </c>
      <c r="C48" s="79">
        <f>IF(F48&lt;&gt;0,-INDEX([8]Delta!$F$1:$EE$997,$L$13,$I48),0)</f>
        <v>0</v>
      </c>
      <c r="D48" s="80">
        <f>IF(F48&lt;&gt;0,VLOOKUP($J48,'Table 1'!$B$13:$C$33,2,FALSE)/12*1000*Study_MW,0)</f>
        <v>0</v>
      </c>
      <c r="E48" s="80">
        <f t="shared" si="21"/>
        <v>0</v>
      </c>
      <c r="F48" s="79">
        <f>INDEX([8]Delta!$F$1:$EE$997,$L$14,$I48)</f>
        <v>0</v>
      </c>
      <c r="G48" s="81" t="e">
        <f t="shared" si="16"/>
        <v>#DIV/0!</v>
      </c>
      <c r="I48" s="64">
        <f t="shared" si="22"/>
        <v>38</v>
      </c>
      <c r="J48" s="73">
        <f t="shared" si="4"/>
        <v>2025</v>
      </c>
      <c r="K48" s="82" t="str">
        <f t="shared" si="23"/>
        <v/>
      </c>
    </row>
    <row r="49" spans="2:11" hidden="1" outlineLevel="1">
      <c r="B49" s="74">
        <f t="shared" si="3"/>
        <v>46023</v>
      </c>
      <c r="C49" s="69">
        <f>IF(F49&lt;&gt;0,-INDEX([8]Delta!$F$1:$EE$997,$L$13,$I49),0)</f>
        <v>0</v>
      </c>
      <c r="D49" s="70">
        <f>IF(F49&lt;&gt;0,VLOOKUP($J49,'Table 1'!$B$13:$C$33,2,FALSE)/12*1000*Study_MW,0)</f>
        <v>0</v>
      </c>
      <c r="E49" s="70">
        <f t="shared" si="21"/>
        <v>0</v>
      </c>
      <c r="F49" s="69">
        <f>INDEX([8]Delta!$F$1:$EE$997,$L$14,$I49)</f>
        <v>0</v>
      </c>
      <c r="G49" s="72" t="e">
        <f t="shared" si="16"/>
        <v>#DIV/0!</v>
      </c>
      <c r="I49" s="60">
        <f>I37+13</f>
        <v>40</v>
      </c>
      <c r="J49" s="73">
        <f t="shared" si="4"/>
        <v>2026</v>
      </c>
      <c r="K49" s="74" t="str">
        <f t="shared" si="23"/>
        <v/>
      </c>
    </row>
    <row r="50" spans="2:11" hidden="1" outlineLevel="1">
      <c r="B50" s="78">
        <f t="shared" si="3"/>
        <v>46054</v>
      </c>
      <c r="C50" s="75">
        <f>IF(F50&lt;&gt;0,-INDEX([8]Delta!$F$1:$EE$997,$L$13,$I50),0)</f>
        <v>0</v>
      </c>
      <c r="D50" s="71">
        <f>IF(F50&lt;&gt;0,VLOOKUP($J50,'Table 1'!$B$13:$C$33,2,FALSE)/12*1000*Study_MW,0)</f>
        <v>0</v>
      </c>
      <c r="E50" s="71">
        <f t="shared" si="21"/>
        <v>0</v>
      </c>
      <c r="F50" s="75">
        <f>INDEX([8]Delta!$F$1:$EE$997,$L$14,$I50)</f>
        <v>0</v>
      </c>
      <c r="G50" s="76" t="e">
        <f t="shared" si="16"/>
        <v>#DIV/0!</v>
      </c>
      <c r="I50" s="77">
        <f t="shared" si="22"/>
        <v>41</v>
      </c>
      <c r="J50" s="73">
        <f t="shared" si="4"/>
        <v>2026</v>
      </c>
      <c r="K50" s="78" t="str">
        <f t="shared" si="23"/>
        <v/>
      </c>
    </row>
    <row r="51" spans="2:11" hidden="1" outlineLevel="1">
      <c r="B51" s="78">
        <f t="shared" si="3"/>
        <v>46082</v>
      </c>
      <c r="C51" s="75">
        <f>IF(F51&lt;&gt;0,-INDEX([8]Delta!$F$1:$EE$997,$L$13,$I51),0)</f>
        <v>0</v>
      </c>
      <c r="D51" s="71">
        <f>IF(F51&lt;&gt;0,VLOOKUP($J51,'Table 1'!$B$13:$C$33,2,FALSE)/12*1000*Study_MW,0)</f>
        <v>0</v>
      </c>
      <c r="E51" s="71">
        <f t="shared" si="21"/>
        <v>0</v>
      </c>
      <c r="F51" s="75">
        <f>INDEX([8]Delta!$F$1:$EE$997,$L$14,$I51)</f>
        <v>0</v>
      </c>
      <c r="G51" s="76" t="e">
        <f t="shared" si="16"/>
        <v>#DIV/0!</v>
      </c>
      <c r="I51" s="77">
        <f t="shared" si="22"/>
        <v>42</v>
      </c>
      <c r="J51" s="73">
        <f t="shared" si="4"/>
        <v>2026</v>
      </c>
      <c r="K51" s="78" t="str">
        <f t="shared" si="23"/>
        <v/>
      </c>
    </row>
    <row r="52" spans="2:11" hidden="1" outlineLevel="1">
      <c r="B52" s="78">
        <f t="shared" si="3"/>
        <v>46113</v>
      </c>
      <c r="C52" s="75">
        <f>IF(F52&lt;&gt;0,-INDEX([8]Delta!$F$1:$EE$997,$L$13,$I52),0)</f>
        <v>0</v>
      </c>
      <c r="D52" s="71">
        <f>IF(F52&lt;&gt;0,VLOOKUP($J52,'Table 1'!$B$13:$C$33,2,FALSE)/12*1000*Study_MW,0)</f>
        <v>0</v>
      </c>
      <c r="E52" s="71">
        <f t="shared" si="21"/>
        <v>0</v>
      </c>
      <c r="F52" s="75">
        <f>INDEX([8]Delta!$F$1:$EE$997,$L$14,$I52)</f>
        <v>0</v>
      </c>
      <c r="G52" s="76" t="e">
        <f t="shared" si="16"/>
        <v>#DIV/0!</v>
      </c>
      <c r="I52" s="77">
        <f t="shared" si="22"/>
        <v>43</v>
      </c>
      <c r="J52" s="73">
        <f t="shared" si="4"/>
        <v>2026</v>
      </c>
      <c r="K52" s="78" t="str">
        <f t="shared" si="23"/>
        <v/>
      </c>
    </row>
    <row r="53" spans="2:11" hidden="1" outlineLevel="1">
      <c r="B53" s="78">
        <f t="shared" si="3"/>
        <v>46143</v>
      </c>
      <c r="C53" s="75">
        <f>IF(F53&lt;&gt;0,-INDEX([8]Delta!$F$1:$EE$997,$L$13,$I53),0)</f>
        <v>0</v>
      </c>
      <c r="D53" s="71">
        <f>IF(F53&lt;&gt;0,VLOOKUP($J53,'Table 1'!$B$13:$C$33,2,FALSE)/12*1000*Study_MW,0)</f>
        <v>0</v>
      </c>
      <c r="E53" s="71">
        <f t="shared" si="21"/>
        <v>0</v>
      </c>
      <c r="F53" s="75">
        <f>INDEX([8]Delta!$F$1:$EE$997,$L$14,$I53)</f>
        <v>0</v>
      </c>
      <c r="G53" s="76" t="e">
        <f t="shared" si="16"/>
        <v>#DIV/0!</v>
      </c>
      <c r="I53" s="77">
        <f t="shared" si="22"/>
        <v>44</v>
      </c>
      <c r="J53" s="73">
        <f t="shared" si="4"/>
        <v>2026</v>
      </c>
      <c r="K53" s="78" t="str">
        <f t="shared" si="23"/>
        <v/>
      </c>
    </row>
    <row r="54" spans="2:11" hidden="1" outlineLevel="1">
      <c r="B54" s="78">
        <f t="shared" si="3"/>
        <v>46174</v>
      </c>
      <c r="C54" s="75">
        <f>IF(F54&lt;&gt;0,-INDEX([8]Delta!$F$1:$EE$997,$L$13,$I54),0)</f>
        <v>0</v>
      </c>
      <c r="D54" s="71">
        <f>IF(F54&lt;&gt;0,VLOOKUP($J54,'Table 1'!$B$13:$C$33,2,FALSE)/12*1000*Study_MW,0)</f>
        <v>0</v>
      </c>
      <c r="E54" s="71">
        <f t="shared" si="21"/>
        <v>0</v>
      </c>
      <c r="F54" s="75">
        <f>INDEX([8]Delta!$F$1:$EE$997,$L$14,$I54)</f>
        <v>0</v>
      </c>
      <c r="G54" s="76" t="e">
        <f t="shared" si="16"/>
        <v>#DIV/0!</v>
      </c>
      <c r="I54" s="77">
        <f t="shared" si="22"/>
        <v>45</v>
      </c>
      <c r="J54" s="73">
        <f t="shared" si="4"/>
        <v>2026</v>
      </c>
      <c r="K54" s="78" t="str">
        <f t="shared" si="23"/>
        <v/>
      </c>
    </row>
    <row r="55" spans="2:11" hidden="1" outlineLevel="1">
      <c r="B55" s="78">
        <f t="shared" si="3"/>
        <v>46204</v>
      </c>
      <c r="C55" s="75">
        <f>IF(F55&lt;&gt;0,-INDEX([8]Delta!$F$1:$EE$997,$L$13,$I55),0)</f>
        <v>0</v>
      </c>
      <c r="D55" s="71">
        <f>IF(F55&lt;&gt;0,VLOOKUP($J55,'Table 1'!$B$13:$C$33,2,FALSE)/12*1000*Study_MW,0)</f>
        <v>0</v>
      </c>
      <c r="E55" s="71">
        <f t="shared" si="21"/>
        <v>0</v>
      </c>
      <c r="F55" s="75">
        <f>INDEX([8]Delta!$F$1:$EE$997,$L$14,$I55)</f>
        <v>0</v>
      </c>
      <c r="G55" s="76" t="e">
        <f t="shared" si="16"/>
        <v>#DIV/0!</v>
      </c>
      <c r="I55" s="77">
        <f t="shared" si="22"/>
        <v>46</v>
      </c>
      <c r="J55" s="73">
        <f t="shared" si="4"/>
        <v>2026</v>
      </c>
      <c r="K55" s="78" t="str">
        <f t="shared" si="23"/>
        <v/>
      </c>
    </row>
    <row r="56" spans="2:11" hidden="1" outlineLevel="1">
      <c r="B56" s="78">
        <f t="shared" si="3"/>
        <v>46235</v>
      </c>
      <c r="C56" s="75">
        <f>IF(F56&lt;&gt;0,-INDEX([8]Delta!$F$1:$EE$997,$L$13,$I56),0)</f>
        <v>0</v>
      </c>
      <c r="D56" s="71">
        <f>IF(F56&lt;&gt;0,VLOOKUP($J56,'Table 1'!$B$13:$C$33,2,FALSE)/12*1000*Study_MW,0)</f>
        <v>0</v>
      </c>
      <c r="E56" s="71">
        <f t="shared" si="21"/>
        <v>0</v>
      </c>
      <c r="F56" s="75">
        <f>INDEX([8]Delta!$F$1:$EE$997,$L$14,$I56)</f>
        <v>0</v>
      </c>
      <c r="G56" s="76" t="e">
        <f t="shared" si="16"/>
        <v>#DIV/0!</v>
      </c>
      <c r="I56" s="77">
        <f t="shared" si="22"/>
        <v>47</v>
      </c>
      <c r="J56" s="73">
        <f t="shared" si="4"/>
        <v>2026</v>
      </c>
      <c r="K56" s="78" t="str">
        <f t="shared" si="23"/>
        <v/>
      </c>
    </row>
    <row r="57" spans="2:11" hidden="1" outlineLevel="1">
      <c r="B57" s="78">
        <f t="shared" si="3"/>
        <v>46266</v>
      </c>
      <c r="C57" s="75">
        <f>IF(F57&lt;&gt;0,-INDEX([8]Delta!$F$1:$EE$997,$L$13,$I57),0)</f>
        <v>0</v>
      </c>
      <c r="D57" s="71">
        <f>IF(F57&lt;&gt;0,VLOOKUP($J57,'Table 1'!$B$13:$C$33,2,FALSE)/12*1000*Study_MW,0)</f>
        <v>0</v>
      </c>
      <c r="E57" s="71">
        <f t="shared" si="21"/>
        <v>0</v>
      </c>
      <c r="F57" s="75">
        <f>INDEX([8]Delta!$F$1:$EE$997,$L$14,$I57)</f>
        <v>0</v>
      </c>
      <c r="G57" s="76" t="e">
        <f t="shared" si="16"/>
        <v>#DIV/0!</v>
      </c>
      <c r="I57" s="77">
        <f t="shared" si="22"/>
        <v>48</v>
      </c>
      <c r="J57" s="73">
        <f t="shared" si="4"/>
        <v>2026</v>
      </c>
      <c r="K57" s="78" t="str">
        <f t="shared" si="23"/>
        <v/>
      </c>
    </row>
    <row r="58" spans="2:11" hidden="1" outlineLevel="1">
      <c r="B58" s="78">
        <f t="shared" si="3"/>
        <v>46296</v>
      </c>
      <c r="C58" s="75">
        <f>IF(F58&lt;&gt;0,-INDEX([8]Delta!$F$1:$EE$997,$L$13,$I58),0)</f>
        <v>0</v>
      </c>
      <c r="D58" s="71">
        <f>IF(F58&lt;&gt;0,VLOOKUP($J58,'Table 1'!$B$13:$C$33,2,FALSE)/12*1000*Study_MW,0)</f>
        <v>0</v>
      </c>
      <c r="E58" s="71">
        <f t="shared" si="21"/>
        <v>0</v>
      </c>
      <c r="F58" s="75">
        <f>INDEX([8]Delta!$F$1:$EE$997,$L$14,$I58)</f>
        <v>0</v>
      </c>
      <c r="G58" s="76" t="e">
        <f t="shared" si="16"/>
        <v>#DIV/0!</v>
      </c>
      <c r="I58" s="77">
        <f t="shared" si="22"/>
        <v>49</v>
      </c>
      <c r="J58" s="73">
        <f t="shared" si="4"/>
        <v>2026</v>
      </c>
      <c r="K58" s="78" t="str">
        <f t="shared" si="23"/>
        <v/>
      </c>
    </row>
    <row r="59" spans="2:11" hidden="1" outlineLevel="1">
      <c r="B59" s="78">
        <f t="shared" si="3"/>
        <v>46327</v>
      </c>
      <c r="C59" s="75">
        <f>IF(F59&lt;&gt;0,-INDEX([8]Delta!$F$1:$EE$997,$L$13,$I59),0)</f>
        <v>0</v>
      </c>
      <c r="D59" s="71">
        <f>IF(F59&lt;&gt;0,VLOOKUP($J59,'Table 1'!$B$13:$C$33,2,FALSE)/12*1000*Study_MW,0)</f>
        <v>0</v>
      </c>
      <c r="E59" s="71">
        <f t="shared" si="21"/>
        <v>0</v>
      </c>
      <c r="F59" s="75">
        <f>INDEX([8]Delta!$F$1:$EE$997,$L$14,$I59)</f>
        <v>0</v>
      </c>
      <c r="G59" s="76" t="e">
        <f t="shared" si="16"/>
        <v>#DIV/0!</v>
      </c>
      <c r="I59" s="77">
        <f t="shared" si="22"/>
        <v>50</v>
      </c>
      <c r="J59" s="73">
        <f t="shared" si="4"/>
        <v>2026</v>
      </c>
      <c r="K59" s="78" t="str">
        <f t="shared" si="23"/>
        <v/>
      </c>
    </row>
    <row r="60" spans="2:11" hidden="1" outlineLevel="1">
      <c r="B60" s="82">
        <f t="shared" si="3"/>
        <v>46357</v>
      </c>
      <c r="C60" s="79">
        <f>IF(F60&lt;&gt;0,-INDEX([8]Delta!$F$1:$EE$997,$L$13,$I60),0)</f>
        <v>0</v>
      </c>
      <c r="D60" s="80">
        <f>IF(F60&lt;&gt;0,VLOOKUP($J60,'Table 1'!$B$13:$C$33,2,FALSE)/12*1000*Study_MW,0)</f>
        <v>0</v>
      </c>
      <c r="E60" s="80">
        <f t="shared" si="21"/>
        <v>0</v>
      </c>
      <c r="F60" s="79">
        <f>INDEX([8]Delta!$F$1:$EE$997,$L$14,$I60)</f>
        <v>0</v>
      </c>
      <c r="G60" s="81" t="e">
        <f t="shared" si="16"/>
        <v>#DIV/0!</v>
      </c>
      <c r="I60" s="64">
        <f t="shared" si="22"/>
        <v>51</v>
      </c>
      <c r="J60" s="73">
        <f t="shared" si="4"/>
        <v>2026</v>
      </c>
      <c r="K60" s="82" t="str">
        <f t="shared" si="23"/>
        <v/>
      </c>
    </row>
    <row r="61" spans="2:11" hidden="1" outlineLevel="1">
      <c r="B61" s="74">
        <f t="shared" si="3"/>
        <v>46388</v>
      </c>
      <c r="C61" s="69">
        <f>IF(F61&lt;&gt;0,-INDEX([8]Delta!$F$1:$EE$997,$L$13,$I61),0)</f>
        <v>0</v>
      </c>
      <c r="D61" s="70">
        <f>IF(F61&lt;&gt;0,VLOOKUP($J61,'Table 1'!$B$13:$C$33,2,FALSE)/12*1000*Study_MW,0)</f>
        <v>0</v>
      </c>
      <c r="E61" s="70">
        <f t="shared" si="21"/>
        <v>0</v>
      </c>
      <c r="F61" s="69">
        <f>INDEX([8]Delta!$F$1:$EE$997,$L$14,$I61)</f>
        <v>0</v>
      </c>
      <c r="G61" s="72" t="e">
        <f t="shared" si="16"/>
        <v>#DIV/0!</v>
      </c>
      <c r="I61" s="60">
        <f>I49+13</f>
        <v>53</v>
      </c>
      <c r="J61" s="73">
        <f t="shared" si="4"/>
        <v>2027</v>
      </c>
      <c r="K61" s="74" t="str">
        <f t="shared" si="23"/>
        <v/>
      </c>
    </row>
    <row r="62" spans="2:11" hidden="1" outlineLevel="1">
      <c r="B62" s="78">
        <f t="shared" si="3"/>
        <v>46419</v>
      </c>
      <c r="C62" s="75">
        <f>IF(F62&lt;&gt;0,-INDEX([8]Delta!$F$1:$EE$997,$L$13,$I62),0)</f>
        <v>0</v>
      </c>
      <c r="D62" s="71">
        <f>IF(F62&lt;&gt;0,VLOOKUP($J62,'Table 1'!$B$13:$C$33,2,FALSE)/12*1000*Study_MW,0)</f>
        <v>0</v>
      </c>
      <c r="E62" s="71">
        <f t="shared" si="21"/>
        <v>0</v>
      </c>
      <c r="F62" s="75">
        <f>INDEX([8]Delta!$F$1:$EE$997,$L$14,$I62)</f>
        <v>0</v>
      </c>
      <c r="G62" s="76" t="e">
        <f t="shared" si="16"/>
        <v>#DIV/0!</v>
      </c>
      <c r="I62" s="77">
        <f t="shared" si="22"/>
        <v>54</v>
      </c>
      <c r="J62" s="73">
        <f t="shared" si="4"/>
        <v>2027</v>
      </c>
      <c r="K62" s="78" t="str">
        <f t="shared" si="23"/>
        <v/>
      </c>
    </row>
    <row r="63" spans="2:11" hidden="1" outlineLevel="1">
      <c r="B63" s="78">
        <f t="shared" si="3"/>
        <v>46447</v>
      </c>
      <c r="C63" s="75">
        <f>IF(F63&lt;&gt;0,-INDEX([8]Delta!$F$1:$EE$997,$L$13,$I63),0)</f>
        <v>0</v>
      </c>
      <c r="D63" s="71">
        <f>IF(F63&lt;&gt;0,VLOOKUP($J63,'Table 1'!$B$13:$C$33,2,FALSE)/12*1000*Study_MW,0)</f>
        <v>0</v>
      </c>
      <c r="E63" s="71">
        <f t="shared" si="21"/>
        <v>0</v>
      </c>
      <c r="F63" s="75">
        <f>INDEX([8]Delta!$F$1:$EE$997,$L$14,$I63)</f>
        <v>0</v>
      </c>
      <c r="G63" s="76" t="e">
        <f t="shared" si="16"/>
        <v>#DIV/0!</v>
      </c>
      <c r="I63" s="77">
        <f t="shared" si="22"/>
        <v>55</v>
      </c>
      <c r="J63" s="73">
        <f t="shared" si="4"/>
        <v>2027</v>
      </c>
      <c r="K63" s="78" t="str">
        <f t="shared" si="23"/>
        <v/>
      </c>
    </row>
    <row r="64" spans="2:11" hidden="1" outlineLevel="1">
      <c r="B64" s="78">
        <f t="shared" si="3"/>
        <v>46478</v>
      </c>
      <c r="C64" s="75">
        <f>IF(F64&lt;&gt;0,-INDEX([8]Delta!$F$1:$EE$997,$L$13,$I64),0)</f>
        <v>0</v>
      </c>
      <c r="D64" s="71">
        <f>IF(F64&lt;&gt;0,VLOOKUP($J64,'Table 1'!$B$13:$C$33,2,FALSE)/12*1000*Study_MW,0)</f>
        <v>0</v>
      </c>
      <c r="E64" s="71">
        <f t="shared" si="21"/>
        <v>0</v>
      </c>
      <c r="F64" s="75">
        <f>INDEX([8]Delta!$F$1:$EE$997,$L$14,$I64)</f>
        <v>0</v>
      </c>
      <c r="G64" s="76" t="e">
        <f t="shared" si="16"/>
        <v>#DIV/0!</v>
      </c>
      <c r="I64" s="77">
        <f t="shared" si="22"/>
        <v>56</v>
      </c>
      <c r="J64" s="73">
        <f t="shared" si="4"/>
        <v>2027</v>
      </c>
      <c r="K64" s="78" t="str">
        <f t="shared" si="23"/>
        <v/>
      </c>
    </row>
    <row r="65" spans="2:11" hidden="1" outlineLevel="1">
      <c r="B65" s="78">
        <f t="shared" si="3"/>
        <v>46508</v>
      </c>
      <c r="C65" s="75">
        <f>IF(F65&lt;&gt;0,-INDEX([8]Delta!$F$1:$EE$997,$L$13,$I65),0)</f>
        <v>0</v>
      </c>
      <c r="D65" s="71">
        <f>IF(F65&lt;&gt;0,VLOOKUP($J65,'Table 1'!$B$13:$C$33,2,FALSE)/12*1000*Study_MW,0)</f>
        <v>0</v>
      </c>
      <c r="E65" s="71">
        <f t="shared" si="21"/>
        <v>0</v>
      </c>
      <c r="F65" s="75">
        <f>INDEX([8]Delta!$F$1:$EE$997,$L$14,$I65)</f>
        <v>0</v>
      </c>
      <c r="G65" s="76" t="e">
        <f t="shared" si="16"/>
        <v>#DIV/0!</v>
      </c>
      <c r="I65" s="77">
        <f t="shared" si="22"/>
        <v>57</v>
      </c>
      <c r="J65" s="73">
        <f t="shared" si="4"/>
        <v>2027</v>
      </c>
      <c r="K65" s="78" t="str">
        <f t="shared" si="23"/>
        <v/>
      </c>
    </row>
    <row r="66" spans="2:11" hidden="1" outlineLevel="1">
      <c r="B66" s="78">
        <f t="shared" si="3"/>
        <v>46539</v>
      </c>
      <c r="C66" s="75">
        <f>IF(F66&lt;&gt;0,-INDEX([8]Delta!$F$1:$EE$997,$L$13,$I66),0)</f>
        <v>0</v>
      </c>
      <c r="D66" s="71">
        <f>IF(F66&lt;&gt;0,VLOOKUP($J66,'Table 1'!$B$13:$C$33,2,FALSE)/12*1000*Study_MW,0)</f>
        <v>0</v>
      </c>
      <c r="E66" s="71">
        <f t="shared" si="21"/>
        <v>0</v>
      </c>
      <c r="F66" s="75">
        <f>INDEX([8]Delta!$F$1:$EE$997,$L$14,$I66)</f>
        <v>0</v>
      </c>
      <c r="G66" s="76" t="e">
        <f t="shared" si="16"/>
        <v>#DIV/0!</v>
      </c>
      <c r="I66" s="77">
        <f t="shared" si="22"/>
        <v>58</v>
      </c>
      <c r="J66" s="73">
        <f t="shared" si="4"/>
        <v>2027</v>
      </c>
      <c r="K66" s="78" t="str">
        <f t="shared" si="23"/>
        <v/>
      </c>
    </row>
    <row r="67" spans="2:11" hidden="1" outlineLevel="1">
      <c r="B67" s="78">
        <f t="shared" si="3"/>
        <v>46569</v>
      </c>
      <c r="C67" s="75">
        <f>IF(F67&lt;&gt;0,-INDEX([8]Delta!$F$1:$EE$997,$L$13,$I67),0)</f>
        <v>0</v>
      </c>
      <c r="D67" s="71">
        <f>IF(F67&lt;&gt;0,VLOOKUP($J67,'Table 1'!$B$13:$C$33,2,FALSE)/12*1000*Study_MW,0)</f>
        <v>0</v>
      </c>
      <c r="E67" s="71">
        <f t="shared" si="21"/>
        <v>0</v>
      </c>
      <c r="F67" s="75">
        <f>INDEX([8]Delta!$F$1:$EE$997,$L$14,$I67)</f>
        <v>0</v>
      </c>
      <c r="G67" s="76" t="e">
        <f t="shared" si="16"/>
        <v>#DIV/0!</v>
      </c>
      <c r="I67" s="77">
        <f t="shared" si="22"/>
        <v>59</v>
      </c>
      <c r="J67" s="73">
        <f t="shared" si="4"/>
        <v>2027</v>
      </c>
      <c r="K67" s="78" t="str">
        <f t="shared" si="23"/>
        <v/>
      </c>
    </row>
    <row r="68" spans="2:11" hidden="1" outlineLevel="1">
      <c r="B68" s="78">
        <f t="shared" si="3"/>
        <v>46600</v>
      </c>
      <c r="C68" s="75">
        <f>IF(F68&lt;&gt;0,-INDEX([8]Delta!$F$1:$EE$997,$L$13,$I68),0)</f>
        <v>0</v>
      </c>
      <c r="D68" s="71">
        <f>IF(F68&lt;&gt;0,VLOOKUP($J68,'Table 1'!$B$13:$C$33,2,FALSE)/12*1000*Study_MW,0)</f>
        <v>0</v>
      </c>
      <c r="E68" s="71">
        <f t="shared" si="21"/>
        <v>0</v>
      </c>
      <c r="F68" s="75">
        <f>INDEX([8]Delta!$F$1:$EE$997,$L$14,$I68)</f>
        <v>0</v>
      </c>
      <c r="G68" s="76" t="e">
        <f t="shared" si="16"/>
        <v>#DIV/0!</v>
      </c>
      <c r="I68" s="77">
        <f t="shared" si="22"/>
        <v>60</v>
      </c>
      <c r="J68" s="73">
        <f t="shared" si="4"/>
        <v>2027</v>
      </c>
      <c r="K68" s="78" t="str">
        <f t="shared" si="23"/>
        <v/>
      </c>
    </row>
    <row r="69" spans="2:11" hidden="1" outlineLevel="1">
      <c r="B69" s="78">
        <f t="shared" si="3"/>
        <v>46631</v>
      </c>
      <c r="C69" s="75">
        <f>IF(F69&lt;&gt;0,-INDEX([8]Delta!$F$1:$EE$997,$L$13,$I69),0)</f>
        <v>0</v>
      </c>
      <c r="D69" s="71">
        <f>IF(F69&lt;&gt;0,VLOOKUP($J69,'Table 1'!$B$13:$C$33,2,FALSE)/12*1000*Study_MW,0)</f>
        <v>0</v>
      </c>
      <c r="E69" s="71">
        <f t="shared" si="21"/>
        <v>0</v>
      </c>
      <c r="F69" s="75">
        <f>INDEX([8]Delta!$F$1:$EE$997,$L$14,$I69)</f>
        <v>0</v>
      </c>
      <c r="G69" s="76" t="e">
        <f t="shared" si="16"/>
        <v>#DIV/0!</v>
      </c>
      <c r="I69" s="77">
        <f t="shared" si="22"/>
        <v>61</v>
      </c>
      <c r="J69" s="73">
        <f t="shared" si="4"/>
        <v>2027</v>
      </c>
      <c r="K69" s="78" t="str">
        <f t="shared" si="23"/>
        <v/>
      </c>
    </row>
    <row r="70" spans="2:11" hidden="1" outlineLevel="1">
      <c r="B70" s="78">
        <f t="shared" si="3"/>
        <v>46661</v>
      </c>
      <c r="C70" s="75">
        <f>IF(F70&lt;&gt;0,-INDEX([8]Delta!$F$1:$EE$997,$L$13,$I70),0)</f>
        <v>0</v>
      </c>
      <c r="D70" s="71">
        <f>IF(F70&lt;&gt;0,VLOOKUP($J70,'Table 1'!$B$13:$C$33,2,FALSE)/12*1000*Study_MW,0)</f>
        <v>0</v>
      </c>
      <c r="E70" s="71">
        <f t="shared" si="21"/>
        <v>0</v>
      </c>
      <c r="F70" s="75">
        <f>INDEX([8]Delta!$F$1:$EE$997,$L$14,$I70)</f>
        <v>0</v>
      </c>
      <c r="G70" s="76" t="e">
        <f t="shared" si="16"/>
        <v>#DIV/0!</v>
      </c>
      <c r="I70" s="77">
        <f t="shared" si="22"/>
        <v>62</v>
      </c>
      <c r="J70" s="73">
        <f t="shared" si="4"/>
        <v>2027</v>
      </c>
      <c r="K70" s="78" t="str">
        <f t="shared" si="23"/>
        <v/>
      </c>
    </row>
    <row r="71" spans="2:11" hidden="1" outlineLevel="1">
      <c r="B71" s="78">
        <f t="shared" si="3"/>
        <v>46692</v>
      </c>
      <c r="C71" s="75">
        <f>IF(F71&lt;&gt;0,-INDEX([8]Delta!$F$1:$EE$997,$L$13,$I71),0)</f>
        <v>0</v>
      </c>
      <c r="D71" s="71">
        <f>IF(F71&lt;&gt;0,VLOOKUP($J71,'Table 1'!$B$13:$C$33,2,FALSE)/12*1000*Study_MW,0)</f>
        <v>0</v>
      </c>
      <c r="E71" s="71">
        <f t="shared" si="21"/>
        <v>0</v>
      </c>
      <c r="F71" s="75">
        <f>INDEX([8]Delta!$F$1:$EE$997,$L$14,$I71)</f>
        <v>0</v>
      </c>
      <c r="G71" s="76" t="e">
        <f t="shared" si="16"/>
        <v>#DIV/0!</v>
      </c>
      <c r="I71" s="77">
        <f t="shared" si="22"/>
        <v>63</v>
      </c>
      <c r="J71" s="73">
        <f t="shared" si="4"/>
        <v>2027</v>
      </c>
      <c r="K71" s="78" t="str">
        <f t="shared" si="23"/>
        <v/>
      </c>
    </row>
    <row r="72" spans="2:11" hidden="1" outlineLevel="1">
      <c r="B72" s="82">
        <f t="shared" si="3"/>
        <v>46722</v>
      </c>
      <c r="C72" s="79">
        <f>IF(F72&lt;&gt;0,-INDEX([8]Delta!$F$1:$EE$997,$L$13,$I72),0)</f>
        <v>0</v>
      </c>
      <c r="D72" s="80">
        <f>IF(F72&lt;&gt;0,VLOOKUP($J72,'Table 1'!$B$13:$C$33,2,FALSE)/12*1000*Study_MW,0)</f>
        <v>0</v>
      </c>
      <c r="E72" s="80">
        <f t="shared" si="21"/>
        <v>0</v>
      </c>
      <c r="F72" s="79">
        <f>INDEX([8]Delta!$F$1:$EE$997,$L$14,$I72)</f>
        <v>0</v>
      </c>
      <c r="G72" s="81" t="e">
        <f t="shared" si="16"/>
        <v>#DIV/0!</v>
      </c>
      <c r="I72" s="64">
        <f t="shared" si="22"/>
        <v>64</v>
      </c>
      <c r="J72" s="73">
        <f t="shared" si="4"/>
        <v>2027</v>
      </c>
      <c r="K72" s="82" t="str">
        <f t="shared" si="23"/>
        <v/>
      </c>
    </row>
    <row r="73" spans="2:11" hidden="1" outlineLevel="1">
      <c r="B73" s="74">
        <f t="shared" si="3"/>
        <v>46753</v>
      </c>
      <c r="C73" s="69">
        <f>IF(F73&lt;&gt;0,-INDEX([8]Delta!$F$1:$EE$997,$L$13,$I73),0)</f>
        <v>0</v>
      </c>
      <c r="D73" s="70">
        <f>IF(F73&lt;&gt;0,VLOOKUP($J73,'Table 1'!$B$13:$C$33,2,FALSE)/12*1000*Study_MW,0)</f>
        <v>0</v>
      </c>
      <c r="E73" s="70">
        <f t="shared" si="21"/>
        <v>0</v>
      </c>
      <c r="F73" s="69">
        <f>INDEX([8]Delta!$F$1:$EE$997,$L$14,$I73)</f>
        <v>0</v>
      </c>
      <c r="G73" s="72" t="e">
        <f t="shared" si="16"/>
        <v>#DIV/0!</v>
      </c>
      <c r="I73" s="60">
        <f>I61+13</f>
        <v>66</v>
      </c>
      <c r="J73" s="73">
        <f t="shared" si="4"/>
        <v>2028</v>
      </c>
      <c r="K73" s="74" t="str">
        <f t="shared" si="23"/>
        <v/>
      </c>
    </row>
    <row r="74" spans="2:11" hidden="1" outlineLevel="1">
      <c r="B74" s="78">
        <f t="shared" si="3"/>
        <v>46784</v>
      </c>
      <c r="C74" s="75">
        <f>IF(F74&lt;&gt;0,-INDEX([8]Delta!$F$1:$EE$997,$L$13,$I74),0)</f>
        <v>0</v>
      </c>
      <c r="D74" s="71">
        <f>IF(F74&lt;&gt;0,VLOOKUP($J74,'Table 1'!$B$13:$C$33,2,FALSE)/12*1000*Study_MW,0)</f>
        <v>0</v>
      </c>
      <c r="E74" s="71">
        <f t="shared" si="21"/>
        <v>0</v>
      </c>
      <c r="F74" s="75">
        <f>INDEX([8]Delta!$F$1:$EE$997,$L$14,$I74)</f>
        <v>0</v>
      </c>
      <c r="G74" s="76" t="e">
        <f t="shared" si="16"/>
        <v>#DIV/0!</v>
      </c>
      <c r="I74" s="77">
        <f t="shared" si="22"/>
        <v>67</v>
      </c>
      <c r="J74" s="73">
        <f t="shared" si="4"/>
        <v>2028</v>
      </c>
      <c r="K74" s="78" t="str">
        <f t="shared" si="23"/>
        <v/>
      </c>
    </row>
    <row r="75" spans="2:11" hidden="1" outlineLevel="1">
      <c r="B75" s="78">
        <f t="shared" si="3"/>
        <v>46813</v>
      </c>
      <c r="C75" s="75">
        <f>IF(F75&lt;&gt;0,-INDEX([8]Delta!$F$1:$EE$997,$L$13,$I75),0)</f>
        <v>0</v>
      </c>
      <c r="D75" s="71">
        <f>IF(F75&lt;&gt;0,VLOOKUP($J75,'Table 1'!$B$13:$C$33,2,FALSE)/12*1000*Study_MW,0)</f>
        <v>0</v>
      </c>
      <c r="E75" s="71">
        <f t="shared" si="21"/>
        <v>0</v>
      </c>
      <c r="F75" s="75">
        <f>INDEX([8]Delta!$F$1:$EE$997,$L$14,$I75)</f>
        <v>0</v>
      </c>
      <c r="G75" s="76" t="e">
        <f t="shared" si="16"/>
        <v>#DIV/0!</v>
      </c>
      <c r="I75" s="77">
        <f t="shared" si="22"/>
        <v>68</v>
      </c>
      <c r="J75" s="73">
        <f t="shared" si="4"/>
        <v>2028</v>
      </c>
      <c r="K75" s="78" t="str">
        <f t="shared" si="23"/>
        <v/>
      </c>
    </row>
    <row r="76" spans="2:11" hidden="1" outlineLevel="1">
      <c r="B76" s="78">
        <f t="shared" si="3"/>
        <v>46844</v>
      </c>
      <c r="C76" s="75">
        <f>IF(F76&lt;&gt;0,-INDEX([8]Delta!$F$1:$EE$997,$L$13,$I76),0)</f>
        <v>0</v>
      </c>
      <c r="D76" s="71">
        <f>IF(F76&lt;&gt;0,VLOOKUP($J76,'Table 1'!$B$13:$C$33,2,FALSE)/12*1000*Study_MW,0)</f>
        <v>0</v>
      </c>
      <c r="E76" s="71">
        <f t="shared" si="21"/>
        <v>0</v>
      </c>
      <c r="F76" s="75">
        <f>INDEX([8]Delta!$F$1:$EE$997,$L$14,$I76)</f>
        <v>0</v>
      </c>
      <c r="G76" s="76" t="e">
        <f t="shared" si="16"/>
        <v>#DIV/0!</v>
      </c>
      <c r="I76" s="77">
        <f t="shared" si="22"/>
        <v>69</v>
      </c>
      <c r="J76" s="73">
        <f t="shared" si="4"/>
        <v>2028</v>
      </c>
      <c r="K76" s="78" t="str">
        <f t="shared" si="23"/>
        <v/>
      </c>
    </row>
    <row r="77" spans="2:11" hidden="1" outlineLevel="1">
      <c r="B77" s="78">
        <f t="shared" si="3"/>
        <v>46874</v>
      </c>
      <c r="C77" s="75">
        <f>IF(F77&lt;&gt;0,-INDEX([8]Delta!$F$1:$EE$997,$L$13,$I77),0)</f>
        <v>0</v>
      </c>
      <c r="D77" s="71">
        <f>IF(F77&lt;&gt;0,VLOOKUP($J77,'Table 1'!$B$13:$C$33,2,FALSE)/12*1000*Study_MW,0)</f>
        <v>0</v>
      </c>
      <c r="E77" s="71">
        <f t="shared" si="21"/>
        <v>0</v>
      </c>
      <c r="F77" s="75">
        <f>INDEX([8]Delta!$F$1:$EE$997,$L$14,$I77)</f>
        <v>0</v>
      </c>
      <c r="G77" s="76" t="e">
        <f t="shared" si="16"/>
        <v>#DIV/0!</v>
      </c>
      <c r="I77" s="77">
        <f t="shared" si="22"/>
        <v>70</v>
      </c>
      <c r="J77" s="73">
        <f t="shared" si="4"/>
        <v>2028</v>
      </c>
      <c r="K77" s="78" t="str">
        <f t="shared" si="23"/>
        <v/>
      </c>
    </row>
    <row r="78" spans="2:11" hidden="1" outlineLevel="1">
      <c r="B78" s="78">
        <f t="shared" ref="B78:B141" si="40">EDATE(B77,1)</f>
        <v>46905</v>
      </c>
      <c r="C78" s="75">
        <f>IF(F78&lt;&gt;0,-INDEX([8]Delta!$F$1:$EE$997,$L$13,$I78),0)</f>
        <v>0</v>
      </c>
      <c r="D78" s="71">
        <f>IF(F78&lt;&gt;0,VLOOKUP($J78,'Table 1'!$B$13:$C$33,2,FALSE)/12*1000*Study_MW,0)</f>
        <v>0</v>
      </c>
      <c r="E78" s="71">
        <f t="shared" ref="E78:E141" si="41">C78+D78</f>
        <v>0</v>
      </c>
      <c r="F78" s="75">
        <f>INDEX([8]Delta!$F$1:$EE$997,$L$14,$I78)</f>
        <v>0</v>
      </c>
      <c r="G78" s="76" t="e">
        <f t="shared" ref="G78:G141" si="42">IF(ISNUMBER($F78),E78/$F78,"")</f>
        <v>#DIV/0!</v>
      </c>
      <c r="I78" s="77">
        <f t="shared" si="22"/>
        <v>71</v>
      </c>
      <c r="J78" s="73">
        <f t="shared" ref="J78:J141" si="43">YEAR(B78)</f>
        <v>2028</v>
      </c>
      <c r="K78" s="78" t="str">
        <f t="shared" si="23"/>
        <v/>
      </c>
    </row>
    <row r="79" spans="2:11" hidden="1" outlineLevel="1">
      <c r="B79" s="78">
        <f t="shared" si="40"/>
        <v>46935</v>
      </c>
      <c r="C79" s="75">
        <f>IF(F79&lt;&gt;0,-INDEX([8]Delta!$F$1:$EE$997,$L$13,$I79),0)</f>
        <v>0</v>
      </c>
      <c r="D79" s="71">
        <f>IF(F79&lt;&gt;0,VLOOKUP($J79,'Table 1'!$B$13:$C$33,2,FALSE)/12*1000*Study_MW,0)</f>
        <v>0</v>
      </c>
      <c r="E79" s="71">
        <f t="shared" si="41"/>
        <v>0</v>
      </c>
      <c r="F79" s="75">
        <f>INDEX([8]Delta!$F$1:$EE$997,$L$14,$I79)</f>
        <v>0</v>
      </c>
      <c r="G79" s="76" t="e">
        <f t="shared" si="42"/>
        <v>#DIV/0!</v>
      </c>
      <c r="I79" s="77">
        <f t="shared" si="22"/>
        <v>72</v>
      </c>
      <c r="J79" s="73">
        <f t="shared" si="43"/>
        <v>2028</v>
      </c>
      <c r="K79" s="78" t="str">
        <f t="shared" si="23"/>
        <v/>
      </c>
    </row>
    <row r="80" spans="2:11" hidden="1" outlineLevel="1">
      <c r="B80" s="78">
        <f t="shared" si="40"/>
        <v>46966</v>
      </c>
      <c r="C80" s="75">
        <f>IF(F80&lt;&gt;0,-INDEX([8]Delta!$F$1:$EE$997,$L$13,$I80),0)</f>
        <v>0</v>
      </c>
      <c r="D80" s="71">
        <f>IF(F80&lt;&gt;0,VLOOKUP($J80,'Table 1'!$B$13:$C$33,2,FALSE)/12*1000*Study_MW,0)</f>
        <v>0</v>
      </c>
      <c r="E80" s="71">
        <f t="shared" si="41"/>
        <v>0</v>
      </c>
      <c r="F80" s="75">
        <f>INDEX([8]Delta!$F$1:$EE$997,$L$14,$I80)</f>
        <v>0</v>
      </c>
      <c r="G80" s="76" t="e">
        <f t="shared" si="42"/>
        <v>#DIV/0!</v>
      </c>
      <c r="I80" s="77">
        <f t="shared" si="22"/>
        <v>73</v>
      </c>
      <c r="J80" s="73">
        <f t="shared" si="43"/>
        <v>2028</v>
      </c>
      <c r="K80" s="78" t="str">
        <f t="shared" si="23"/>
        <v/>
      </c>
    </row>
    <row r="81" spans="2:11" hidden="1" outlineLevel="1">
      <c r="B81" s="78">
        <f t="shared" si="40"/>
        <v>46997</v>
      </c>
      <c r="C81" s="75">
        <f>IF(F81&lt;&gt;0,-INDEX([8]Delta!$F$1:$EE$997,$L$13,$I81),0)</f>
        <v>0</v>
      </c>
      <c r="D81" s="71">
        <f>IF(F81&lt;&gt;0,VLOOKUP($J81,'Table 1'!$B$13:$C$33,2,FALSE)/12*1000*Study_MW,0)</f>
        <v>0</v>
      </c>
      <c r="E81" s="71">
        <f t="shared" si="41"/>
        <v>0</v>
      </c>
      <c r="F81" s="75">
        <f>INDEX([8]Delta!$F$1:$EE$997,$L$14,$I81)</f>
        <v>0</v>
      </c>
      <c r="G81" s="76" t="e">
        <f t="shared" si="42"/>
        <v>#DIV/0!</v>
      </c>
      <c r="I81" s="77">
        <f t="shared" si="22"/>
        <v>74</v>
      </c>
      <c r="J81" s="73">
        <f t="shared" si="43"/>
        <v>2028</v>
      </c>
      <c r="K81" s="78" t="str">
        <f t="shared" si="23"/>
        <v/>
      </c>
    </row>
    <row r="82" spans="2:11" hidden="1" outlineLevel="1">
      <c r="B82" s="78">
        <f t="shared" si="40"/>
        <v>47027</v>
      </c>
      <c r="C82" s="75">
        <f>IF(F82&lt;&gt;0,-INDEX([8]Delta!$F$1:$EE$997,$L$13,$I82),0)</f>
        <v>0</v>
      </c>
      <c r="D82" s="71">
        <f>IF(F82&lt;&gt;0,VLOOKUP($J82,'Table 1'!$B$13:$C$33,2,FALSE)/12*1000*Study_MW,0)</f>
        <v>0</v>
      </c>
      <c r="E82" s="71">
        <f t="shared" si="41"/>
        <v>0</v>
      </c>
      <c r="F82" s="75">
        <f>INDEX([8]Delta!$F$1:$EE$997,$L$14,$I82)</f>
        <v>0</v>
      </c>
      <c r="G82" s="76" t="e">
        <f t="shared" si="42"/>
        <v>#DIV/0!</v>
      </c>
      <c r="I82" s="77">
        <f t="shared" si="22"/>
        <v>75</v>
      </c>
      <c r="J82" s="73">
        <f t="shared" si="43"/>
        <v>2028</v>
      </c>
      <c r="K82" s="78" t="str">
        <f t="shared" si="23"/>
        <v/>
      </c>
    </row>
    <row r="83" spans="2:11" hidden="1" outlineLevel="1">
      <c r="B83" s="78">
        <f t="shared" si="40"/>
        <v>47058</v>
      </c>
      <c r="C83" s="75">
        <f>IF(F83&lt;&gt;0,-INDEX([8]Delta!$F$1:$EE$997,$L$13,$I83),0)</f>
        <v>0</v>
      </c>
      <c r="D83" s="71">
        <f>IF(F83&lt;&gt;0,VLOOKUP($J83,'Table 1'!$B$13:$C$33,2,FALSE)/12*1000*Study_MW,0)</f>
        <v>0</v>
      </c>
      <c r="E83" s="71">
        <f t="shared" si="41"/>
        <v>0</v>
      </c>
      <c r="F83" s="75">
        <f>INDEX([8]Delta!$F$1:$EE$997,$L$14,$I83)</f>
        <v>0</v>
      </c>
      <c r="G83" s="76" t="e">
        <f t="shared" si="42"/>
        <v>#DIV/0!</v>
      </c>
      <c r="I83" s="77">
        <f t="shared" si="22"/>
        <v>76</v>
      </c>
      <c r="J83" s="73">
        <f t="shared" si="43"/>
        <v>2028</v>
      </c>
      <c r="K83" s="78" t="str">
        <f t="shared" si="23"/>
        <v/>
      </c>
    </row>
    <row r="84" spans="2:11" hidden="1" outlineLevel="1">
      <c r="B84" s="82">
        <f t="shared" si="40"/>
        <v>47088</v>
      </c>
      <c r="C84" s="79">
        <f>IF(F84&lt;&gt;0,-INDEX([8]Delta!$F$1:$EE$997,$L$13,$I84),0)</f>
        <v>0</v>
      </c>
      <c r="D84" s="80">
        <f>IF(F84&lt;&gt;0,VLOOKUP($J84,'Table 1'!$B$13:$C$33,2,FALSE)/12*1000*Study_MW,0)</f>
        <v>0</v>
      </c>
      <c r="E84" s="80">
        <f t="shared" si="41"/>
        <v>0</v>
      </c>
      <c r="F84" s="79">
        <f>INDEX([8]Delta!$F$1:$EE$997,$L$14,$I84)</f>
        <v>0</v>
      </c>
      <c r="G84" s="81" t="e">
        <f t="shared" si="42"/>
        <v>#DIV/0!</v>
      </c>
      <c r="I84" s="64">
        <f t="shared" si="22"/>
        <v>77</v>
      </c>
      <c r="J84" s="73">
        <f t="shared" si="43"/>
        <v>2028</v>
      </c>
      <c r="K84" s="82" t="str">
        <f t="shared" si="23"/>
        <v/>
      </c>
    </row>
    <row r="85" spans="2:11" hidden="1" outlineLevel="1">
      <c r="B85" s="74">
        <f t="shared" si="40"/>
        <v>47119</v>
      </c>
      <c r="C85" s="69">
        <f>IF(F85&lt;&gt;0,-INDEX([8]Delta!$F$1:$EE$997,$L$13,$I85),0)</f>
        <v>0</v>
      </c>
      <c r="D85" s="70">
        <f>IF(F85&lt;&gt;0,VLOOKUP($J85,'Table 1'!$B$13:$C$33,2,FALSE)/12*1000*Study_MW,0)</f>
        <v>0</v>
      </c>
      <c r="E85" s="70">
        <f t="shared" si="41"/>
        <v>0</v>
      </c>
      <c r="F85" s="69">
        <f>INDEX([8]Delta!$F$1:$EE$997,$L$14,$I85)</f>
        <v>0</v>
      </c>
      <c r="G85" s="72" t="e">
        <f t="shared" si="42"/>
        <v>#DIV/0!</v>
      </c>
      <c r="I85" s="60">
        <f>I73+13</f>
        <v>79</v>
      </c>
      <c r="J85" s="73">
        <f t="shared" si="43"/>
        <v>2029</v>
      </c>
      <c r="K85" s="74" t="str">
        <f t="shared" si="23"/>
        <v/>
      </c>
    </row>
    <row r="86" spans="2:11" hidden="1" outlineLevel="1">
      <c r="B86" s="78">
        <f t="shared" si="40"/>
        <v>47150</v>
      </c>
      <c r="C86" s="75">
        <f>IF(F86&lt;&gt;0,-INDEX([8]Delta!$F$1:$EE$997,$L$13,$I86),0)</f>
        <v>0</v>
      </c>
      <c r="D86" s="71">
        <f>IF(F86&lt;&gt;0,VLOOKUP($J86,'Table 1'!$B$13:$C$33,2,FALSE)/12*1000*Study_MW,0)</f>
        <v>0</v>
      </c>
      <c r="E86" s="71">
        <f t="shared" si="41"/>
        <v>0</v>
      </c>
      <c r="F86" s="75">
        <f>INDEX([8]Delta!$F$1:$EE$997,$L$14,$I86)</f>
        <v>0</v>
      </c>
      <c r="G86" s="76" t="e">
        <f t="shared" si="42"/>
        <v>#DIV/0!</v>
      </c>
      <c r="I86" s="77">
        <f t="shared" si="22"/>
        <v>80</v>
      </c>
      <c r="J86" s="73">
        <f t="shared" si="43"/>
        <v>2029</v>
      </c>
      <c r="K86" s="78" t="str">
        <f t="shared" si="23"/>
        <v/>
      </c>
    </row>
    <row r="87" spans="2:11" hidden="1" outlineLevel="1">
      <c r="B87" s="78">
        <f t="shared" si="40"/>
        <v>47178</v>
      </c>
      <c r="C87" s="75">
        <f>IF(F87&lt;&gt;0,-INDEX([8]Delta!$F$1:$EE$997,$L$13,$I87),0)</f>
        <v>0</v>
      </c>
      <c r="D87" s="71">
        <f>IF(F87&lt;&gt;0,VLOOKUP($J87,'Table 1'!$B$13:$C$33,2,FALSE)/12*1000*Study_MW,0)</f>
        <v>0</v>
      </c>
      <c r="E87" s="71">
        <f t="shared" si="41"/>
        <v>0</v>
      </c>
      <c r="F87" s="75">
        <f>INDEX([8]Delta!$F$1:$EE$997,$L$14,$I87)</f>
        <v>0</v>
      </c>
      <c r="G87" s="76" t="e">
        <f t="shared" si="42"/>
        <v>#DIV/0!</v>
      </c>
      <c r="I87" s="77">
        <f t="shared" si="22"/>
        <v>81</v>
      </c>
      <c r="J87" s="73">
        <f t="shared" si="43"/>
        <v>2029</v>
      </c>
      <c r="K87" s="78" t="str">
        <f t="shared" si="23"/>
        <v/>
      </c>
    </row>
    <row r="88" spans="2:11" hidden="1" outlineLevel="1">
      <c r="B88" s="78">
        <f t="shared" si="40"/>
        <v>47209</v>
      </c>
      <c r="C88" s="75">
        <f>IF(F88&lt;&gt;0,-INDEX([8]Delta!$F$1:$EE$997,$L$13,$I88),0)</f>
        <v>0</v>
      </c>
      <c r="D88" s="71">
        <f>IF(F88&lt;&gt;0,VLOOKUP($J88,'Table 1'!$B$13:$C$33,2,FALSE)/12*1000*Study_MW,0)</f>
        <v>0</v>
      </c>
      <c r="E88" s="71">
        <f t="shared" si="41"/>
        <v>0</v>
      </c>
      <c r="F88" s="75">
        <f>INDEX([8]Delta!$F$1:$EE$997,$L$14,$I88)</f>
        <v>0</v>
      </c>
      <c r="G88" s="76" t="e">
        <f t="shared" si="42"/>
        <v>#DIV/0!</v>
      </c>
      <c r="I88" s="77">
        <f t="shared" si="22"/>
        <v>82</v>
      </c>
      <c r="J88" s="73">
        <f t="shared" si="43"/>
        <v>2029</v>
      </c>
      <c r="K88" s="78" t="str">
        <f t="shared" si="23"/>
        <v/>
      </c>
    </row>
    <row r="89" spans="2:11" hidden="1" outlineLevel="1">
      <c r="B89" s="78">
        <f t="shared" si="40"/>
        <v>47239</v>
      </c>
      <c r="C89" s="75">
        <f>IF(F89&lt;&gt;0,-INDEX([8]Delta!$F$1:$EE$997,$L$13,$I89),0)</f>
        <v>0</v>
      </c>
      <c r="D89" s="71">
        <f>IF(F89&lt;&gt;0,VLOOKUP($J89,'Table 1'!$B$13:$C$33,2,FALSE)/12*1000*Study_MW,0)</f>
        <v>0</v>
      </c>
      <c r="E89" s="71">
        <f t="shared" si="41"/>
        <v>0</v>
      </c>
      <c r="F89" s="75">
        <f>INDEX([8]Delta!$F$1:$EE$997,$L$14,$I89)</f>
        <v>0</v>
      </c>
      <c r="G89" s="76" t="e">
        <f t="shared" si="42"/>
        <v>#DIV/0!</v>
      </c>
      <c r="I89" s="77">
        <f t="shared" si="22"/>
        <v>83</v>
      </c>
      <c r="J89" s="73">
        <f t="shared" si="43"/>
        <v>2029</v>
      </c>
      <c r="K89" s="78" t="str">
        <f t="shared" si="23"/>
        <v/>
      </c>
    </row>
    <row r="90" spans="2:11" hidden="1" outlineLevel="1">
      <c r="B90" s="78">
        <f t="shared" si="40"/>
        <v>47270</v>
      </c>
      <c r="C90" s="75">
        <f>IF(F90&lt;&gt;0,-INDEX([8]Delta!$F$1:$EE$997,$L$13,$I90),0)</f>
        <v>0</v>
      </c>
      <c r="D90" s="71">
        <f>IF(F90&lt;&gt;0,VLOOKUP($J90,'Table 1'!$B$13:$C$33,2,FALSE)/12*1000*Study_MW,0)</f>
        <v>0</v>
      </c>
      <c r="E90" s="71">
        <f t="shared" si="41"/>
        <v>0</v>
      </c>
      <c r="F90" s="75">
        <f>INDEX([8]Delta!$F$1:$EE$997,$L$14,$I90)</f>
        <v>0</v>
      </c>
      <c r="G90" s="76" t="e">
        <f t="shared" si="42"/>
        <v>#DIV/0!</v>
      </c>
      <c r="I90" s="77">
        <f t="shared" ref="I90:I96" si="44">I78+13</f>
        <v>84</v>
      </c>
      <c r="J90" s="73">
        <f t="shared" si="43"/>
        <v>2029</v>
      </c>
      <c r="K90" s="78" t="str">
        <f t="shared" ref="K90:K153" si="45">IF(ISNUMBER(F90),IF(F90&lt;&gt;0,B90,""),"")</f>
        <v/>
      </c>
    </row>
    <row r="91" spans="2:11" hidden="1" outlineLevel="1">
      <c r="B91" s="78">
        <f t="shared" si="40"/>
        <v>47300</v>
      </c>
      <c r="C91" s="75">
        <f>IF(F91&lt;&gt;0,-INDEX([8]Delta!$F$1:$EE$997,$L$13,$I91),0)</f>
        <v>0</v>
      </c>
      <c r="D91" s="71">
        <f>IF(F91&lt;&gt;0,VLOOKUP($J91,'Table 1'!$B$13:$C$33,2,FALSE)/12*1000*Study_MW,0)</f>
        <v>0</v>
      </c>
      <c r="E91" s="71">
        <f t="shared" si="41"/>
        <v>0</v>
      </c>
      <c r="F91" s="75">
        <f>INDEX([8]Delta!$F$1:$EE$997,$L$14,$I91)</f>
        <v>0</v>
      </c>
      <c r="G91" s="76" t="e">
        <f t="shared" si="42"/>
        <v>#DIV/0!</v>
      </c>
      <c r="I91" s="77">
        <f t="shared" si="44"/>
        <v>85</v>
      </c>
      <c r="J91" s="73">
        <f t="shared" si="43"/>
        <v>2029</v>
      </c>
      <c r="K91" s="78" t="str">
        <f t="shared" si="45"/>
        <v/>
      </c>
    </row>
    <row r="92" spans="2:11" hidden="1" outlineLevel="1">
      <c r="B92" s="78">
        <f t="shared" si="40"/>
        <v>47331</v>
      </c>
      <c r="C92" s="75">
        <f>IF(F92&lt;&gt;0,-INDEX([8]Delta!$F$1:$EE$997,$L$13,$I92),0)</f>
        <v>0</v>
      </c>
      <c r="D92" s="71">
        <f>IF(F92&lt;&gt;0,VLOOKUP($J92,'Table 1'!$B$13:$C$33,2,FALSE)/12*1000*Study_MW,0)</f>
        <v>0</v>
      </c>
      <c r="E92" s="71">
        <f t="shared" si="41"/>
        <v>0</v>
      </c>
      <c r="F92" s="75">
        <f>INDEX([8]Delta!$F$1:$EE$997,$L$14,$I92)</f>
        <v>0</v>
      </c>
      <c r="G92" s="76" t="e">
        <f t="shared" si="42"/>
        <v>#DIV/0!</v>
      </c>
      <c r="I92" s="77">
        <f t="shared" si="44"/>
        <v>86</v>
      </c>
      <c r="J92" s="73">
        <f t="shared" si="43"/>
        <v>2029</v>
      </c>
      <c r="K92" s="78" t="str">
        <f t="shared" si="45"/>
        <v/>
      </c>
    </row>
    <row r="93" spans="2:11" hidden="1" outlineLevel="1">
      <c r="B93" s="78">
        <f t="shared" si="40"/>
        <v>47362</v>
      </c>
      <c r="C93" s="75">
        <f>IF(F93&lt;&gt;0,-INDEX([8]Delta!$F$1:$EE$997,$L$13,$I93),0)</f>
        <v>0</v>
      </c>
      <c r="D93" s="71">
        <f>IF(F93&lt;&gt;0,VLOOKUP($J93,'Table 1'!$B$13:$C$33,2,FALSE)/12*1000*Study_MW,0)</f>
        <v>0</v>
      </c>
      <c r="E93" s="71">
        <f t="shared" si="41"/>
        <v>0</v>
      </c>
      <c r="F93" s="75">
        <f>INDEX([8]Delta!$F$1:$EE$997,$L$14,$I93)</f>
        <v>0</v>
      </c>
      <c r="G93" s="76" t="e">
        <f t="shared" si="42"/>
        <v>#DIV/0!</v>
      </c>
      <c r="I93" s="77">
        <f t="shared" si="44"/>
        <v>87</v>
      </c>
      <c r="J93" s="73">
        <f t="shared" si="43"/>
        <v>2029</v>
      </c>
      <c r="K93" s="78" t="str">
        <f t="shared" si="45"/>
        <v/>
      </c>
    </row>
    <row r="94" spans="2:11" hidden="1" outlineLevel="1">
      <c r="B94" s="78">
        <f t="shared" si="40"/>
        <v>47392</v>
      </c>
      <c r="C94" s="75">
        <f>IF(F94&lt;&gt;0,-INDEX([8]Delta!$F$1:$EE$997,$L$13,$I94),0)</f>
        <v>0</v>
      </c>
      <c r="D94" s="71">
        <f>IF(F94&lt;&gt;0,VLOOKUP($J94,'Table 1'!$B$13:$C$33,2,FALSE)/12*1000*Study_MW,0)</f>
        <v>0</v>
      </c>
      <c r="E94" s="71">
        <f t="shared" si="41"/>
        <v>0</v>
      </c>
      <c r="F94" s="75">
        <f>INDEX([8]Delta!$F$1:$EE$997,$L$14,$I94)</f>
        <v>0</v>
      </c>
      <c r="G94" s="76" t="e">
        <f t="shared" si="42"/>
        <v>#DIV/0!</v>
      </c>
      <c r="I94" s="77">
        <f t="shared" si="44"/>
        <v>88</v>
      </c>
      <c r="J94" s="73">
        <f t="shared" si="43"/>
        <v>2029</v>
      </c>
      <c r="K94" s="78" t="str">
        <f t="shared" si="45"/>
        <v/>
      </c>
    </row>
    <row r="95" spans="2:11" hidden="1" outlineLevel="1">
      <c r="B95" s="78">
        <f t="shared" si="40"/>
        <v>47423</v>
      </c>
      <c r="C95" s="75">
        <f>IF(F95&lt;&gt;0,-INDEX([8]Delta!$F$1:$EE$997,$L$13,$I95),0)</f>
        <v>0</v>
      </c>
      <c r="D95" s="71">
        <f>IF(F95&lt;&gt;0,VLOOKUP($J95,'Table 1'!$B$13:$C$33,2,FALSE)/12*1000*Study_MW,0)</f>
        <v>0</v>
      </c>
      <c r="E95" s="71">
        <f t="shared" si="41"/>
        <v>0</v>
      </c>
      <c r="F95" s="75">
        <f>INDEX([8]Delta!$F$1:$EE$997,$L$14,$I95)</f>
        <v>0</v>
      </c>
      <c r="G95" s="76" t="e">
        <f t="shared" si="42"/>
        <v>#DIV/0!</v>
      </c>
      <c r="I95" s="77">
        <f t="shared" si="44"/>
        <v>89</v>
      </c>
      <c r="J95" s="73">
        <f t="shared" si="43"/>
        <v>2029</v>
      </c>
      <c r="K95" s="78" t="str">
        <f t="shared" si="45"/>
        <v/>
      </c>
    </row>
    <row r="96" spans="2:11" hidden="1" outlineLevel="1">
      <c r="B96" s="82">
        <f t="shared" si="40"/>
        <v>47453</v>
      </c>
      <c r="C96" s="79">
        <f>IF(F96&lt;&gt;0,-INDEX([8]Delta!$F$1:$EE$997,$L$13,$I96),0)</f>
        <v>0</v>
      </c>
      <c r="D96" s="80">
        <f>IF(F96&lt;&gt;0,VLOOKUP($J96,'Table 1'!$B$13:$C$33,2,FALSE)/12*1000*Study_MW,0)</f>
        <v>0</v>
      </c>
      <c r="E96" s="80">
        <f t="shared" si="41"/>
        <v>0</v>
      </c>
      <c r="F96" s="79">
        <f>INDEX([8]Delta!$F$1:$EE$997,$L$14,$I96)</f>
        <v>0</v>
      </c>
      <c r="G96" s="81" t="e">
        <f t="shared" si="42"/>
        <v>#DIV/0!</v>
      </c>
      <c r="I96" s="64">
        <f t="shared" si="44"/>
        <v>90</v>
      </c>
      <c r="J96" s="73">
        <f t="shared" si="43"/>
        <v>2029</v>
      </c>
      <c r="K96" s="82" t="str">
        <f t="shared" si="45"/>
        <v/>
      </c>
    </row>
    <row r="97" spans="2:11" hidden="1" outlineLevel="1">
      <c r="B97" s="74">
        <f t="shared" si="40"/>
        <v>47484</v>
      </c>
      <c r="C97" s="69">
        <f>IF(F97&lt;&gt;0,-INDEX([8]Delta!$F$1:$EE$997,$L$13,$I97),0)</f>
        <v>0</v>
      </c>
      <c r="D97" s="70">
        <f>IF(F97&lt;&gt;0,VLOOKUP($J97,'Table 1'!$B$13:$C$33,2,FALSE)/12*1000*Study_MW,0)</f>
        <v>0</v>
      </c>
      <c r="E97" s="70">
        <f t="shared" si="41"/>
        <v>0</v>
      </c>
      <c r="F97" s="69">
        <f>INDEX([8]Delta!$F$1:$EE$997,$L$14,$I97)</f>
        <v>0</v>
      </c>
      <c r="G97" s="72" t="e">
        <f t="shared" si="42"/>
        <v>#DIV/0!</v>
      </c>
      <c r="I97" s="60">
        <f>I85+13</f>
        <v>92</v>
      </c>
      <c r="J97" s="73">
        <f t="shared" si="43"/>
        <v>2030</v>
      </c>
      <c r="K97" s="74" t="str">
        <f t="shared" si="45"/>
        <v/>
      </c>
    </row>
    <row r="98" spans="2:11" hidden="1" outlineLevel="1">
      <c r="B98" s="78">
        <f t="shared" si="40"/>
        <v>47515</v>
      </c>
      <c r="C98" s="75">
        <f>IF(F98&lt;&gt;0,-INDEX([8]Delta!$F$1:$EE$997,$L$13,$I98),0)</f>
        <v>0</v>
      </c>
      <c r="D98" s="71">
        <f>IF(F98&lt;&gt;0,VLOOKUP($J98,'Table 1'!$B$13:$C$33,2,FALSE)/12*1000*Study_MW,0)</f>
        <v>0</v>
      </c>
      <c r="E98" s="71">
        <f t="shared" si="41"/>
        <v>0</v>
      </c>
      <c r="F98" s="75">
        <f>INDEX([8]Delta!$F$1:$EE$997,$L$14,$I98)</f>
        <v>0</v>
      </c>
      <c r="G98" s="76" t="e">
        <f t="shared" si="42"/>
        <v>#DIV/0!</v>
      </c>
      <c r="I98" s="77">
        <f t="shared" ref="I98:I120" si="46">I86+13</f>
        <v>93</v>
      </c>
      <c r="J98" s="73">
        <f t="shared" si="43"/>
        <v>2030</v>
      </c>
      <c r="K98" s="78" t="str">
        <f t="shared" si="45"/>
        <v/>
      </c>
    </row>
    <row r="99" spans="2:11" hidden="1" outlineLevel="1">
      <c r="B99" s="78">
        <f t="shared" si="40"/>
        <v>47543</v>
      </c>
      <c r="C99" s="75">
        <f>IF(F99&lt;&gt;0,-INDEX([8]Delta!$F$1:$EE$997,$L$13,$I99),0)</f>
        <v>0</v>
      </c>
      <c r="D99" s="71">
        <f>IF(F99&lt;&gt;0,VLOOKUP($J99,'Table 1'!$B$13:$C$33,2,FALSE)/12*1000*Study_MW,0)</f>
        <v>0</v>
      </c>
      <c r="E99" s="71">
        <f t="shared" si="41"/>
        <v>0</v>
      </c>
      <c r="F99" s="75">
        <f>INDEX([8]Delta!$F$1:$EE$997,$L$14,$I99)</f>
        <v>0</v>
      </c>
      <c r="G99" s="76" t="e">
        <f t="shared" si="42"/>
        <v>#DIV/0!</v>
      </c>
      <c r="I99" s="77">
        <f t="shared" si="46"/>
        <v>94</v>
      </c>
      <c r="J99" s="73">
        <f t="shared" si="43"/>
        <v>2030</v>
      </c>
      <c r="K99" s="78" t="str">
        <f t="shared" si="45"/>
        <v/>
      </c>
    </row>
    <row r="100" spans="2:11" hidden="1" outlineLevel="1">
      <c r="B100" s="78">
        <f t="shared" si="40"/>
        <v>47574</v>
      </c>
      <c r="C100" s="75">
        <f>IF(F100&lt;&gt;0,-INDEX([8]Delta!$F$1:$EE$997,$L$13,$I100),0)</f>
        <v>0</v>
      </c>
      <c r="D100" s="71">
        <f>IF(F100&lt;&gt;0,VLOOKUP($J100,'Table 1'!$B$13:$C$33,2,FALSE)/12*1000*Study_MW,0)</f>
        <v>0</v>
      </c>
      <c r="E100" s="71">
        <f t="shared" si="41"/>
        <v>0</v>
      </c>
      <c r="F100" s="75">
        <f>INDEX([8]Delta!$F$1:$EE$997,$L$14,$I100)</f>
        <v>0</v>
      </c>
      <c r="G100" s="76" t="e">
        <f t="shared" si="42"/>
        <v>#DIV/0!</v>
      </c>
      <c r="I100" s="77">
        <f t="shared" si="46"/>
        <v>95</v>
      </c>
      <c r="J100" s="73">
        <f t="shared" si="43"/>
        <v>2030</v>
      </c>
      <c r="K100" s="78" t="str">
        <f t="shared" si="45"/>
        <v/>
      </c>
    </row>
    <row r="101" spans="2:11" hidden="1" outlineLevel="1">
      <c r="B101" s="78">
        <f t="shared" si="40"/>
        <v>47604</v>
      </c>
      <c r="C101" s="75">
        <f>IF(F101&lt;&gt;0,-INDEX([8]Delta!$F$1:$EE$997,$L$13,$I101),0)</f>
        <v>0</v>
      </c>
      <c r="D101" s="71">
        <f>IF(F101&lt;&gt;0,VLOOKUP($J101,'Table 1'!$B$13:$C$33,2,FALSE)/12*1000*Study_MW,0)</f>
        <v>0</v>
      </c>
      <c r="E101" s="71">
        <f t="shared" si="41"/>
        <v>0</v>
      </c>
      <c r="F101" s="75">
        <f>INDEX([8]Delta!$F$1:$EE$997,$L$14,$I101)</f>
        <v>0</v>
      </c>
      <c r="G101" s="76" t="e">
        <f t="shared" si="42"/>
        <v>#DIV/0!</v>
      </c>
      <c r="I101" s="77">
        <f t="shared" si="46"/>
        <v>96</v>
      </c>
      <c r="J101" s="73">
        <f t="shared" si="43"/>
        <v>2030</v>
      </c>
      <c r="K101" s="78" t="str">
        <f t="shared" si="45"/>
        <v/>
      </c>
    </row>
    <row r="102" spans="2:11" hidden="1" outlineLevel="1">
      <c r="B102" s="78">
        <f t="shared" si="40"/>
        <v>47635</v>
      </c>
      <c r="C102" s="75">
        <f>IF(F102&lt;&gt;0,-INDEX([8]Delta!$F$1:$EE$997,$L$13,$I102),0)</f>
        <v>0</v>
      </c>
      <c r="D102" s="71">
        <f>IF(F102&lt;&gt;0,VLOOKUP($J102,'Table 1'!$B$13:$C$33,2,FALSE)/12*1000*Study_MW,0)</f>
        <v>0</v>
      </c>
      <c r="E102" s="71">
        <f t="shared" si="41"/>
        <v>0</v>
      </c>
      <c r="F102" s="75">
        <f>INDEX([8]Delta!$F$1:$EE$997,$L$14,$I102)</f>
        <v>0</v>
      </c>
      <c r="G102" s="76" t="e">
        <f t="shared" si="42"/>
        <v>#DIV/0!</v>
      </c>
      <c r="I102" s="77">
        <f t="shared" si="46"/>
        <v>97</v>
      </c>
      <c r="J102" s="73">
        <f t="shared" si="43"/>
        <v>2030</v>
      </c>
      <c r="K102" s="78" t="str">
        <f t="shared" si="45"/>
        <v/>
      </c>
    </row>
    <row r="103" spans="2:11" hidden="1" outlineLevel="1">
      <c r="B103" s="78">
        <f t="shared" si="40"/>
        <v>47665</v>
      </c>
      <c r="C103" s="75">
        <f>IF(F103&lt;&gt;0,-INDEX([8]Delta!$F$1:$EE$997,$L$13,$I103),0)</f>
        <v>0</v>
      </c>
      <c r="D103" s="71">
        <f>IF(F103&lt;&gt;0,VLOOKUP($J103,'Table 1'!$B$13:$C$33,2,FALSE)/12*1000*Study_MW,0)</f>
        <v>0</v>
      </c>
      <c r="E103" s="71">
        <f t="shared" si="41"/>
        <v>0</v>
      </c>
      <c r="F103" s="75">
        <f>INDEX([8]Delta!$F$1:$EE$997,$L$14,$I103)</f>
        <v>0</v>
      </c>
      <c r="G103" s="76" t="e">
        <f t="shared" si="42"/>
        <v>#DIV/0!</v>
      </c>
      <c r="I103" s="77">
        <f t="shared" si="46"/>
        <v>98</v>
      </c>
      <c r="J103" s="73">
        <f t="shared" si="43"/>
        <v>2030</v>
      </c>
      <c r="K103" s="78" t="str">
        <f t="shared" si="45"/>
        <v/>
      </c>
    </row>
    <row r="104" spans="2:11" hidden="1" outlineLevel="1">
      <c r="B104" s="78">
        <f t="shared" si="40"/>
        <v>47696</v>
      </c>
      <c r="C104" s="75">
        <f>IF(F104&lt;&gt;0,-INDEX([8]Delta!$F$1:$EE$997,$L$13,$I104),0)</f>
        <v>0</v>
      </c>
      <c r="D104" s="71">
        <f>IF(F104&lt;&gt;0,VLOOKUP($J104,'Table 1'!$B$13:$C$33,2,FALSE)/12*1000*Study_MW,0)</f>
        <v>0</v>
      </c>
      <c r="E104" s="71">
        <f t="shared" si="41"/>
        <v>0</v>
      </c>
      <c r="F104" s="75">
        <f>INDEX([8]Delta!$F$1:$EE$997,$L$14,$I104)</f>
        <v>0</v>
      </c>
      <c r="G104" s="76" t="e">
        <f t="shared" si="42"/>
        <v>#DIV/0!</v>
      </c>
      <c r="I104" s="77">
        <f t="shared" si="46"/>
        <v>99</v>
      </c>
      <c r="J104" s="73">
        <f t="shared" si="43"/>
        <v>2030</v>
      </c>
      <c r="K104" s="78" t="str">
        <f t="shared" si="45"/>
        <v/>
      </c>
    </row>
    <row r="105" spans="2:11" hidden="1" outlineLevel="1">
      <c r="B105" s="78">
        <f t="shared" si="40"/>
        <v>47727</v>
      </c>
      <c r="C105" s="75">
        <f>IF(F105&lt;&gt;0,-INDEX([8]Delta!$F$1:$EE$997,$L$13,$I105),0)</f>
        <v>0</v>
      </c>
      <c r="D105" s="71">
        <f>IF(F105&lt;&gt;0,VLOOKUP($J105,'Table 1'!$B$13:$C$33,2,FALSE)/12*1000*Study_MW,0)</f>
        <v>0</v>
      </c>
      <c r="E105" s="71">
        <f t="shared" si="41"/>
        <v>0</v>
      </c>
      <c r="F105" s="75">
        <f>INDEX([8]Delta!$F$1:$EE$997,$L$14,$I105)</f>
        <v>0</v>
      </c>
      <c r="G105" s="76" t="e">
        <f t="shared" si="42"/>
        <v>#DIV/0!</v>
      </c>
      <c r="I105" s="77">
        <f t="shared" si="46"/>
        <v>100</v>
      </c>
      <c r="J105" s="73">
        <f t="shared" si="43"/>
        <v>2030</v>
      </c>
      <c r="K105" s="78" t="str">
        <f t="shared" si="45"/>
        <v/>
      </c>
    </row>
    <row r="106" spans="2:11" hidden="1" outlineLevel="1">
      <c r="B106" s="78">
        <f t="shared" si="40"/>
        <v>47757</v>
      </c>
      <c r="C106" s="75">
        <f>IF(F106&lt;&gt;0,-INDEX([8]Delta!$F$1:$EE$997,$L$13,$I106),0)</f>
        <v>0</v>
      </c>
      <c r="D106" s="71">
        <f>IF(F106&lt;&gt;0,VLOOKUP($J106,'Table 1'!$B$13:$C$33,2,FALSE)/12*1000*Study_MW,0)</f>
        <v>0</v>
      </c>
      <c r="E106" s="71">
        <f t="shared" si="41"/>
        <v>0</v>
      </c>
      <c r="F106" s="75">
        <f>INDEX([8]Delta!$F$1:$EE$997,$L$14,$I106)</f>
        <v>0</v>
      </c>
      <c r="G106" s="76" t="e">
        <f t="shared" si="42"/>
        <v>#DIV/0!</v>
      </c>
      <c r="I106" s="77">
        <f t="shared" si="46"/>
        <v>101</v>
      </c>
      <c r="J106" s="73">
        <f t="shared" si="43"/>
        <v>2030</v>
      </c>
      <c r="K106" s="78" t="str">
        <f t="shared" si="45"/>
        <v/>
      </c>
    </row>
    <row r="107" spans="2:11" hidden="1" outlineLevel="1">
      <c r="B107" s="78">
        <f t="shared" si="40"/>
        <v>47788</v>
      </c>
      <c r="C107" s="75">
        <f>IF(F107&lt;&gt;0,-INDEX([8]Delta!$F$1:$EE$997,$L$13,$I107),0)</f>
        <v>0</v>
      </c>
      <c r="D107" s="71">
        <f>IF(F107&lt;&gt;0,VLOOKUP($J107,'Table 1'!$B$13:$C$33,2,FALSE)/12*1000*Study_MW,0)</f>
        <v>0</v>
      </c>
      <c r="E107" s="71">
        <f t="shared" si="41"/>
        <v>0</v>
      </c>
      <c r="F107" s="75">
        <f>INDEX([8]Delta!$F$1:$EE$997,$L$14,$I107)</f>
        <v>0</v>
      </c>
      <c r="G107" s="76" t="e">
        <f t="shared" si="42"/>
        <v>#DIV/0!</v>
      </c>
      <c r="I107" s="77">
        <f t="shared" si="46"/>
        <v>102</v>
      </c>
      <c r="J107" s="73">
        <f t="shared" si="43"/>
        <v>2030</v>
      </c>
      <c r="K107" s="78" t="str">
        <f t="shared" si="45"/>
        <v/>
      </c>
    </row>
    <row r="108" spans="2:11" hidden="1" outlineLevel="1">
      <c r="B108" s="82">
        <f t="shared" si="40"/>
        <v>47818</v>
      </c>
      <c r="C108" s="79">
        <f>IF(F108&lt;&gt;0,-INDEX([8]Delta!$F$1:$EE$997,$L$13,$I108),0)</f>
        <v>0</v>
      </c>
      <c r="D108" s="80">
        <f>IF(F108&lt;&gt;0,VLOOKUP($J108,'Table 1'!$B$13:$C$33,2,FALSE)/12*1000*Study_MW,0)</f>
        <v>0</v>
      </c>
      <c r="E108" s="80">
        <f t="shared" si="41"/>
        <v>0</v>
      </c>
      <c r="F108" s="79">
        <f>INDEX([8]Delta!$F$1:$EE$997,$L$14,$I108)</f>
        <v>0</v>
      </c>
      <c r="G108" s="81" t="e">
        <f t="shared" si="42"/>
        <v>#DIV/0!</v>
      </c>
      <c r="I108" s="64">
        <f t="shared" si="46"/>
        <v>103</v>
      </c>
      <c r="J108" s="73">
        <f t="shared" si="43"/>
        <v>2030</v>
      </c>
      <c r="K108" s="82" t="str">
        <f t="shared" si="45"/>
        <v/>
      </c>
    </row>
    <row r="109" spans="2:11" hidden="1" outlineLevel="1">
      <c r="B109" s="74">
        <f t="shared" si="40"/>
        <v>47849</v>
      </c>
      <c r="C109" s="69">
        <f>IF(F109&lt;&gt;0,-INDEX([8]Delta!$F$1:$EE$997,$L$13,$I109),0)</f>
        <v>0</v>
      </c>
      <c r="D109" s="70">
        <f>IF(F109&lt;&gt;0,VLOOKUP($J109,'Table 1'!$B$13:$C$33,2,FALSE)/12*1000*Study_MW,0)</f>
        <v>0</v>
      </c>
      <c r="E109" s="70">
        <f t="shared" si="41"/>
        <v>0</v>
      </c>
      <c r="F109" s="69">
        <f>INDEX([8]Delta!$F$1:$EE$997,$L$14,$I109)</f>
        <v>0</v>
      </c>
      <c r="G109" s="72" t="e">
        <f t="shared" si="42"/>
        <v>#DIV/0!</v>
      </c>
      <c r="I109" s="60">
        <f>I97+13</f>
        <v>105</v>
      </c>
      <c r="J109" s="73">
        <f t="shared" si="43"/>
        <v>2031</v>
      </c>
      <c r="K109" s="74" t="str">
        <f t="shared" si="45"/>
        <v/>
      </c>
    </row>
    <row r="110" spans="2:11" hidden="1" outlineLevel="1">
      <c r="B110" s="78">
        <f t="shared" si="40"/>
        <v>47880</v>
      </c>
      <c r="C110" s="75">
        <f>IF(F110&lt;&gt;0,-INDEX([8]Delta!$F$1:$EE$997,$L$13,$I110),0)</f>
        <v>0</v>
      </c>
      <c r="D110" s="71">
        <f>IF(F110&lt;&gt;0,VLOOKUP($J110,'Table 1'!$B$13:$C$33,2,FALSE)/12*1000*Study_MW,0)</f>
        <v>0</v>
      </c>
      <c r="E110" s="71">
        <f t="shared" si="41"/>
        <v>0</v>
      </c>
      <c r="F110" s="75">
        <f>INDEX([8]Delta!$F$1:$EE$997,$L$14,$I110)</f>
        <v>0</v>
      </c>
      <c r="G110" s="76" t="e">
        <f t="shared" si="42"/>
        <v>#DIV/0!</v>
      </c>
      <c r="I110" s="77">
        <f t="shared" si="46"/>
        <v>106</v>
      </c>
      <c r="J110" s="73">
        <f t="shared" si="43"/>
        <v>2031</v>
      </c>
      <c r="K110" s="78" t="str">
        <f t="shared" si="45"/>
        <v/>
      </c>
    </row>
    <row r="111" spans="2:11" hidden="1" outlineLevel="1">
      <c r="B111" s="78">
        <f t="shared" si="40"/>
        <v>47908</v>
      </c>
      <c r="C111" s="75">
        <f>IF(F111&lt;&gt;0,-INDEX([8]Delta!$F$1:$EE$997,$L$13,$I111),0)</f>
        <v>0</v>
      </c>
      <c r="D111" s="71">
        <f>IF(F111&lt;&gt;0,VLOOKUP($J111,'Table 1'!$B$13:$C$33,2,FALSE)/12*1000*Study_MW,0)</f>
        <v>0</v>
      </c>
      <c r="E111" s="71">
        <f t="shared" si="41"/>
        <v>0</v>
      </c>
      <c r="F111" s="75">
        <f>INDEX([8]Delta!$F$1:$EE$997,$L$14,$I111)</f>
        <v>0</v>
      </c>
      <c r="G111" s="76" t="e">
        <f t="shared" si="42"/>
        <v>#DIV/0!</v>
      </c>
      <c r="I111" s="77">
        <f t="shared" si="46"/>
        <v>107</v>
      </c>
      <c r="J111" s="73">
        <f t="shared" si="43"/>
        <v>2031</v>
      </c>
      <c r="K111" s="78" t="str">
        <f t="shared" si="45"/>
        <v/>
      </c>
    </row>
    <row r="112" spans="2:11" hidden="1" outlineLevel="1">
      <c r="B112" s="78">
        <f t="shared" si="40"/>
        <v>47939</v>
      </c>
      <c r="C112" s="75">
        <f>IF(F112&lt;&gt;0,-INDEX([8]Delta!$F$1:$EE$997,$L$13,$I112),0)</f>
        <v>0</v>
      </c>
      <c r="D112" s="71">
        <f>IF(F112&lt;&gt;0,VLOOKUP($J112,'Table 1'!$B$13:$C$33,2,FALSE)/12*1000*Study_MW,0)</f>
        <v>0</v>
      </c>
      <c r="E112" s="71">
        <f t="shared" si="41"/>
        <v>0</v>
      </c>
      <c r="F112" s="75">
        <f>INDEX([8]Delta!$F$1:$EE$997,$L$14,$I112)</f>
        <v>0</v>
      </c>
      <c r="G112" s="76" t="e">
        <f t="shared" si="42"/>
        <v>#DIV/0!</v>
      </c>
      <c r="I112" s="77">
        <f t="shared" si="46"/>
        <v>108</v>
      </c>
      <c r="J112" s="73">
        <f t="shared" si="43"/>
        <v>2031</v>
      </c>
      <c r="K112" s="78" t="str">
        <f t="shared" si="45"/>
        <v/>
      </c>
    </row>
    <row r="113" spans="2:11" hidden="1" outlineLevel="1">
      <c r="B113" s="78">
        <f t="shared" si="40"/>
        <v>47969</v>
      </c>
      <c r="C113" s="75">
        <f>IF(F113&lt;&gt;0,-INDEX([8]Delta!$F$1:$EE$997,$L$13,$I113),0)</f>
        <v>0</v>
      </c>
      <c r="D113" s="71">
        <f>IF(F113&lt;&gt;0,VLOOKUP($J113,'Table 1'!$B$13:$C$33,2,FALSE)/12*1000*Study_MW,0)</f>
        <v>0</v>
      </c>
      <c r="E113" s="71">
        <f t="shared" si="41"/>
        <v>0</v>
      </c>
      <c r="F113" s="75">
        <f>INDEX([8]Delta!$F$1:$EE$997,$L$14,$I113)</f>
        <v>0</v>
      </c>
      <c r="G113" s="76" t="e">
        <f t="shared" si="42"/>
        <v>#DIV/0!</v>
      </c>
      <c r="I113" s="77">
        <f t="shared" si="46"/>
        <v>109</v>
      </c>
      <c r="J113" s="73">
        <f t="shared" si="43"/>
        <v>2031</v>
      </c>
      <c r="K113" s="78" t="str">
        <f t="shared" si="45"/>
        <v/>
      </c>
    </row>
    <row r="114" spans="2:11" hidden="1" outlineLevel="1">
      <c r="B114" s="78">
        <f t="shared" si="40"/>
        <v>48000</v>
      </c>
      <c r="C114" s="75">
        <f>IF(F114&lt;&gt;0,-INDEX([8]Delta!$F$1:$EE$997,$L$13,$I114),0)</f>
        <v>0</v>
      </c>
      <c r="D114" s="71">
        <f>IF(F114&lt;&gt;0,VLOOKUP($J114,'Table 1'!$B$13:$C$33,2,FALSE)/12*1000*Study_MW,0)</f>
        <v>0</v>
      </c>
      <c r="E114" s="71">
        <f t="shared" si="41"/>
        <v>0</v>
      </c>
      <c r="F114" s="75">
        <f>INDEX([8]Delta!$F$1:$EE$997,$L$14,$I114)</f>
        <v>0</v>
      </c>
      <c r="G114" s="76" t="e">
        <f t="shared" si="42"/>
        <v>#DIV/0!</v>
      </c>
      <c r="I114" s="77">
        <f t="shared" si="46"/>
        <v>110</v>
      </c>
      <c r="J114" s="73">
        <f t="shared" si="43"/>
        <v>2031</v>
      </c>
      <c r="K114" s="78" t="str">
        <f t="shared" si="45"/>
        <v/>
      </c>
    </row>
    <row r="115" spans="2:11" hidden="1" outlineLevel="1">
      <c r="B115" s="78">
        <f t="shared" si="40"/>
        <v>48030</v>
      </c>
      <c r="C115" s="75">
        <f>IF(F115&lt;&gt;0,-INDEX([8]Delta!$F$1:$EE$997,$L$13,$I115),0)</f>
        <v>0</v>
      </c>
      <c r="D115" s="71">
        <f>IF(F115&lt;&gt;0,VLOOKUP($J115,'Table 1'!$B$13:$C$33,2,FALSE)/12*1000*Study_MW,0)</f>
        <v>0</v>
      </c>
      <c r="E115" s="71">
        <f t="shared" si="41"/>
        <v>0</v>
      </c>
      <c r="F115" s="75">
        <f>INDEX([8]Delta!$F$1:$EE$997,$L$14,$I115)</f>
        <v>0</v>
      </c>
      <c r="G115" s="76" t="e">
        <f t="shared" si="42"/>
        <v>#DIV/0!</v>
      </c>
      <c r="I115" s="77">
        <f t="shared" si="46"/>
        <v>111</v>
      </c>
      <c r="J115" s="73">
        <f t="shared" si="43"/>
        <v>2031</v>
      </c>
      <c r="K115" s="78" t="str">
        <f t="shared" si="45"/>
        <v/>
      </c>
    </row>
    <row r="116" spans="2:11" hidden="1" outlineLevel="1">
      <c r="B116" s="78">
        <f t="shared" si="40"/>
        <v>48061</v>
      </c>
      <c r="C116" s="75">
        <f>IF(F116&lt;&gt;0,-INDEX([8]Delta!$F$1:$EE$997,$L$13,$I116),0)</f>
        <v>0</v>
      </c>
      <c r="D116" s="71">
        <f>IF(F116&lt;&gt;0,VLOOKUP($J116,'Table 1'!$B$13:$C$33,2,FALSE)/12*1000*Study_MW,0)</f>
        <v>0</v>
      </c>
      <c r="E116" s="71">
        <f t="shared" si="41"/>
        <v>0</v>
      </c>
      <c r="F116" s="75">
        <f>INDEX([8]Delta!$F$1:$EE$997,$L$14,$I116)</f>
        <v>0</v>
      </c>
      <c r="G116" s="76" t="e">
        <f t="shared" si="42"/>
        <v>#DIV/0!</v>
      </c>
      <c r="I116" s="77">
        <f t="shared" si="46"/>
        <v>112</v>
      </c>
      <c r="J116" s="73">
        <f t="shared" si="43"/>
        <v>2031</v>
      </c>
      <c r="K116" s="78" t="str">
        <f t="shared" si="45"/>
        <v/>
      </c>
    </row>
    <row r="117" spans="2:11" hidden="1" outlineLevel="1">
      <c r="B117" s="78">
        <f t="shared" si="40"/>
        <v>48092</v>
      </c>
      <c r="C117" s="75">
        <f>IF(F117&lt;&gt;0,-INDEX([8]Delta!$F$1:$EE$997,$L$13,$I117),0)</f>
        <v>0</v>
      </c>
      <c r="D117" s="71">
        <f>IF(F117&lt;&gt;0,VLOOKUP($J117,'Table 1'!$B$13:$C$33,2,FALSE)/12*1000*Study_MW,0)</f>
        <v>0</v>
      </c>
      <c r="E117" s="71">
        <f t="shared" si="41"/>
        <v>0</v>
      </c>
      <c r="F117" s="75">
        <f>INDEX([8]Delta!$F$1:$EE$997,$L$14,$I117)</f>
        <v>0</v>
      </c>
      <c r="G117" s="76" t="e">
        <f t="shared" si="42"/>
        <v>#DIV/0!</v>
      </c>
      <c r="I117" s="77">
        <f t="shared" si="46"/>
        <v>113</v>
      </c>
      <c r="J117" s="73">
        <f t="shared" si="43"/>
        <v>2031</v>
      </c>
      <c r="K117" s="78" t="str">
        <f t="shared" si="45"/>
        <v/>
      </c>
    </row>
    <row r="118" spans="2:11" hidden="1" outlineLevel="1">
      <c r="B118" s="78">
        <f t="shared" si="40"/>
        <v>48122</v>
      </c>
      <c r="C118" s="75">
        <f>IF(F118&lt;&gt;0,-INDEX([8]Delta!$F$1:$EE$997,$L$13,$I118),0)</f>
        <v>0</v>
      </c>
      <c r="D118" s="71">
        <f>IF(F118&lt;&gt;0,VLOOKUP($J118,'Table 1'!$B$13:$C$33,2,FALSE)/12*1000*Study_MW,0)</f>
        <v>0</v>
      </c>
      <c r="E118" s="71">
        <f t="shared" si="41"/>
        <v>0</v>
      </c>
      <c r="F118" s="75">
        <f>INDEX([8]Delta!$F$1:$EE$997,$L$14,$I118)</f>
        <v>0</v>
      </c>
      <c r="G118" s="76" t="e">
        <f t="shared" si="42"/>
        <v>#DIV/0!</v>
      </c>
      <c r="I118" s="77">
        <f t="shared" si="46"/>
        <v>114</v>
      </c>
      <c r="J118" s="73">
        <f t="shared" si="43"/>
        <v>2031</v>
      </c>
      <c r="K118" s="78" t="str">
        <f t="shared" si="45"/>
        <v/>
      </c>
    </row>
    <row r="119" spans="2:11" hidden="1" outlineLevel="1">
      <c r="B119" s="78">
        <f t="shared" si="40"/>
        <v>48153</v>
      </c>
      <c r="C119" s="75">
        <f>IF(F119&lt;&gt;0,-INDEX([8]Delta!$F$1:$EE$997,$L$13,$I119),0)</f>
        <v>0</v>
      </c>
      <c r="D119" s="71">
        <f>IF(F119&lt;&gt;0,VLOOKUP($J119,'Table 1'!$B$13:$C$33,2,FALSE)/12*1000*Study_MW,0)</f>
        <v>0</v>
      </c>
      <c r="E119" s="71">
        <f t="shared" si="41"/>
        <v>0</v>
      </c>
      <c r="F119" s="75">
        <f>INDEX([8]Delta!$F$1:$EE$997,$L$14,$I119)</f>
        <v>0</v>
      </c>
      <c r="G119" s="76" t="e">
        <f t="shared" si="42"/>
        <v>#DIV/0!</v>
      </c>
      <c r="I119" s="77">
        <f t="shared" si="46"/>
        <v>115</v>
      </c>
      <c r="J119" s="73">
        <f t="shared" si="43"/>
        <v>2031</v>
      </c>
      <c r="K119" s="78" t="str">
        <f t="shared" si="45"/>
        <v/>
      </c>
    </row>
    <row r="120" spans="2:11" hidden="1" outlineLevel="1">
      <c r="B120" s="82">
        <f t="shared" si="40"/>
        <v>48183</v>
      </c>
      <c r="C120" s="79">
        <f>IF(F120&lt;&gt;0,-INDEX([8]Delta!$F$1:$EE$997,$L$13,$I120),0)</f>
        <v>0</v>
      </c>
      <c r="D120" s="80">
        <f>IF(F120&lt;&gt;0,VLOOKUP($J120,'Table 1'!$B$13:$C$33,2,FALSE)/12*1000*Study_MW,0)</f>
        <v>0</v>
      </c>
      <c r="E120" s="80">
        <f t="shared" si="41"/>
        <v>0</v>
      </c>
      <c r="F120" s="79">
        <f>INDEX([8]Delta!$F$1:$EE$997,$L$14,$I120)</f>
        <v>0</v>
      </c>
      <c r="G120" s="81" t="e">
        <f t="shared" si="42"/>
        <v>#DIV/0!</v>
      </c>
      <c r="I120" s="64">
        <f t="shared" si="46"/>
        <v>116</v>
      </c>
      <c r="J120" s="73">
        <f t="shared" si="43"/>
        <v>2031</v>
      </c>
      <c r="K120" s="82" t="str">
        <f t="shared" si="45"/>
        <v/>
      </c>
    </row>
    <row r="121" spans="2:11" hidden="1" outlineLevel="1">
      <c r="B121" s="74">
        <f t="shared" si="40"/>
        <v>48214</v>
      </c>
      <c r="C121" s="69">
        <f>IF(F121&lt;&gt;0,-INDEX([8]Delta!$F$1:$EE$997,$L$13,$I121),0)</f>
        <v>0</v>
      </c>
      <c r="D121" s="70">
        <f>IF(F121&lt;&gt;0,VLOOKUP($J121,'Table 1'!$B$13:$C$33,2,FALSE)/12*1000*Study_MW,0)</f>
        <v>0</v>
      </c>
      <c r="E121" s="70">
        <f t="shared" si="41"/>
        <v>0</v>
      </c>
      <c r="F121" s="69">
        <f>INDEX([8]Delta!$F$1:$EE$997,$L$14,$I121)</f>
        <v>0</v>
      </c>
      <c r="G121" s="72" t="e">
        <f t="shared" si="42"/>
        <v>#DIV/0!</v>
      </c>
      <c r="I121" s="60">
        <f>I109+13</f>
        <v>118</v>
      </c>
      <c r="J121" s="73">
        <f t="shared" si="43"/>
        <v>2032</v>
      </c>
      <c r="K121" s="74" t="str">
        <f t="shared" si="45"/>
        <v/>
      </c>
    </row>
    <row r="122" spans="2:11" hidden="1" outlineLevel="1">
      <c r="B122" s="78">
        <f t="shared" si="40"/>
        <v>48245</v>
      </c>
      <c r="C122" s="75">
        <f>IF(F122&lt;&gt;0,-INDEX([8]Delta!$F$1:$EE$997,$L$13,$I122),0)</f>
        <v>0</v>
      </c>
      <c r="D122" s="71">
        <f>IF(F122&lt;&gt;0,VLOOKUP($J122,'Table 1'!$B$13:$C$33,2,FALSE)/12*1000*Study_MW,0)</f>
        <v>0</v>
      </c>
      <c r="E122" s="71">
        <f t="shared" si="41"/>
        <v>0</v>
      </c>
      <c r="F122" s="75">
        <f>INDEX([8]Delta!$F$1:$EE$997,$L$14,$I122)</f>
        <v>0</v>
      </c>
      <c r="G122" s="76" t="e">
        <f t="shared" si="42"/>
        <v>#DIV/0!</v>
      </c>
      <c r="I122" s="77">
        <f t="shared" ref="I122:I132" si="47">I110+13</f>
        <v>119</v>
      </c>
      <c r="J122" s="73">
        <f t="shared" si="43"/>
        <v>2032</v>
      </c>
      <c r="K122" s="78" t="str">
        <f t="shared" si="45"/>
        <v/>
      </c>
    </row>
    <row r="123" spans="2:11" hidden="1" outlineLevel="1">
      <c r="B123" s="78">
        <f t="shared" si="40"/>
        <v>48274</v>
      </c>
      <c r="C123" s="75">
        <f>IF(F123&lt;&gt;0,-INDEX([8]Delta!$F$1:$EE$997,$L$13,$I123),0)</f>
        <v>0</v>
      </c>
      <c r="D123" s="71">
        <f>IF(F123&lt;&gt;0,VLOOKUP($J123,'Table 1'!$B$13:$C$33,2,FALSE)/12*1000*Study_MW,0)</f>
        <v>0</v>
      </c>
      <c r="E123" s="71">
        <f t="shared" si="41"/>
        <v>0</v>
      </c>
      <c r="F123" s="75">
        <f>INDEX([8]Delta!$F$1:$EE$997,$L$14,$I123)</f>
        <v>0</v>
      </c>
      <c r="G123" s="76" t="e">
        <f t="shared" si="42"/>
        <v>#DIV/0!</v>
      </c>
      <c r="I123" s="77">
        <f t="shared" si="47"/>
        <v>120</v>
      </c>
      <c r="J123" s="73">
        <f t="shared" si="43"/>
        <v>2032</v>
      </c>
      <c r="K123" s="78" t="str">
        <f t="shared" si="45"/>
        <v/>
      </c>
    </row>
    <row r="124" spans="2:11" hidden="1" outlineLevel="1">
      <c r="B124" s="78">
        <f t="shared" si="40"/>
        <v>48305</v>
      </c>
      <c r="C124" s="75">
        <f>IF(F124&lt;&gt;0,-INDEX([8]Delta!$F$1:$EE$997,$L$13,$I124),0)</f>
        <v>0</v>
      </c>
      <c r="D124" s="71">
        <f>IF(F124&lt;&gt;0,VLOOKUP($J124,'Table 1'!$B$13:$C$33,2,FALSE)/12*1000*Study_MW,0)</f>
        <v>0</v>
      </c>
      <c r="E124" s="71">
        <f t="shared" si="41"/>
        <v>0</v>
      </c>
      <c r="F124" s="75">
        <f>INDEX([8]Delta!$F$1:$EE$997,$L$14,$I124)</f>
        <v>0</v>
      </c>
      <c r="G124" s="76" t="e">
        <f t="shared" si="42"/>
        <v>#DIV/0!</v>
      </c>
      <c r="I124" s="77">
        <f t="shared" si="47"/>
        <v>121</v>
      </c>
      <c r="J124" s="73">
        <f t="shared" si="43"/>
        <v>2032</v>
      </c>
      <c r="K124" s="78" t="str">
        <f t="shared" si="45"/>
        <v/>
      </c>
    </row>
    <row r="125" spans="2:11" hidden="1" outlineLevel="1">
      <c r="B125" s="78">
        <f t="shared" si="40"/>
        <v>48335</v>
      </c>
      <c r="C125" s="75">
        <f>IF(F125&lt;&gt;0,-INDEX([8]Delta!$F$1:$EE$997,$L$13,$I125),0)</f>
        <v>0</v>
      </c>
      <c r="D125" s="71">
        <f>IF(F125&lt;&gt;0,VLOOKUP($J125,'Table 1'!$B$13:$C$33,2,FALSE)/12*1000*Study_MW,0)</f>
        <v>0</v>
      </c>
      <c r="E125" s="71">
        <f t="shared" si="41"/>
        <v>0</v>
      </c>
      <c r="F125" s="75">
        <f>INDEX([8]Delta!$F$1:$EE$997,$L$14,$I125)</f>
        <v>0</v>
      </c>
      <c r="G125" s="76" t="e">
        <f t="shared" si="42"/>
        <v>#DIV/0!</v>
      </c>
      <c r="I125" s="77">
        <f t="shared" si="47"/>
        <v>122</v>
      </c>
      <c r="J125" s="73">
        <f t="shared" si="43"/>
        <v>2032</v>
      </c>
      <c r="K125" s="78" t="str">
        <f t="shared" si="45"/>
        <v/>
      </c>
    </row>
    <row r="126" spans="2:11" hidden="1" outlineLevel="1">
      <c r="B126" s="78">
        <f t="shared" si="40"/>
        <v>48366</v>
      </c>
      <c r="C126" s="75">
        <f>IF(F126&lt;&gt;0,-INDEX([8]Delta!$F$1:$EE$997,$L$13,$I126),0)</f>
        <v>0</v>
      </c>
      <c r="D126" s="71">
        <f>IF(F126&lt;&gt;0,VLOOKUP($J126,'Table 1'!$B$13:$C$33,2,FALSE)/12*1000*Study_MW,0)</f>
        <v>0</v>
      </c>
      <c r="E126" s="71">
        <f t="shared" si="41"/>
        <v>0</v>
      </c>
      <c r="F126" s="75">
        <f>INDEX([8]Delta!$F$1:$EE$997,$L$14,$I126)</f>
        <v>0</v>
      </c>
      <c r="G126" s="76" t="e">
        <f t="shared" si="42"/>
        <v>#DIV/0!</v>
      </c>
      <c r="I126" s="77">
        <f t="shared" si="47"/>
        <v>123</v>
      </c>
      <c r="J126" s="73">
        <f t="shared" si="43"/>
        <v>2032</v>
      </c>
      <c r="K126" s="78" t="str">
        <f t="shared" si="45"/>
        <v/>
      </c>
    </row>
    <row r="127" spans="2:11" hidden="1" outlineLevel="1">
      <c r="B127" s="78">
        <f t="shared" si="40"/>
        <v>48396</v>
      </c>
      <c r="C127" s="75">
        <f>IF(F127&lt;&gt;0,-INDEX([8]Delta!$F$1:$EE$997,$L$13,$I127),0)</f>
        <v>0</v>
      </c>
      <c r="D127" s="71">
        <f>IF(F127&lt;&gt;0,VLOOKUP($J127,'Table 1'!$B$13:$C$33,2,FALSE)/12*1000*Study_MW,0)</f>
        <v>0</v>
      </c>
      <c r="E127" s="71">
        <f t="shared" si="41"/>
        <v>0</v>
      </c>
      <c r="F127" s="75">
        <f>INDEX([8]Delta!$F$1:$EE$997,$L$14,$I127)</f>
        <v>0</v>
      </c>
      <c r="G127" s="76" t="e">
        <f t="shared" si="42"/>
        <v>#DIV/0!</v>
      </c>
      <c r="I127" s="77">
        <f t="shared" si="47"/>
        <v>124</v>
      </c>
      <c r="J127" s="73">
        <f t="shared" si="43"/>
        <v>2032</v>
      </c>
      <c r="K127" s="78" t="str">
        <f t="shared" si="45"/>
        <v/>
      </c>
    </row>
    <row r="128" spans="2:11" hidden="1" outlineLevel="1">
      <c r="B128" s="78">
        <f t="shared" si="40"/>
        <v>48427</v>
      </c>
      <c r="C128" s="75">
        <f>IF(F128&lt;&gt;0,-INDEX([8]Delta!$F$1:$EE$997,$L$13,$I128),0)</f>
        <v>0</v>
      </c>
      <c r="D128" s="71">
        <f>IF(F128&lt;&gt;0,VLOOKUP($J128,'Table 1'!$B$13:$C$33,2,FALSE)/12*1000*Study_MW,0)</f>
        <v>0</v>
      </c>
      <c r="E128" s="71">
        <f t="shared" si="41"/>
        <v>0</v>
      </c>
      <c r="F128" s="75">
        <f>INDEX([8]Delta!$F$1:$EE$997,$L$14,$I128)</f>
        <v>0</v>
      </c>
      <c r="G128" s="76" t="e">
        <f t="shared" si="42"/>
        <v>#DIV/0!</v>
      </c>
      <c r="I128" s="77">
        <f t="shared" si="47"/>
        <v>125</v>
      </c>
      <c r="J128" s="73">
        <f t="shared" si="43"/>
        <v>2032</v>
      </c>
      <c r="K128" s="78" t="str">
        <f t="shared" si="45"/>
        <v/>
      </c>
    </row>
    <row r="129" spans="2:11" hidden="1" outlineLevel="1">
      <c r="B129" s="78">
        <f t="shared" si="40"/>
        <v>48458</v>
      </c>
      <c r="C129" s="75">
        <f>IF(F129&lt;&gt;0,-INDEX([8]Delta!$F$1:$EE$997,$L$13,$I129),0)</f>
        <v>0</v>
      </c>
      <c r="D129" s="71">
        <f>IF(F129&lt;&gt;0,VLOOKUP($J129,'Table 1'!$B$13:$C$33,2,FALSE)/12*1000*Study_MW,0)</f>
        <v>0</v>
      </c>
      <c r="E129" s="71">
        <f t="shared" si="41"/>
        <v>0</v>
      </c>
      <c r="F129" s="75">
        <f>INDEX([8]Delta!$F$1:$EE$997,$L$14,$I129)</f>
        <v>0</v>
      </c>
      <c r="G129" s="76" t="e">
        <f t="shared" si="42"/>
        <v>#DIV/0!</v>
      </c>
      <c r="I129" s="77">
        <f t="shared" si="47"/>
        <v>126</v>
      </c>
      <c r="J129" s="73">
        <f t="shared" si="43"/>
        <v>2032</v>
      </c>
      <c r="K129" s="78" t="str">
        <f t="shared" si="45"/>
        <v/>
      </c>
    </row>
    <row r="130" spans="2:11" hidden="1" outlineLevel="1">
      <c r="B130" s="78">
        <f t="shared" si="40"/>
        <v>48488</v>
      </c>
      <c r="C130" s="75">
        <f>IF(F130&lt;&gt;0,-INDEX([8]Delta!$F$1:$EE$997,$L$13,$I130),0)</f>
        <v>0</v>
      </c>
      <c r="D130" s="71">
        <f>IF(F130&lt;&gt;0,VLOOKUP($J130,'Table 1'!$B$13:$C$33,2,FALSE)/12*1000*Study_MW,0)</f>
        <v>0</v>
      </c>
      <c r="E130" s="71">
        <f t="shared" si="41"/>
        <v>0</v>
      </c>
      <c r="F130" s="75">
        <f>INDEX([8]Delta!$F$1:$EE$997,$L$14,$I130)</f>
        <v>0</v>
      </c>
      <c r="G130" s="76" t="e">
        <f t="shared" si="42"/>
        <v>#DIV/0!</v>
      </c>
      <c r="I130" s="77">
        <f t="shared" si="47"/>
        <v>127</v>
      </c>
      <c r="J130" s="73">
        <f t="shared" si="43"/>
        <v>2032</v>
      </c>
      <c r="K130" s="78" t="str">
        <f t="shared" si="45"/>
        <v/>
      </c>
    </row>
    <row r="131" spans="2:11" hidden="1" outlineLevel="1">
      <c r="B131" s="78">
        <f t="shared" si="40"/>
        <v>48519</v>
      </c>
      <c r="C131" s="75">
        <f>IF(F131&lt;&gt;0,-INDEX([8]Delta!$F$1:$EE$997,$L$13,$I131),0)</f>
        <v>0</v>
      </c>
      <c r="D131" s="71">
        <f>IF(F131&lt;&gt;0,VLOOKUP($J131,'Table 1'!$B$13:$C$33,2,FALSE)/12*1000*Study_MW,0)</f>
        <v>0</v>
      </c>
      <c r="E131" s="71">
        <f t="shared" si="41"/>
        <v>0</v>
      </c>
      <c r="F131" s="75">
        <f>INDEX([8]Delta!$F$1:$EE$997,$L$14,$I131)</f>
        <v>0</v>
      </c>
      <c r="G131" s="76" t="e">
        <f t="shared" si="42"/>
        <v>#DIV/0!</v>
      </c>
      <c r="I131" s="77">
        <f t="shared" si="47"/>
        <v>128</v>
      </c>
      <c r="J131" s="73">
        <f t="shared" si="43"/>
        <v>2032</v>
      </c>
      <c r="K131" s="78" t="str">
        <f t="shared" si="45"/>
        <v/>
      </c>
    </row>
    <row r="132" spans="2:11" hidden="1" outlineLevel="1">
      <c r="B132" s="82">
        <f t="shared" si="40"/>
        <v>48549</v>
      </c>
      <c r="C132" s="79">
        <f>IF(F132&lt;&gt;0,-INDEX([8]Delta!$F$1:$EE$997,$L$13,$I132),0)</f>
        <v>0</v>
      </c>
      <c r="D132" s="80">
        <f>IF(F132&lt;&gt;0,VLOOKUP($J132,'Table 1'!$B$13:$C$33,2,FALSE)/12*1000*Study_MW,0)</f>
        <v>0</v>
      </c>
      <c r="E132" s="80">
        <f t="shared" si="41"/>
        <v>0</v>
      </c>
      <c r="F132" s="79">
        <f>INDEX([8]Delta!$F$1:$EE$997,$L$14,$I132)</f>
        <v>0</v>
      </c>
      <c r="G132" s="81" t="e">
        <f t="shared" si="42"/>
        <v>#DIV/0!</v>
      </c>
      <c r="I132" s="64">
        <f t="shared" si="47"/>
        <v>129</v>
      </c>
      <c r="J132" s="73">
        <f t="shared" si="43"/>
        <v>2032</v>
      </c>
      <c r="K132" s="82" t="str">
        <f t="shared" si="45"/>
        <v/>
      </c>
    </row>
    <row r="133" spans="2:11" hidden="1" outlineLevel="1">
      <c r="B133" s="74">
        <f t="shared" si="40"/>
        <v>48580</v>
      </c>
      <c r="C133" s="69">
        <v>0</v>
      </c>
      <c r="D133" s="70">
        <f>IF(F133&lt;&gt;0,VLOOKUP($J133,'Table 1'!$B$13:$C$33,2,FALSE)/12*1000*Study_MW,0)</f>
        <v>0</v>
      </c>
      <c r="E133" s="70">
        <f t="shared" si="41"/>
        <v>0</v>
      </c>
      <c r="F133" s="69">
        <v>0</v>
      </c>
      <c r="G133" s="72" t="e">
        <f t="shared" si="42"/>
        <v>#DIV/0!</v>
      </c>
      <c r="I133" s="60">
        <f>I13</f>
        <v>1</v>
      </c>
      <c r="J133" s="73">
        <f t="shared" si="43"/>
        <v>2033</v>
      </c>
      <c r="K133" s="74" t="str">
        <f t="shared" si="45"/>
        <v/>
      </c>
    </row>
    <row r="134" spans="2:11" hidden="1" outlineLevel="1">
      <c r="B134" s="78">
        <f t="shared" si="40"/>
        <v>48611</v>
      </c>
      <c r="C134" s="75">
        <v>0</v>
      </c>
      <c r="D134" s="71">
        <f>IF(F134&lt;&gt;0,VLOOKUP($J134,'Table 1'!$B$13:$C$33,2,FALSE)/12*1000*Study_MW,0)</f>
        <v>0</v>
      </c>
      <c r="E134" s="71">
        <f t="shared" si="41"/>
        <v>0</v>
      </c>
      <c r="F134" s="75">
        <v>0</v>
      </c>
      <c r="G134" s="76" t="e">
        <f t="shared" si="42"/>
        <v>#DIV/0!</v>
      </c>
      <c r="I134" s="77">
        <f t="shared" ref="I134:I197" si="48">I14</f>
        <v>2</v>
      </c>
      <c r="J134" s="73">
        <f t="shared" si="43"/>
        <v>2033</v>
      </c>
      <c r="K134" s="78" t="str">
        <f t="shared" si="45"/>
        <v/>
      </c>
    </row>
    <row r="135" spans="2:11" hidden="1" outlineLevel="1">
      <c r="B135" s="78">
        <f t="shared" si="40"/>
        <v>48639</v>
      </c>
      <c r="C135" s="75">
        <v>0</v>
      </c>
      <c r="D135" s="71">
        <f>IF(F135&lt;&gt;0,VLOOKUP($J135,'Table 1'!$B$13:$C$33,2,FALSE)/12*1000*Study_MW,0)</f>
        <v>0</v>
      </c>
      <c r="E135" s="71">
        <f t="shared" si="41"/>
        <v>0</v>
      </c>
      <c r="F135" s="75">
        <v>0</v>
      </c>
      <c r="G135" s="76" t="e">
        <f t="shared" si="42"/>
        <v>#DIV/0!</v>
      </c>
      <c r="I135" s="77">
        <f t="shared" si="48"/>
        <v>3</v>
      </c>
      <c r="J135" s="73">
        <f t="shared" si="43"/>
        <v>2033</v>
      </c>
      <c r="K135" s="78" t="str">
        <f t="shared" si="45"/>
        <v/>
      </c>
    </row>
    <row r="136" spans="2:11" hidden="1" outlineLevel="1">
      <c r="B136" s="78">
        <f t="shared" si="40"/>
        <v>48670</v>
      </c>
      <c r="C136" s="75">
        <v>0</v>
      </c>
      <c r="D136" s="71">
        <f>IF(F136&lt;&gt;0,VLOOKUP($J136,'Table 1'!$B$13:$C$33,2,FALSE)/12*1000*Study_MW,0)</f>
        <v>0</v>
      </c>
      <c r="E136" s="71">
        <f t="shared" si="41"/>
        <v>0</v>
      </c>
      <c r="F136" s="75">
        <v>0</v>
      </c>
      <c r="G136" s="76" t="e">
        <f t="shared" si="42"/>
        <v>#DIV/0!</v>
      </c>
      <c r="I136" s="77">
        <f t="shared" si="48"/>
        <v>4</v>
      </c>
      <c r="J136" s="73">
        <f t="shared" si="43"/>
        <v>2033</v>
      </c>
      <c r="K136" s="78" t="str">
        <f t="shared" si="45"/>
        <v/>
      </c>
    </row>
    <row r="137" spans="2:11" hidden="1" outlineLevel="1">
      <c r="B137" s="78">
        <f t="shared" si="40"/>
        <v>48700</v>
      </c>
      <c r="C137" s="75">
        <v>0</v>
      </c>
      <c r="D137" s="71">
        <f>IF(F137&lt;&gt;0,VLOOKUP($J137,'Table 1'!$B$13:$C$33,2,FALSE)/12*1000*Study_MW,0)</f>
        <v>0</v>
      </c>
      <c r="E137" s="71">
        <f t="shared" si="41"/>
        <v>0</v>
      </c>
      <c r="F137" s="75">
        <v>0</v>
      </c>
      <c r="G137" s="76" t="e">
        <f t="shared" si="42"/>
        <v>#DIV/0!</v>
      </c>
      <c r="I137" s="77">
        <f t="shared" si="48"/>
        <v>5</v>
      </c>
      <c r="J137" s="73">
        <f t="shared" si="43"/>
        <v>2033</v>
      </c>
      <c r="K137" s="78" t="str">
        <f t="shared" si="45"/>
        <v/>
      </c>
    </row>
    <row r="138" spans="2:11" hidden="1" outlineLevel="1">
      <c r="B138" s="78">
        <f t="shared" si="40"/>
        <v>48731</v>
      </c>
      <c r="C138" s="75">
        <v>0</v>
      </c>
      <c r="D138" s="71">
        <f>IF(F138&lt;&gt;0,VLOOKUP($J138,'Table 1'!$B$13:$C$33,2,FALSE)/12*1000*Study_MW,0)</f>
        <v>0</v>
      </c>
      <c r="E138" s="71">
        <f t="shared" si="41"/>
        <v>0</v>
      </c>
      <c r="F138" s="75">
        <v>0</v>
      </c>
      <c r="G138" s="76" t="e">
        <f t="shared" si="42"/>
        <v>#DIV/0!</v>
      </c>
      <c r="I138" s="77">
        <f t="shared" si="48"/>
        <v>6</v>
      </c>
      <c r="J138" s="73">
        <f t="shared" si="43"/>
        <v>2033</v>
      </c>
      <c r="K138" s="78" t="str">
        <f t="shared" si="45"/>
        <v/>
      </c>
    </row>
    <row r="139" spans="2:11" hidden="1" outlineLevel="1">
      <c r="B139" s="78">
        <f t="shared" si="40"/>
        <v>48761</v>
      </c>
      <c r="C139" s="75">
        <v>0</v>
      </c>
      <c r="D139" s="71">
        <f>IF(F139&lt;&gt;0,VLOOKUP($J139,'Table 1'!$B$13:$C$33,2,FALSE)/12*1000*Study_MW,0)</f>
        <v>0</v>
      </c>
      <c r="E139" s="71">
        <f t="shared" si="41"/>
        <v>0</v>
      </c>
      <c r="F139" s="75">
        <v>0</v>
      </c>
      <c r="G139" s="76" t="e">
        <f t="shared" si="42"/>
        <v>#DIV/0!</v>
      </c>
      <c r="I139" s="77">
        <f t="shared" si="48"/>
        <v>7</v>
      </c>
      <c r="J139" s="73">
        <f t="shared" si="43"/>
        <v>2033</v>
      </c>
      <c r="K139" s="78" t="str">
        <f t="shared" si="45"/>
        <v/>
      </c>
    </row>
    <row r="140" spans="2:11" hidden="1" outlineLevel="1">
      <c r="B140" s="78">
        <f t="shared" si="40"/>
        <v>48792</v>
      </c>
      <c r="C140" s="75">
        <v>0</v>
      </c>
      <c r="D140" s="71">
        <f>IF(F140&lt;&gt;0,VLOOKUP($J140,'Table 1'!$B$13:$C$33,2,FALSE)/12*1000*Study_MW,0)</f>
        <v>0</v>
      </c>
      <c r="E140" s="71">
        <f t="shared" si="41"/>
        <v>0</v>
      </c>
      <c r="F140" s="75">
        <v>0</v>
      </c>
      <c r="G140" s="76" t="e">
        <f t="shared" si="42"/>
        <v>#DIV/0!</v>
      </c>
      <c r="I140" s="77">
        <f t="shared" si="48"/>
        <v>8</v>
      </c>
      <c r="J140" s="73">
        <f t="shared" si="43"/>
        <v>2033</v>
      </c>
      <c r="K140" s="78" t="str">
        <f t="shared" si="45"/>
        <v/>
      </c>
    </row>
    <row r="141" spans="2:11" hidden="1" outlineLevel="1">
      <c r="B141" s="78">
        <f t="shared" si="40"/>
        <v>48823</v>
      </c>
      <c r="C141" s="75">
        <v>0</v>
      </c>
      <c r="D141" s="71">
        <f>IF(F141&lt;&gt;0,VLOOKUP($J141,'Table 1'!$B$13:$C$33,2,FALSE)/12*1000*Study_MW,0)</f>
        <v>0</v>
      </c>
      <c r="E141" s="71">
        <f t="shared" si="41"/>
        <v>0</v>
      </c>
      <c r="F141" s="75">
        <v>0</v>
      </c>
      <c r="G141" s="76" t="e">
        <f t="shared" si="42"/>
        <v>#DIV/0!</v>
      </c>
      <c r="I141" s="77">
        <f t="shared" si="48"/>
        <v>9</v>
      </c>
      <c r="J141" s="73">
        <f t="shared" si="43"/>
        <v>2033</v>
      </c>
      <c r="K141" s="78" t="str">
        <f t="shared" si="45"/>
        <v/>
      </c>
    </row>
    <row r="142" spans="2:11" hidden="1" outlineLevel="1">
      <c r="B142" s="78">
        <f t="shared" ref="B142:B205" si="49">EDATE(B141,1)</f>
        <v>48853</v>
      </c>
      <c r="C142" s="75">
        <v>0</v>
      </c>
      <c r="D142" s="71">
        <f>IF(F142&lt;&gt;0,VLOOKUP($J142,'Table 1'!$B$13:$C$33,2,FALSE)/12*1000*Study_MW,0)</f>
        <v>0</v>
      </c>
      <c r="E142" s="71">
        <f t="shared" ref="E142:E192" si="50">C142+D142</f>
        <v>0</v>
      </c>
      <c r="F142" s="75">
        <v>0</v>
      </c>
      <c r="G142" s="76" t="e">
        <f t="shared" ref="G142:G192" si="51">IF(ISNUMBER($F142),E142/$F142,"")</f>
        <v>#DIV/0!</v>
      </c>
      <c r="I142" s="77">
        <f t="shared" si="48"/>
        <v>10</v>
      </c>
      <c r="J142" s="73">
        <f t="shared" ref="J142:J192" si="52">YEAR(B142)</f>
        <v>2033</v>
      </c>
      <c r="K142" s="78" t="str">
        <f t="shared" si="45"/>
        <v/>
      </c>
    </row>
    <row r="143" spans="2:11" hidden="1" outlineLevel="1">
      <c r="B143" s="78">
        <f t="shared" si="49"/>
        <v>48884</v>
      </c>
      <c r="C143" s="75">
        <v>0</v>
      </c>
      <c r="D143" s="71">
        <f>IF(F143&lt;&gt;0,VLOOKUP($J143,'Table 1'!$B$13:$C$33,2,FALSE)/12*1000*Study_MW,0)</f>
        <v>0</v>
      </c>
      <c r="E143" s="71">
        <f t="shared" si="50"/>
        <v>0</v>
      </c>
      <c r="F143" s="75">
        <v>0</v>
      </c>
      <c r="G143" s="76" t="e">
        <f t="shared" si="51"/>
        <v>#DIV/0!</v>
      </c>
      <c r="I143" s="77">
        <f t="shared" si="48"/>
        <v>11</v>
      </c>
      <c r="J143" s="73">
        <f t="shared" si="52"/>
        <v>2033</v>
      </c>
      <c r="K143" s="78" t="str">
        <f t="shared" si="45"/>
        <v/>
      </c>
    </row>
    <row r="144" spans="2:11" hidden="1" outlineLevel="1">
      <c r="B144" s="82">
        <f t="shared" si="49"/>
        <v>48914</v>
      </c>
      <c r="C144" s="79">
        <v>0</v>
      </c>
      <c r="D144" s="80">
        <f>IF(F144&lt;&gt;0,VLOOKUP($J144,'Table 1'!$B$13:$C$33,2,FALSE)/12*1000*Study_MW,0)</f>
        <v>0</v>
      </c>
      <c r="E144" s="80">
        <f t="shared" si="50"/>
        <v>0</v>
      </c>
      <c r="F144" s="79">
        <v>0</v>
      </c>
      <c r="G144" s="81" t="e">
        <f t="shared" si="51"/>
        <v>#DIV/0!</v>
      </c>
      <c r="I144" s="64">
        <f t="shared" si="48"/>
        <v>12</v>
      </c>
      <c r="J144" s="73">
        <f t="shared" si="52"/>
        <v>2033</v>
      </c>
      <c r="K144" s="82" t="str">
        <f t="shared" si="45"/>
        <v/>
      </c>
    </row>
    <row r="145" spans="2:11" hidden="1" outlineLevel="1">
      <c r="B145" s="74">
        <f t="shared" si="49"/>
        <v>48945</v>
      </c>
      <c r="C145" s="69">
        <v>0</v>
      </c>
      <c r="D145" s="70">
        <f>IF(F145&lt;&gt;0,VLOOKUP($J145,'Table 1'!$B$13:$C$33,2,FALSE)/12*1000*Study_MW,0)</f>
        <v>0</v>
      </c>
      <c r="E145" s="70">
        <f t="shared" si="50"/>
        <v>0</v>
      </c>
      <c r="F145" s="69">
        <v>0</v>
      </c>
      <c r="G145" s="72" t="e">
        <f t="shared" si="51"/>
        <v>#DIV/0!</v>
      </c>
      <c r="I145" s="60">
        <f>I25</f>
        <v>14</v>
      </c>
      <c r="J145" s="73">
        <f t="shared" si="52"/>
        <v>2034</v>
      </c>
      <c r="K145" s="74" t="str">
        <f t="shared" si="45"/>
        <v/>
      </c>
    </row>
    <row r="146" spans="2:11" hidden="1" outlineLevel="1">
      <c r="B146" s="78">
        <f t="shared" si="49"/>
        <v>48976</v>
      </c>
      <c r="C146" s="75">
        <v>0</v>
      </c>
      <c r="D146" s="71">
        <f>IF(F146&lt;&gt;0,VLOOKUP($J146,'Table 1'!$B$13:$C$33,2,FALSE)/12*1000*Study_MW,0)</f>
        <v>0</v>
      </c>
      <c r="E146" s="71">
        <f t="shared" si="50"/>
        <v>0</v>
      </c>
      <c r="F146" s="75">
        <v>0</v>
      </c>
      <c r="G146" s="76" t="e">
        <f t="shared" si="51"/>
        <v>#DIV/0!</v>
      </c>
      <c r="I146" s="77">
        <f t="shared" si="48"/>
        <v>15</v>
      </c>
      <c r="J146" s="73">
        <f t="shared" si="52"/>
        <v>2034</v>
      </c>
      <c r="K146" s="78" t="str">
        <f t="shared" si="45"/>
        <v/>
      </c>
    </row>
    <row r="147" spans="2:11" hidden="1" outlineLevel="1">
      <c r="B147" s="78">
        <f t="shared" si="49"/>
        <v>49004</v>
      </c>
      <c r="C147" s="75">
        <v>0</v>
      </c>
      <c r="D147" s="71">
        <f>IF(F147&lt;&gt;0,VLOOKUP($J147,'Table 1'!$B$13:$C$33,2,FALSE)/12*1000*Study_MW,0)</f>
        <v>0</v>
      </c>
      <c r="E147" s="71">
        <f t="shared" si="50"/>
        <v>0</v>
      </c>
      <c r="F147" s="75">
        <v>0</v>
      </c>
      <c r="G147" s="76" t="e">
        <f t="shared" si="51"/>
        <v>#DIV/0!</v>
      </c>
      <c r="I147" s="77">
        <f t="shared" si="48"/>
        <v>16</v>
      </c>
      <c r="J147" s="73">
        <f t="shared" si="52"/>
        <v>2034</v>
      </c>
      <c r="K147" s="78" t="str">
        <f t="shared" si="45"/>
        <v/>
      </c>
    </row>
    <row r="148" spans="2:11" hidden="1" outlineLevel="1">
      <c r="B148" s="78">
        <f t="shared" si="49"/>
        <v>49035</v>
      </c>
      <c r="C148" s="75">
        <v>0</v>
      </c>
      <c r="D148" s="71">
        <f>IF(F148&lt;&gt;0,VLOOKUP($J148,'Table 1'!$B$13:$C$33,2,FALSE)/12*1000*Study_MW,0)</f>
        <v>0</v>
      </c>
      <c r="E148" s="71">
        <f t="shared" si="50"/>
        <v>0</v>
      </c>
      <c r="F148" s="75">
        <v>0</v>
      </c>
      <c r="G148" s="76" t="e">
        <f t="shared" si="51"/>
        <v>#DIV/0!</v>
      </c>
      <c r="I148" s="77">
        <f t="shared" si="48"/>
        <v>17</v>
      </c>
      <c r="J148" s="73">
        <f t="shared" si="52"/>
        <v>2034</v>
      </c>
      <c r="K148" s="78" t="str">
        <f t="shared" si="45"/>
        <v/>
      </c>
    </row>
    <row r="149" spans="2:11" hidden="1" outlineLevel="1">
      <c r="B149" s="78">
        <f t="shared" si="49"/>
        <v>49065</v>
      </c>
      <c r="C149" s="75">
        <v>0</v>
      </c>
      <c r="D149" s="71">
        <f>IF(F149&lt;&gt;0,VLOOKUP($J149,'Table 1'!$B$13:$C$33,2,FALSE)/12*1000*Study_MW,0)</f>
        <v>0</v>
      </c>
      <c r="E149" s="71">
        <f t="shared" si="50"/>
        <v>0</v>
      </c>
      <c r="F149" s="75">
        <v>0</v>
      </c>
      <c r="G149" s="76" t="e">
        <f t="shared" si="51"/>
        <v>#DIV/0!</v>
      </c>
      <c r="I149" s="77">
        <f t="shared" si="48"/>
        <v>18</v>
      </c>
      <c r="J149" s="73">
        <f t="shared" si="52"/>
        <v>2034</v>
      </c>
      <c r="K149" s="78" t="str">
        <f t="shared" si="45"/>
        <v/>
      </c>
    </row>
    <row r="150" spans="2:11" hidden="1" outlineLevel="1">
      <c r="B150" s="78">
        <f t="shared" si="49"/>
        <v>49096</v>
      </c>
      <c r="C150" s="75">
        <v>0</v>
      </c>
      <c r="D150" s="71">
        <f>IF(F150&lt;&gt;0,VLOOKUP($J150,'Table 1'!$B$13:$C$33,2,FALSE)/12*1000*Study_MW,0)</f>
        <v>0</v>
      </c>
      <c r="E150" s="71">
        <f t="shared" si="50"/>
        <v>0</v>
      </c>
      <c r="F150" s="75">
        <v>0</v>
      </c>
      <c r="G150" s="76" t="e">
        <f t="shared" si="51"/>
        <v>#DIV/0!</v>
      </c>
      <c r="I150" s="77">
        <f t="shared" si="48"/>
        <v>19</v>
      </c>
      <c r="J150" s="73">
        <f t="shared" si="52"/>
        <v>2034</v>
      </c>
      <c r="K150" s="78" t="str">
        <f t="shared" si="45"/>
        <v/>
      </c>
    </row>
    <row r="151" spans="2:11" hidden="1" outlineLevel="1">
      <c r="B151" s="78">
        <f t="shared" si="49"/>
        <v>49126</v>
      </c>
      <c r="C151" s="75">
        <v>0</v>
      </c>
      <c r="D151" s="71">
        <f>IF(F151&lt;&gt;0,VLOOKUP($J151,'Table 1'!$B$13:$C$33,2,FALSE)/12*1000*Study_MW,0)</f>
        <v>0</v>
      </c>
      <c r="E151" s="71">
        <f t="shared" si="50"/>
        <v>0</v>
      </c>
      <c r="F151" s="75">
        <v>0</v>
      </c>
      <c r="G151" s="76" t="e">
        <f t="shared" si="51"/>
        <v>#DIV/0!</v>
      </c>
      <c r="I151" s="77">
        <f t="shared" si="48"/>
        <v>20</v>
      </c>
      <c r="J151" s="73">
        <f t="shared" si="52"/>
        <v>2034</v>
      </c>
      <c r="K151" s="78" t="str">
        <f t="shared" si="45"/>
        <v/>
      </c>
    </row>
    <row r="152" spans="2:11" hidden="1" outlineLevel="1">
      <c r="B152" s="78">
        <f t="shared" si="49"/>
        <v>49157</v>
      </c>
      <c r="C152" s="75">
        <v>0</v>
      </c>
      <c r="D152" s="71">
        <f>IF(F152&lt;&gt;0,VLOOKUP($J152,'Table 1'!$B$13:$C$33,2,FALSE)/12*1000*Study_MW,0)</f>
        <v>0</v>
      </c>
      <c r="E152" s="71">
        <f t="shared" si="50"/>
        <v>0</v>
      </c>
      <c r="F152" s="75">
        <v>0</v>
      </c>
      <c r="G152" s="76" t="e">
        <f t="shared" si="51"/>
        <v>#DIV/0!</v>
      </c>
      <c r="I152" s="77">
        <f t="shared" si="48"/>
        <v>21</v>
      </c>
      <c r="J152" s="73">
        <f t="shared" si="52"/>
        <v>2034</v>
      </c>
      <c r="K152" s="78" t="str">
        <f t="shared" si="45"/>
        <v/>
      </c>
    </row>
    <row r="153" spans="2:11" hidden="1" outlineLevel="1">
      <c r="B153" s="78">
        <f t="shared" si="49"/>
        <v>49188</v>
      </c>
      <c r="C153" s="75">
        <v>0</v>
      </c>
      <c r="D153" s="71">
        <f>IF(F153&lt;&gt;0,VLOOKUP($J153,'Table 1'!$B$13:$C$33,2,FALSE)/12*1000*Study_MW,0)</f>
        <v>0</v>
      </c>
      <c r="E153" s="71">
        <f t="shared" si="50"/>
        <v>0</v>
      </c>
      <c r="F153" s="75">
        <v>0</v>
      </c>
      <c r="G153" s="76" t="e">
        <f t="shared" si="51"/>
        <v>#DIV/0!</v>
      </c>
      <c r="I153" s="77">
        <f t="shared" si="48"/>
        <v>22</v>
      </c>
      <c r="J153" s="73">
        <f t="shared" si="52"/>
        <v>2034</v>
      </c>
      <c r="K153" s="78" t="str">
        <f t="shared" si="45"/>
        <v/>
      </c>
    </row>
    <row r="154" spans="2:11" hidden="1" outlineLevel="1">
      <c r="B154" s="78">
        <f t="shared" si="49"/>
        <v>49218</v>
      </c>
      <c r="C154" s="75">
        <v>0</v>
      </c>
      <c r="D154" s="71">
        <f>IF(F154&lt;&gt;0,VLOOKUP($J154,'Table 1'!$B$13:$C$33,2,FALSE)/12*1000*Study_MW,0)</f>
        <v>0</v>
      </c>
      <c r="E154" s="71">
        <f t="shared" si="50"/>
        <v>0</v>
      </c>
      <c r="F154" s="75">
        <v>0</v>
      </c>
      <c r="G154" s="76" t="e">
        <f t="shared" si="51"/>
        <v>#DIV/0!</v>
      </c>
      <c r="I154" s="77">
        <f t="shared" si="48"/>
        <v>23</v>
      </c>
      <c r="J154" s="73">
        <f t="shared" si="52"/>
        <v>2034</v>
      </c>
      <c r="K154" s="78" t="str">
        <f t="shared" ref="K154:K192" si="53">IF(ISNUMBER(F154),IF(F154&lt;&gt;0,B154,""),"")</f>
        <v/>
      </c>
    </row>
    <row r="155" spans="2:11" hidden="1" outlineLevel="1">
      <c r="B155" s="78">
        <f t="shared" si="49"/>
        <v>49249</v>
      </c>
      <c r="C155" s="75">
        <v>0</v>
      </c>
      <c r="D155" s="71">
        <f>IF(F155&lt;&gt;0,VLOOKUP($J155,'Table 1'!$B$13:$C$33,2,FALSE)/12*1000*Study_MW,0)</f>
        <v>0</v>
      </c>
      <c r="E155" s="71">
        <f t="shared" si="50"/>
        <v>0</v>
      </c>
      <c r="F155" s="75">
        <v>0</v>
      </c>
      <c r="G155" s="76" t="e">
        <f t="shared" si="51"/>
        <v>#DIV/0!</v>
      </c>
      <c r="I155" s="77">
        <f t="shared" si="48"/>
        <v>24</v>
      </c>
      <c r="J155" s="73">
        <f t="shared" si="52"/>
        <v>2034</v>
      </c>
      <c r="K155" s="78" t="str">
        <f t="shared" si="53"/>
        <v/>
      </c>
    </row>
    <row r="156" spans="2:11" hidden="1" outlineLevel="1">
      <c r="B156" s="82">
        <f t="shared" si="49"/>
        <v>49279</v>
      </c>
      <c r="C156" s="79">
        <v>0</v>
      </c>
      <c r="D156" s="80">
        <f>IF(F156&lt;&gt;0,VLOOKUP($J156,'Table 1'!$B$13:$C$33,2,FALSE)/12*1000*Study_MW,0)</f>
        <v>0</v>
      </c>
      <c r="E156" s="80">
        <f t="shared" si="50"/>
        <v>0</v>
      </c>
      <c r="F156" s="79">
        <v>0</v>
      </c>
      <c r="G156" s="81" t="e">
        <f t="shared" si="51"/>
        <v>#DIV/0!</v>
      </c>
      <c r="I156" s="64">
        <f t="shared" si="48"/>
        <v>25</v>
      </c>
      <c r="J156" s="73">
        <f t="shared" si="52"/>
        <v>2034</v>
      </c>
      <c r="K156" s="82" t="str">
        <f t="shared" si="53"/>
        <v/>
      </c>
    </row>
    <row r="157" spans="2:11" hidden="1" outlineLevel="1">
      <c r="B157" s="74">
        <f t="shared" si="49"/>
        <v>49310</v>
      </c>
      <c r="C157" s="69">
        <v>0</v>
      </c>
      <c r="D157" s="70">
        <f>IF(F157&lt;&gt;0,VLOOKUP($J157,'Table 1'!$B$13:$C$33,2,FALSE)/12*1000*Study_MW,0)</f>
        <v>0</v>
      </c>
      <c r="E157" s="70">
        <f t="shared" si="50"/>
        <v>0</v>
      </c>
      <c r="F157" s="69">
        <v>0</v>
      </c>
      <c r="G157" s="72" t="e">
        <f t="shared" si="51"/>
        <v>#DIV/0!</v>
      </c>
      <c r="I157" s="60">
        <f>I37</f>
        <v>27</v>
      </c>
      <c r="J157" s="73">
        <f t="shared" si="52"/>
        <v>2035</v>
      </c>
      <c r="K157" s="74" t="str">
        <f t="shared" si="53"/>
        <v/>
      </c>
    </row>
    <row r="158" spans="2:11" hidden="1" outlineLevel="1">
      <c r="B158" s="78">
        <f t="shared" si="49"/>
        <v>49341</v>
      </c>
      <c r="C158" s="75">
        <v>0</v>
      </c>
      <c r="D158" s="71">
        <f>IF(F158&lt;&gt;0,VLOOKUP($J158,'Table 1'!$B$13:$C$33,2,FALSE)/12*1000*Study_MW,0)</f>
        <v>0</v>
      </c>
      <c r="E158" s="71">
        <f t="shared" si="50"/>
        <v>0</v>
      </c>
      <c r="F158" s="75">
        <v>0</v>
      </c>
      <c r="G158" s="76" t="e">
        <f t="shared" si="51"/>
        <v>#DIV/0!</v>
      </c>
      <c r="I158" s="77">
        <f t="shared" si="48"/>
        <v>28</v>
      </c>
      <c r="J158" s="73">
        <f t="shared" si="52"/>
        <v>2035</v>
      </c>
      <c r="K158" s="78" t="str">
        <f t="shared" si="53"/>
        <v/>
      </c>
    </row>
    <row r="159" spans="2:11" hidden="1" outlineLevel="1">
      <c r="B159" s="78">
        <f t="shared" si="49"/>
        <v>49369</v>
      </c>
      <c r="C159" s="75">
        <v>0</v>
      </c>
      <c r="D159" s="71">
        <f>IF(F159&lt;&gt;0,VLOOKUP($J159,'Table 1'!$B$13:$C$33,2,FALSE)/12*1000*Study_MW,0)</f>
        <v>0</v>
      </c>
      <c r="E159" s="71">
        <f t="shared" si="50"/>
        <v>0</v>
      </c>
      <c r="F159" s="75">
        <v>0</v>
      </c>
      <c r="G159" s="76" t="e">
        <f t="shared" si="51"/>
        <v>#DIV/0!</v>
      </c>
      <c r="I159" s="77">
        <f t="shared" si="48"/>
        <v>29</v>
      </c>
      <c r="J159" s="73">
        <f t="shared" si="52"/>
        <v>2035</v>
      </c>
      <c r="K159" s="78" t="str">
        <f t="shared" si="53"/>
        <v/>
      </c>
    </row>
    <row r="160" spans="2:11" hidden="1" outlineLevel="1">
      <c r="B160" s="78">
        <f t="shared" si="49"/>
        <v>49400</v>
      </c>
      <c r="C160" s="75">
        <v>0</v>
      </c>
      <c r="D160" s="71">
        <f>IF(F160&lt;&gt;0,VLOOKUP($J160,'Table 1'!$B$13:$C$33,2,FALSE)/12*1000*Study_MW,0)</f>
        <v>0</v>
      </c>
      <c r="E160" s="71">
        <f t="shared" si="50"/>
        <v>0</v>
      </c>
      <c r="F160" s="75">
        <v>0</v>
      </c>
      <c r="G160" s="76" t="e">
        <f t="shared" si="51"/>
        <v>#DIV/0!</v>
      </c>
      <c r="I160" s="77">
        <f t="shared" si="48"/>
        <v>30</v>
      </c>
      <c r="J160" s="73">
        <f t="shared" si="52"/>
        <v>2035</v>
      </c>
      <c r="K160" s="78" t="str">
        <f t="shared" si="53"/>
        <v/>
      </c>
    </row>
    <row r="161" spans="2:11" hidden="1" outlineLevel="1">
      <c r="B161" s="78">
        <f t="shared" si="49"/>
        <v>49430</v>
      </c>
      <c r="C161" s="75">
        <v>0</v>
      </c>
      <c r="D161" s="71">
        <f>IF(F161&lt;&gt;0,VLOOKUP($J161,'Table 1'!$B$13:$C$33,2,FALSE)/12*1000*Study_MW,0)</f>
        <v>0</v>
      </c>
      <c r="E161" s="71">
        <f t="shared" si="50"/>
        <v>0</v>
      </c>
      <c r="F161" s="75">
        <v>0</v>
      </c>
      <c r="G161" s="76" t="e">
        <f t="shared" si="51"/>
        <v>#DIV/0!</v>
      </c>
      <c r="I161" s="77">
        <f t="shared" si="48"/>
        <v>31</v>
      </c>
      <c r="J161" s="73">
        <f t="shared" si="52"/>
        <v>2035</v>
      </c>
      <c r="K161" s="78" t="str">
        <f t="shared" si="53"/>
        <v/>
      </c>
    </row>
    <row r="162" spans="2:11" hidden="1" outlineLevel="1">
      <c r="B162" s="78">
        <f t="shared" si="49"/>
        <v>49461</v>
      </c>
      <c r="C162" s="75">
        <v>0</v>
      </c>
      <c r="D162" s="71">
        <f>IF(F162&lt;&gt;0,VLOOKUP($J162,'Table 1'!$B$13:$C$33,2,FALSE)/12*1000*Study_MW,0)</f>
        <v>0</v>
      </c>
      <c r="E162" s="71">
        <f t="shared" si="50"/>
        <v>0</v>
      </c>
      <c r="F162" s="75">
        <v>0</v>
      </c>
      <c r="G162" s="76" t="e">
        <f t="shared" si="51"/>
        <v>#DIV/0!</v>
      </c>
      <c r="I162" s="77">
        <f t="shared" si="48"/>
        <v>32</v>
      </c>
      <c r="J162" s="73">
        <f t="shared" si="52"/>
        <v>2035</v>
      </c>
      <c r="K162" s="78" t="str">
        <f t="shared" si="53"/>
        <v/>
      </c>
    </row>
    <row r="163" spans="2:11" hidden="1" outlineLevel="1">
      <c r="B163" s="78">
        <f t="shared" si="49"/>
        <v>49491</v>
      </c>
      <c r="C163" s="75">
        <v>0</v>
      </c>
      <c r="D163" s="71">
        <f>IF(F163&lt;&gt;0,VLOOKUP($J163,'Table 1'!$B$13:$C$33,2,FALSE)/12*1000*Study_MW,0)</f>
        <v>0</v>
      </c>
      <c r="E163" s="71">
        <f t="shared" si="50"/>
        <v>0</v>
      </c>
      <c r="F163" s="75">
        <v>0</v>
      </c>
      <c r="G163" s="76" t="e">
        <f t="shared" si="51"/>
        <v>#DIV/0!</v>
      </c>
      <c r="I163" s="77">
        <f t="shared" si="48"/>
        <v>33</v>
      </c>
      <c r="J163" s="73">
        <f t="shared" si="52"/>
        <v>2035</v>
      </c>
      <c r="K163" s="78" t="str">
        <f t="shared" si="53"/>
        <v/>
      </c>
    </row>
    <row r="164" spans="2:11" hidden="1" outlineLevel="1">
      <c r="B164" s="78">
        <f t="shared" si="49"/>
        <v>49522</v>
      </c>
      <c r="C164" s="75">
        <v>0</v>
      </c>
      <c r="D164" s="71">
        <f>IF(F164&lt;&gt;0,VLOOKUP($J164,'Table 1'!$B$13:$C$33,2,FALSE)/12*1000*Study_MW,0)</f>
        <v>0</v>
      </c>
      <c r="E164" s="71">
        <f t="shared" si="50"/>
        <v>0</v>
      </c>
      <c r="F164" s="75">
        <v>0</v>
      </c>
      <c r="G164" s="76" t="e">
        <f t="shared" si="51"/>
        <v>#DIV/0!</v>
      </c>
      <c r="I164" s="77">
        <f t="shared" si="48"/>
        <v>34</v>
      </c>
      <c r="J164" s="73">
        <f t="shared" si="52"/>
        <v>2035</v>
      </c>
      <c r="K164" s="78" t="str">
        <f t="shared" si="53"/>
        <v/>
      </c>
    </row>
    <row r="165" spans="2:11" hidden="1" outlineLevel="1">
      <c r="B165" s="78">
        <f t="shared" si="49"/>
        <v>49553</v>
      </c>
      <c r="C165" s="75">
        <v>0</v>
      </c>
      <c r="D165" s="71">
        <f>IF(F165&lt;&gt;0,VLOOKUP($J165,'Table 1'!$B$13:$C$33,2,FALSE)/12*1000*Study_MW,0)</f>
        <v>0</v>
      </c>
      <c r="E165" s="71">
        <f t="shared" si="50"/>
        <v>0</v>
      </c>
      <c r="F165" s="75">
        <v>0</v>
      </c>
      <c r="G165" s="76" t="e">
        <f t="shared" si="51"/>
        <v>#DIV/0!</v>
      </c>
      <c r="I165" s="77">
        <f t="shared" si="48"/>
        <v>35</v>
      </c>
      <c r="J165" s="73">
        <f t="shared" si="52"/>
        <v>2035</v>
      </c>
      <c r="K165" s="78" t="str">
        <f t="shared" si="53"/>
        <v/>
      </c>
    </row>
    <row r="166" spans="2:11" hidden="1" outlineLevel="1">
      <c r="B166" s="78">
        <f t="shared" si="49"/>
        <v>49583</v>
      </c>
      <c r="C166" s="75">
        <v>0</v>
      </c>
      <c r="D166" s="71">
        <f>IF(F166&lt;&gt;0,VLOOKUP($J166,'Table 1'!$B$13:$C$33,2,FALSE)/12*1000*Study_MW,0)</f>
        <v>0</v>
      </c>
      <c r="E166" s="71">
        <f t="shared" si="50"/>
        <v>0</v>
      </c>
      <c r="F166" s="75">
        <v>0</v>
      </c>
      <c r="G166" s="76" t="e">
        <f t="shared" si="51"/>
        <v>#DIV/0!</v>
      </c>
      <c r="I166" s="77">
        <f t="shared" si="48"/>
        <v>36</v>
      </c>
      <c r="J166" s="73">
        <f t="shared" si="52"/>
        <v>2035</v>
      </c>
      <c r="K166" s="78" t="str">
        <f t="shared" si="53"/>
        <v/>
      </c>
    </row>
    <row r="167" spans="2:11" hidden="1" outlineLevel="1">
      <c r="B167" s="78">
        <f t="shared" si="49"/>
        <v>49614</v>
      </c>
      <c r="C167" s="75">
        <v>0</v>
      </c>
      <c r="D167" s="71">
        <f>IF(F167&lt;&gt;0,VLOOKUP($J167,'Table 1'!$B$13:$C$33,2,FALSE)/12*1000*Study_MW,0)</f>
        <v>0</v>
      </c>
      <c r="E167" s="71">
        <f t="shared" si="50"/>
        <v>0</v>
      </c>
      <c r="F167" s="75">
        <v>0</v>
      </c>
      <c r="G167" s="76" t="e">
        <f t="shared" si="51"/>
        <v>#DIV/0!</v>
      </c>
      <c r="I167" s="77">
        <f t="shared" si="48"/>
        <v>37</v>
      </c>
      <c r="J167" s="73">
        <f t="shared" si="52"/>
        <v>2035</v>
      </c>
      <c r="K167" s="78" t="str">
        <f t="shared" si="53"/>
        <v/>
      </c>
    </row>
    <row r="168" spans="2:11" hidden="1" outlineLevel="1">
      <c r="B168" s="82">
        <f t="shared" si="49"/>
        <v>49644</v>
      </c>
      <c r="C168" s="79">
        <v>0</v>
      </c>
      <c r="D168" s="80">
        <f>IF(F168&lt;&gt;0,VLOOKUP($J168,'Table 1'!$B$13:$C$33,2,FALSE)/12*1000*Study_MW,0)</f>
        <v>0</v>
      </c>
      <c r="E168" s="80">
        <f t="shared" si="50"/>
        <v>0</v>
      </c>
      <c r="F168" s="79">
        <v>0</v>
      </c>
      <c r="G168" s="81" t="e">
        <f t="shared" si="51"/>
        <v>#DIV/0!</v>
      </c>
      <c r="I168" s="64">
        <f t="shared" si="48"/>
        <v>38</v>
      </c>
      <c r="J168" s="73">
        <f t="shared" si="52"/>
        <v>2035</v>
      </c>
      <c r="K168" s="82" t="str">
        <f t="shared" si="53"/>
        <v/>
      </c>
    </row>
    <row r="169" spans="2:11" hidden="1" outlineLevel="1">
      <c r="B169" s="74">
        <f t="shared" si="49"/>
        <v>49675</v>
      </c>
      <c r="C169" s="69">
        <v>0</v>
      </c>
      <c r="D169" s="70">
        <f>IF(F169&lt;&gt;0,VLOOKUP($J169,'Table 1'!$B$13:$C$33,2,FALSE)/12*1000*Study_MW,0)</f>
        <v>0</v>
      </c>
      <c r="E169" s="70">
        <f t="shared" si="50"/>
        <v>0</v>
      </c>
      <c r="F169" s="69">
        <v>0</v>
      </c>
      <c r="G169" s="72" t="e">
        <f t="shared" si="51"/>
        <v>#DIV/0!</v>
      </c>
      <c r="I169" s="60">
        <f>I49</f>
        <v>40</v>
      </c>
      <c r="J169" s="73">
        <f t="shared" si="52"/>
        <v>2036</v>
      </c>
      <c r="K169" s="74" t="str">
        <f t="shared" si="53"/>
        <v/>
      </c>
    </row>
    <row r="170" spans="2:11" hidden="1" outlineLevel="1">
      <c r="B170" s="78">
        <f t="shared" si="49"/>
        <v>49706</v>
      </c>
      <c r="C170" s="75">
        <v>0</v>
      </c>
      <c r="D170" s="71">
        <f>IF(F170&lt;&gt;0,VLOOKUP($J170,'Table 1'!$B$13:$C$33,2,FALSE)/12*1000*Study_MW,0)</f>
        <v>0</v>
      </c>
      <c r="E170" s="71">
        <f t="shared" si="50"/>
        <v>0</v>
      </c>
      <c r="F170" s="75">
        <v>0</v>
      </c>
      <c r="G170" s="76" t="e">
        <f t="shared" si="51"/>
        <v>#DIV/0!</v>
      </c>
      <c r="I170" s="77">
        <f t="shared" si="48"/>
        <v>41</v>
      </c>
      <c r="J170" s="73">
        <f t="shared" si="52"/>
        <v>2036</v>
      </c>
      <c r="K170" s="78" t="str">
        <f t="shared" si="53"/>
        <v/>
      </c>
    </row>
    <row r="171" spans="2:11" hidden="1" outlineLevel="1">
      <c r="B171" s="78">
        <f t="shared" si="49"/>
        <v>49735</v>
      </c>
      <c r="C171" s="75">
        <v>0</v>
      </c>
      <c r="D171" s="71">
        <f>IF(F171&lt;&gt;0,VLOOKUP($J171,'Table 1'!$B$13:$C$33,2,FALSE)/12*1000*Study_MW,0)</f>
        <v>0</v>
      </c>
      <c r="E171" s="71">
        <f t="shared" si="50"/>
        <v>0</v>
      </c>
      <c r="F171" s="75">
        <v>0</v>
      </c>
      <c r="G171" s="76" t="e">
        <f t="shared" si="51"/>
        <v>#DIV/0!</v>
      </c>
      <c r="I171" s="77">
        <f t="shared" si="48"/>
        <v>42</v>
      </c>
      <c r="J171" s="73">
        <f t="shared" si="52"/>
        <v>2036</v>
      </c>
      <c r="K171" s="78" t="str">
        <f t="shared" si="53"/>
        <v/>
      </c>
    </row>
    <row r="172" spans="2:11" hidden="1" outlineLevel="1">
      <c r="B172" s="78">
        <f t="shared" si="49"/>
        <v>49766</v>
      </c>
      <c r="C172" s="75">
        <v>0</v>
      </c>
      <c r="D172" s="71">
        <f>IF(F172&lt;&gt;0,VLOOKUP($J172,'Table 1'!$B$13:$C$33,2,FALSE)/12*1000*Study_MW,0)</f>
        <v>0</v>
      </c>
      <c r="E172" s="71">
        <f t="shared" si="50"/>
        <v>0</v>
      </c>
      <c r="F172" s="75">
        <v>0</v>
      </c>
      <c r="G172" s="76" t="e">
        <f t="shared" si="51"/>
        <v>#DIV/0!</v>
      </c>
      <c r="I172" s="77">
        <f t="shared" si="48"/>
        <v>43</v>
      </c>
      <c r="J172" s="73">
        <f t="shared" si="52"/>
        <v>2036</v>
      </c>
      <c r="K172" s="78" t="str">
        <f t="shared" si="53"/>
        <v/>
      </c>
    </row>
    <row r="173" spans="2:11" hidden="1" outlineLevel="1">
      <c r="B173" s="78">
        <f t="shared" si="49"/>
        <v>49796</v>
      </c>
      <c r="C173" s="75">
        <v>0</v>
      </c>
      <c r="D173" s="71">
        <f>IF(F173&lt;&gt;0,VLOOKUP($J173,'Table 1'!$B$13:$C$33,2,FALSE)/12*1000*Study_MW,0)</f>
        <v>0</v>
      </c>
      <c r="E173" s="71">
        <f t="shared" si="50"/>
        <v>0</v>
      </c>
      <c r="F173" s="75">
        <v>0</v>
      </c>
      <c r="G173" s="76" t="e">
        <f t="shared" si="51"/>
        <v>#DIV/0!</v>
      </c>
      <c r="I173" s="77">
        <f t="shared" si="48"/>
        <v>44</v>
      </c>
      <c r="J173" s="73">
        <f t="shared" si="52"/>
        <v>2036</v>
      </c>
      <c r="K173" s="78" t="str">
        <f t="shared" si="53"/>
        <v/>
      </c>
    </row>
    <row r="174" spans="2:11" hidden="1" outlineLevel="1">
      <c r="B174" s="78">
        <f t="shared" si="49"/>
        <v>49827</v>
      </c>
      <c r="C174" s="75">
        <v>0</v>
      </c>
      <c r="D174" s="71">
        <f>IF(F174&lt;&gt;0,VLOOKUP($J174,'Table 1'!$B$13:$C$33,2,FALSE)/12*1000*Study_MW,0)</f>
        <v>0</v>
      </c>
      <c r="E174" s="71">
        <f t="shared" si="50"/>
        <v>0</v>
      </c>
      <c r="F174" s="75">
        <v>0</v>
      </c>
      <c r="G174" s="76" t="e">
        <f t="shared" si="51"/>
        <v>#DIV/0!</v>
      </c>
      <c r="I174" s="77">
        <f t="shared" si="48"/>
        <v>45</v>
      </c>
      <c r="J174" s="73">
        <f t="shared" si="52"/>
        <v>2036</v>
      </c>
      <c r="K174" s="78" t="str">
        <f t="shared" si="53"/>
        <v/>
      </c>
    </row>
    <row r="175" spans="2:11" hidden="1" outlineLevel="1">
      <c r="B175" s="78">
        <f t="shared" si="49"/>
        <v>49857</v>
      </c>
      <c r="C175" s="75">
        <v>0</v>
      </c>
      <c r="D175" s="71">
        <f>IF(F175&lt;&gt;0,VLOOKUP($J175,'Table 1'!$B$13:$C$33,2,FALSE)/12*1000*Study_MW,0)</f>
        <v>0</v>
      </c>
      <c r="E175" s="71">
        <f t="shared" si="50"/>
        <v>0</v>
      </c>
      <c r="F175" s="75">
        <v>0</v>
      </c>
      <c r="G175" s="76" t="e">
        <f t="shared" si="51"/>
        <v>#DIV/0!</v>
      </c>
      <c r="I175" s="77">
        <f t="shared" si="48"/>
        <v>46</v>
      </c>
      <c r="J175" s="73">
        <f t="shared" si="52"/>
        <v>2036</v>
      </c>
      <c r="K175" s="78" t="str">
        <f t="shared" si="53"/>
        <v/>
      </c>
    </row>
    <row r="176" spans="2:11" hidden="1" outlineLevel="1">
      <c r="B176" s="78">
        <f t="shared" si="49"/>
        <v>49888</v>
      </c>
      <c r="C176" s="75">
        <v>0</v>
      </c>
      <c r="D176" s="71">
        <f>IF(F176&lt;&gt;0,VLOOKUP($J176,'Table 1'!$B$13:$C$33,2,FALSE)/12*1000*Study_MW,0)</f>
        <v>0</v>
      </c>
      <c r="E176" s="71">
        <f t="shared" si="50"/>
        <v>0</v>
      </c>
      <c r="F176" s="75">
        <v>0</v>
      </c>
      <c r="G176" s="76" t="e">
        <f t="shared" si="51"/>
        <v>#DIV/0!</v>
      </c>
      <c r="I176" s="77">
        <f t="shared" si="48"/>
        <v>47</v>
      </c>
      <c r="J176" s="73">
        <f t="shared" si="52"/>
        <v>2036</v>
      </c>
      <c r="K176" s="78" t="str">
        <f t="shared" si="53"/>
        <v/>
      </c>
    </row>
    <row r="177" spans="2:11" hidden="1" outlineLevel="1">
      <c r="B177" s="78">
        <f t="shared" si="49"/>
        <v>49919</v>
      </c>
      <c r="C177" s="75">
        <v>0</v>
      </c>
      <c r="D177" s="71">
        <f>IF(F177&lt;&gt;0,VLOOKUP($J177,'Table 1'!$B$13:$C$33,2,FALSE)/12*1000*Study_MW,0)</f>
        <v>0</v>
      </c>
      <c r="E177" s="71">
        <f t="shared" si="50"/>
        <v>0</v>
      </c>
      <c r="F177" s="75">
        <v>0</v>
      </c>
      <c r="G177" s="76" t="e">
        <f t="shared" si="51"/>
        <v>#DIV/0!</v>
      </c>
      <c r="I177" s="77">
        <f t="shared" si="48"/>
        <v>48</v>
      </c>
      <c r="J177" s="73">
        <f t="shared" si="52"/>
        <v>2036</v>
      </c>
      <c r="K177" s="78" t="str">
        <f t="shared" si="53"/>
        <v/>
      </c>
    </row>
    <row r="178" spans="2:11" hidden="1" outlineLevel="1">
      <c r="B178" s="78">
        <f t="shared" si="49"/>
        <v>49949</v>
      </c>
      <c r="C178" s="75">
        <v>0</v>
      </c>
      <c r="D178" s="71">
        <f>IF(F178&lt;&gt;0,VLOOKUP($J178,'Table 1'!$B$13:$C$33,2,FALSE)/12*1000*Study_MW,0)</f>
        <v>0</v>
      </c>
      <c r="E178" s="71">
        <f t="shared" si="50"/>
        <v>0</v>
      </c>
      <c r="F178" s="75">
        <v>0</v>
      </c>
      <c r="G178" s="76" t="e">
        <f t="shared" si="51"/>
        <v>#DIV/0!</v>
      </c>
      <c r="I178" s="77">
        <f t="shared" si="48"/>
        <v>49</v>
      </c>
      <c r="J178" s="73">
        <f t="shared" si="52"/>
        <v>2036</v>
      </c>
      <c r="K178" s="78" t="str">
        <f t="shared" si="53"/>
        <v/>
      </c>
    </row>
    <row r="179" spans="2:11" hidden="1" outlineLevel="1">
      <c r="B179" s="78">
        <f t="shared" si="49"/>
        <v>49980</v>
      </c>
      <c r="C179" s="75">
        <v>0</v>
      </c>
      <c r="D179" s="71">
        <f>IF(F179&lt;&gt;0,VLOOKUP($J179,'Table 1'!$B$13:$C$33,2,FALSE)/12*1000*Study_MW,0)</f>
        <v>0</v>
      </c>
      <c r="E179" s="71">
        <f t="shared" si="50"/>
        <v>0</v>
      </c>
      <c r="F179" s="75">
        <v>0</v>
      </c>
      <c r="G179" s="76" t="e">
        <f t="shared" si="51"/>
        <v>#DIV/0!</v>
      </c>
      <c r="I179" s="77">
        <f t="shared" si="48"/>
        <v>50</v>
      </c>
      <c r="J179" s="73">
        <f t="shared" si="52"/>
        <v>2036</v>
      </c>
      <c r="K179" s="78" t="str">
        <f t="shared" si="53"/>
        <v/>
      </c>
    </row>
    <row r="180" spans="2:11" hidden="1" outlineLevel="1">
      <c r="B180" s="82">
        <f t="shared" si="49"/>
        <v>50010</v>
      </c>
      <c r="C180" s="79">
        <v>0</v>
      </c>
      <c r="D180" s="80">
        <f>IF(F180&lt;&gt;0,VLOOKUP($J180,'Table 1'!$B$13:$C$33,2,FALSE)/12*1000*Study_MW,0)</f>
        <v>0</v>
      </c>
      <c r="E180" s="80">
        <f t="shared" si="50"/>
        <v>0</v>
      </c>
      <c r="F180" s="79">
        <v>0</v>
      </c>
      <c r="G180" s="81" t="e">
        <f t="shared" si="51"/>
        <v>#DIV/0!</v>
      </c>
      <c r="I180" s="64">
        <f t="shared" si="48"/>
        <v>51</v>
      </c>
      <c r="J180" s="73">
        <f t="shared" si="52"/>
        <v>2036</v>
      </c>
      <c r="K180" s="82" t="str">
        <f t="shared" si="53"/>
        <v/>
      </c>
    </row>
    <row r="181" spans="2:11" hidden="1" collapsed="1">
      <c r="B181" s="74">
        <f t="shared" si="49"/>
        <v>50041</v>
      </c>
      <c r="C181" s="69">
        <v>0</v>
      </c>
      <c r="D181" s="70">
        <f>IF(F181&lt;&gt;0,VLOOKUP($J181,'Table 1'!$B$13:$C$33,2,FALSE)/12*1000*Study_MW,0)</f>
        <v>0</v>
      </c>
      <c r="E181" s="70">
        <f t="shared" si="50"/>
        <v>0</v>
      </c>
      <c r="F181" s="69">
        <v>0</v>
      </c>
      <c r="G181" s="72" t="e">
        <f t="shared" si="51"/>
        <v>#DIV/0!</v>
      </c>
      <c r="I181" s="60">
        <f>I61</f>
        <v>53</v>
      </c>
      <c r="J181" s="73">
        <f t="shared" si="52"/>
        <v>2037</v>
      </c>
      <c r="K181" s="74" t="str">
        <f t="shared" si="53"/>
        <v/>
      </c>
    </row>
    <row r="182" spans="2:11" hidden="1">
      <c r="B182" s="78">
        <f t="shared" si="49"/>
        <v>50072</v>
      </c>
      <c r="C182" s="75">
        <v>0</v>
      </c>
      <c r="D182" s="71">
        <f>IF(F182&lt;&gt;0,VLOOKUP($J182,'Table 1'!$B$13:$C$33,2,FALSE)/12*1000*Study_MW,0)</f>
        <v>0</v>
      </c>
      <c r="E182" s="71">
        <f t="shared" si="50"/>
        <v>0</v>
      </c>
      <c r="F182" s="75">
        <v>0</v>
      </c>
      <c r="G182" s="76" t="e">
        <f t="shared" si="51"/>
        <v>#DIV/0!</v>
      </c>
      <c r="I182" s="77">
        <f t="shared" si="48"/>
        <v>54</v>
      </c>
      <c r="J182" s="73">
        <f t="shared" si="52"/>
        <v>2037</v>
      </c>
      <c r="K182" s="78" t="str">
        <f t="shared" si="53"/>
        <v/>
      </c>
    </row>
    <row r="183" spans="2:11" hidden="1">
      <c r="B183" s="78">
        <f t="shared" si="49"/>
        <v>50100</v>
      </c>
      <c r="C183" s="75">
        <v>0</v>
      </c>
      <c r="D183" s="71">
        <f>IF(F183&lt;&gt;0,VLOOKUP($J183,'Table 1'!$B$13:$C$33,2,FALSE)/12*1000*Study_MW,0)</f>
        <v>0</v>
      </c>
      <c r="E183" s="71">
        <f t="shared" si="50"/>
        <v>0</v>
      </c>
      <c r="F183" s="75">
        <v>0</v>
      </c>
      <c r="G183" s="76" t="e">
        <f t="shared" si="51"/>
        <v>#DIV/0!</v>
      </c>
      <c r="I183" s="77">
        <f t="shared" si="48"/>
        <v>55</v>
      </c>
      <c r="J183" s="73">
        <f t="shared" si="52"/>
        <v>2037</v>
      </c>
      <c r="K183" s="78" t="str">
        <f t="shared" si="53"/>
        <v/>
      </c>
    </row>
    <row r="184" spans="2:11" hidden="1">
      <c r="B184" s="78">
        <f t="shared" si="49"/>
        <v>50131</v>
      </c>
      <c r="C184" s="75">
        <v>0</v>
      </c>
      <c r="D184" s="71">
        <f>IF(F184&lt;&gt;0,VLOOKUP($J184,'Table 1'!$B$13:$C$33,2,FALSE)/12*1000*Study_MW,0)</f>
        <v>0</v>
      </c>
      <c r="E184" s="71">
        <f t="shared" si="50"/>
        <v>0</v>
      </c>
      <c r="F184" s="75">
        <v>0</v>
      </c>
      <c r="G184" s="76" t="e">
        <f t="shared" si="51"/>
        <v>#DIV/0!</v>
      </c>
      <c r="I184" s="77">
        <f t="shared" si="48"/>
        <v>56</v>
      </c>
      <c r="J184" s="73">
        <f t="shared" si="52"/>
        <v>2037</v>
      </c>
      <c r="K184" s="78" t="str">
        <f t="shared" si="53"/>
        <v/>
      </c>
    </row>
    <row r="185" spans="2:11" hidden="1">
      <c r="B185" s="78">
        <f t="shared" si="49"/>
        <v>50161</v>
      </c>
      <c r="C185" s="75">
        <v>0</v>
      </c>
      <c r="D185" s="71">
        <f>IF(F185&lt;&gt;0,VLOOKUP($J185,'Table 1'!$B$13:$C$33,2,FALSE)/12*1000*Study_MW,0)</f>
        <v>0</v>
      </c>
      <c r="E185" s="71">
        <f t="shared" si="50"/>
        <v>0</v>
      </c>
      <c r="F185" s="75">
        <v>0</v>
      </c>
      <c r="G185" s="76" t="e">
        <f t="shared" si="51"/>
        <v>#DIV/0!</v>
      </c>
      <c r="I185" s="77">
        <f t="shared" si="48"/>
        <v>57</v>
      </c>
      <c r="J185" s="73">
        <f t="shared" si="52"/>
        <v>2037</v>
      </c>
      <c r="K185" s="78" t="str">
        <f t="shared" si="53"/>
        <v/>
      </c>
    </row>
    <row r="186" spans="2:11" hidden="1">
      <c r="B186" s="78">
        <f t="shared" si="49"/>
        <v>50192</v>
      </c>
      <c r="C186" s="75">
        <v>0</v>
      </c>
      <c r="D186" s="71">
        <f>IF(F186&lt;&gt;0,VLOOKUP($J186,'Table 1'!$B$13:$C$33,2,FALSE)/12*1000*Study_MW,0)</f>
        <v>0</v>
      </c>
      <c r="E186" s="71">
        <f t="shared" si="50"/>
        <v>0</v>
      </c>
      <c r="F186" s="75">
        <v>0</v>
      </c>
      <c r="G186" s="76" t="e">
        <f t="shared" si="51"/>
        <v>#DIV/0!</v>
      </c>
      <c r="I186" s="77">
        <f t="shared" si="48"/>
        <v>58</v>
      </c>
      <c r="J186" s="73">
        <f t="shared" si="52"/>
        <v>2037</v>
      </c>
      <c r="K186" s="78" t="str">
        <f t="shared" si="53"/>
        <v/>
      </c>
    </row>
    <row r="187" spans="2:11" hidden="1">
      <c r="B187" s="78">
        <f t="shared" si="49"/>
        <v>50222</v>
      </c>
      <c r="C187" s="75">
        <v>0</v>
      </c>
      <c r="D187" s="71">
        <f>IF(F187&lt;&gt;0,VLOOKUP($J187,'Table 1'!$B$13:$C$33,2,FALSE)/12*1000*Study_MW,0)</f>
        <v>0</v>
      </c>
      <c r="E187" s="71">
        <f t="shared" si="50"/>
        <v>0</v>
      </c>
      <c r="F187" s="75">
        <v>0</v>
      </c>
      <c r="G187" s="76" t="e">
        <f t="shared" si="51"/>
        <v>#DIV/0!</v>
      </c>
      <c r="I187" s="77">
        <f t="shared" si="48"/>
        <v>59</v>
      </c>
      <c r="J187" s="73">
        <f t="shared" si="52"/>
        <v>2037</v>
      </c>
      <c r="K187" s="78" t="str">
        <f t="shared" si="53"/>
        <v/>
      </c>
    </row>
    <row r="188" spans="2:11" hidden="1">
      <c r="B188" s="78">
        <f t="shared" si="49"/>
        <v>50253</v>
      </c>
      <c r="C188" s="75">
        <v>0</v>
      </c>
      <c r="D188" s="71">
        <f>IF(F188&lt;&gt;0,VLOOKUP($J188,'Table 1'!$B$13:$C$33,2,FALSE)/12*1000*Study_MW,0)</f>
        <v>0</v>
      </c>
      <c r="E188" s="71">
        <f t="shared" si="50"/>
        <v>0</v>
      </c>
      <c r="F188" s="75">
        <v>0</v>
      </c>
      <c r="G188" s="76" t="e">
        <f t="shared" si="51"/>
        <v>#DIV/0!</v>
      </c>
      <c r="I188" s="77">
        <f t="shared" si="48"/>
        <v>60</v>
      </c>
      <c r="J188" s="73">
        <f t="shared" si="52"/>
        <v>2037</v>
      </c>
      <c r="K188" s="78" t="str">
        <f t="shared" si="53"/>
        <v/>
      </c>
    </row>
    <row r="189" spans="2:11" hidden="1">
      <c r="B189" s="78">
        <f t="shared" si="49"/>
        <v>50284</v>
      </c>
      <c r="C189" s="75">
        <v>0</v>
      </c>
      <c r="D189" s="71">
        <f>IF(F189&lt;&gt;0,VLOOKUP($J189,'Table 1'!$B$13:$C$33,2,FALSE)/12*1000*Study_MW,0)</f>
        <v>0</v>
      </c>
      <c r="E189" s="71">
        <f t="shared" si="50"/>
        <v>0</v>
      </c>
      <c r="F189" s="75">
        <v>0</v>
      </c>
      <c r="G189" s="76" t="e">
        <f t="shared" si="51"/>
        <v>#DIV/0!</v>
      </c>
      <c r="I189" s="77">
        <f t="shared" si="48"/>
        <v>61</v>
      </c>
      <c r="J189" s="73">
        <f t="shared" si="52"/>
        <v>2037</v>
      </c>
      <c r="K189" s="78" t="str">
        <f t="shared" si="53"/>
        <v/>
      </c>
    </row>
    <row r="190" spans="2:11" hidden="1">
      <c r="B190" s="78">
        <f t="shared" si="49"/>
        <v>50314</v>
      </c>
      <c r="C190" s="75">
        <v>0</v>
      </c>
      <c r="D190" s="71">
        <f>IF(F190&lt;&gt;0,VLOOKUP($J190,'Table 1'!$B$13:$C$33,2,FALSE)/12*1000*Study_MW,0)</f>
        <v>0</v>
      </c>
      <c r="E190" s="71">
        <f t="shared" si="50"/>
        <v>0</v>
      </c>
      <c r="F190" s="75">
        <v>0</v>
      </c>
      <c r="G190" s="76" t="e">
        <f t="shared" si="51"/>
        <v>#DIV/0!</v>
      </c>
      <c r="I190" s="77">
        <f t="shared" si="48"/>
        <v>62</v>
      </c>
      <c r="J190" s="73">
        <f t="shared" si="52"/>
        <v>2037</v>
      </c>
      <c r="K190" s="78" t="str">
        <f t="shared" si="53"/>
        <v/>
      </c>
    </row>
    <row r="191" spans="2:11" hidden="1">
      <c r="B191" s="78">
        <f t="shared" si="49"/>
        <v>50345</v>
      </c>
      <c r="C191" s="75">
        <v>0</v>
      </c>
      <c r="D191" s="71">
        <f>IF(F191&lt;&gt;0,VLOOKUP($J191,'Table 1'!$B$13:$C$33,2,FALSE)/12*1000*Study_MW,0)</f>
        <v>0</v>
      </c>
      <c r="E191" s="71">
        <f t="shared" si="50"/>
        <v>0</v>
      </c>
      <c r="F191" s="75">
        <v>0</v>
      </c>
      <c r="G191" s="76" t="e">
        <f t="shared" si="51"/>
        <v>#DIV/0!</v>
      </c>
      <c r="I191" s="77">
        <f t="shared" si="48"/>
        <v>63</v>
      </c>
      <c r="J191" s="73">
        <f t="shared" si="52"/>
        <v>2037</v>
      </c>
      <c r="K191" s="78" t="str">
        <f t="shared" si="53"/>
        <v/>
      </c>
    </row>
    <row r="192" spans="2:11" hidden="1">
      <c r="B192" s="82">
        <f t="shared" si="49"/>
        <v>50375</v>
      </c>
      <c r="C192" s="79">
        <v>0</v>
      </c>
      <c r="D192" s="80">
        <f>IF(F192&lt;&gt;0,VLOOKUP($J192,'Table 1'!$B$13:$C$33,2,FALSE)/12*1000*Study_MW,0)</f>
        <v>0</v>
      </c>
      <c r="E192" s="80">
        <f t="shared" si="50"/>
        <v>0</v>
      </c>
      <c r="F192" s="79">
        <v>0</v>
      </c>
      <c r="G192" s="81" t="e">
        <f t="shared" si="51"/>
        <v>#DIV/0!</v>
      </c>
      <c r="I192" s="64">
        <f t="shared" si="48"/>
        <v>64</v>
      </c>
      <c r="J192" s="73">
        <f t="shared" si="52"/>
        <v>2037</v>
      </c>
      <c r="K192" s="82" t="str">
        <f t="shared" si="53"/>
        <v/>
      </c>
    </row>
    <row r="193" spans="2:20" hidden="1" outlineLevel="1">
      <c r="B193" s="74">
        <f t="shared" si="49"/>
        <v>50406</v>
      </c>
      <c r="C193" s="69">
        <v>0</v>
      </c>
      <c r="D193" s="70">
        <f>IF(F193&lt;&gt;0,VLOOKUP($J193,'Table 1'!$B$13:$C$33,2,FALSE)/12*1000*Study_MW,0)</f>
        <v>0</v>
      </c>
      <c r="E193" s="70">
        <f t="shared" ref="E193:E216" si="54">C193+D193</f>
        <v>0</v>
      </c>
      <c r="F193" s="69">
        <v>0</v>
      </c>
      <c r="G193" s="72" t="e">
        <f t="shared" ref="G193:G216" si="55">IF(ISNUMBER($F193),E193/$F193,"")</f>
        <v>#DIV/0!</v>
      </c>
      <c r="I193" s="60">
        <f>I73</f>
        <v>66</v>
      </c>
      <c r="J193" s="73">
        <f t="shared" ref="J193:J240" si="56">YEAR(B193)</f>
        <v>2038</v>
      </c>
      <c r="K193" s="74" t="str">
        <f t="shared" ref="K193:K240" si="57">IF(ISNUMBER(F193),IF(F193&lt;&gt;0,B193,""),"")</f>
        <v/>
      </c>
      <c r="M193" s="41">
        <f t="shared" ref="M193:M224" si="58">IRP21_Infl_Rate</f>
        <v>2.155E-2</v>
      </c>
    </row>
    <row r="194" spans="2:20" hidden="1" outlineLevel="1">
      <c r="B194" s="78">
        <f t="shared" si="49"/>
        <v>50437</v>
      </c>
      <c r="C194" s="75">
        <v>0</v>
      </c>
      <c r="D194" s="71">
        <f>IF(F194&lt;&gt;0,VLOOKUP($J194,'Table 1'!$B$13:$C$33,2,FALSE)/12*1000*Study_MW,0)</f>
        <v>0</v>
      </c>
      <c r="E194" s="71">
        <f t="shared" si="54"/>
        <v>0</v>
      </c>
      <c r="F194" s="75">
        <v>0</v>
      </c>
      <c r="G194" s="76" t="e">
        <f t="shared" si="55"/>
        <v>#DIV/0!</v>
      </c>
      <c r="I194" s="77">
        <f t="shared" si="48"/>
        <v>67</v>
      </c>
      <c r="J194" s="73">
        <f t="shared" si="56"/>
        <v>2038</v>
      </c>
      <c r="K194" s="78" t="str">
        <f t="shared" si="57"/>
        <v/>
      </c>
      <c r="M194" s="41">
        <f t="shared" si="58"/>
        <v>2.155E-2</v>
      </c>
    </row>
    <row r="195" spans="2:20" hidden="1" outlineLevel="1">
      <c r="B195" s="78">
        <f t="shared" si="49"/>
        <v>50465</v>
      </c>
      <c r="C195" s="75">
        <v>0</v>
      </c>
      <c r="D195" s="71">
        <f>IF(F195&lt;&gt;0,VLOOKUP($J195,'Table 1'!$B$13:$C$33,2,FALSE)/12*1000*Study_MW,0)</f>
        <v>0</v>
      </c>
      <c r="E195" s="71">
        <f t="shared" si="54"/>
        <v>0</v>
      </c>
      <c r="F195" s="75">
        <v>0</v>
      </c>
      <c r="G195" s="76" t="e">
        <f t="shared" si="55"/>
        <v>#DIV/0!</v>
      </c>
      <c r="I195" s="77">
        <f t="shared" si="48"/>
        <v>68</v>
      </c>
      <c r="J195" s="73">
        <f t="shared" si="56"/>
        <v>2038</v>
      </c>
      <c r="K195" s="78" t="str">
        <f t="shared" si="57"/>
        <v/>
      </c>
      <c r="M195" s="41">
        <f t="shared" si="58"/>
        <v>2.155E-2</v>
      </c>
    </row>
    <row r="196" spans="2:20" hidden="1" outlineLevel="1">
      <c r="B196" s="78">
        <f t="shared" si="49"/>
        <v>50496</v>
      </c>
      <c r="C196" s="75">
        <v>0</v>
      </c>
      <c r="D196" s="71">
        <f>IF(F196&lt;&gt;0,VLOOKUP($J196,'Table 1'!$B$13:$C$33,2,FALSE)/12*1000*Study_MW,0)</f>
        <v>0</v>
      </c>
      <c r="E196" s="71">
        <f t="shared" si="54"/>
        <v>0</v>
      </c>
      <c r="F196" s="75">
        <v>0</v>
      </c>
      <c r="G196" s="76" t="e">
        <f t="shared" si="55"/>
        <v>#DIV/0!</v>
      </c>
      <c r="I196" s="77">
        <f t="shared" si="48"/>
        <v>69</v>
      </c>
      <c r="J196" s="73">
        <f t="shared" si="56"/>
        <v>2038</v>
      </c>
      <c r="K196" s="78" t="str">
        <f t="shared" si="57"/>
        <v/>
      </c>
      <c r="M196" s="41">
        <f t="shared" si="58"/>
        <v>2.155E-2</v>
      </c>
    </row>
    <row r="197" spans="2:20" hidden="1" outlineLevel="1">
      <c r="B197" s="78">
        <f t="shared" si="49"/>
        <v>50526</v>
      </c>
      <c r="C197" s="75">
        <v>0</v>
      </c>
      <c r="D197" s="71">
        <f>IF(F197&lt;&gt;0,VLOOKUP($J197,'Table 1'!$B$13:$C$33,2,FALSE)/12*1000*Study_MW,0)</f>
        <v>0</v>
      </c>
      <c r="E197" s="71">
        <f t="shared" si="54"/>
        <v>0</v>
      </c>
      <c r="F197" s="75">
        <v>0</v>
      </c>
      <c r="G197" s="76" t="e">
        <f t="shared" si="55"/>
        <v>#DIV/0!</v>
      </c>
      <c r="I197" s="77">
        <f t="shared" si="48"/>
        <v>70</v>
      </c>
      <c r="J197" s="73">
        <f t="shared" si="56"/>
        <v>2038</v>
      </c>
      <c r="K197" s="78" t="str">
        <f t="shared" si="57"/>
        <v/>
      </c>
      <c r="M197" s="41">
        <f t="shared" si="58"/>
        <v>2.155E-2</v>
      </c>
    </row>
    <row r="198" spans="2:20" hidden="1" outlineLevel="1">
      <c r="B198" s="78">
        <f t="shared" si="49"/>
        <v>50557</v>
      </c>
      <c r="C198" s="75">
        <v>0</v>
      </c>
      <c r="D198" s="71">
        <f>IF(F198&lt;&gt;0,VLOOKUP($J198,'Table 1'!$B$13:$C$33,2,FALSE)/12*1000*Study_MW,0)</f>
        <v>0</v>
      </c>
      <c r="E198" s="71">
        <f t="shared" si="54"/>
        <v>0</v>
      </c>
      <c r="F198" s="75">
        <v>0</v>
      </c>
      <c r="G198" s="76" t="e">
        <f t="shared" si="55"/>
        <v>#DIV/0!</v>
      </c>
      <c r="I198" s="77">
        <f t="shared" ref="I198:I204" si="59">I78</f>
        <v>71</v>
      </c>
      <c r="J198" s="73">
        <f t="shared" si="56"/>
        <v>2038</v>
      </c>
      <c r="K198" s="78" t="str">
        <f t="shared" si="57"/>
        <v/>
      </c>
      <c r="M198" s="41">
        <f t="shared" si="58"/>
        <v>2.155E-2</v>
      </c>
    </row>
    <row r="199" spans="2:20" hidden="1" outlineLevel="1">
      <c r="B199" s="78">
        <f t="shared" si="49"/>
        <v>50587</v>
      </c>
      <c r="C199" s="75">
        <v>0</v>
      </c>
      <c r="D199" s="71">
        <f>IF(F199&lt;&gt;0,VLOOKUP($J199,'Table 1'!$B$13:$C$33,2,FALSE)/12*1000*Study_MW,0)</f>
        <v>0</v>
      </c>
      <c r="E199" s="71">
        <f t="shared" si="54"/>
        <v>0</v>
      </c>
      <c r="F199" s="75">
        <v>0</v>
      </c>
      <c r="G199" s="76" t="e">
        <f t="shared" si="55"/>
        <v>#DIV/0!</v>
      </c>
      <c r="I199" s="77">
        <f t="shared" si="59"/>
        <v>72</v>
      </c>
      <c r="J199" s="73">
        <f t="shared" si="56"/>
        <v>2038</v>
      </c>
      <c r="K199" s="78" t="str">
        <f t="shared" si="57"/>
        <v/>
      </c>
      <c r="M199" s="41">
        <f t="shared" si="58"/>
        <v>2.155E-2</v>
      </c>
    </row>
    <row r="200" spans="2:20" hidden="1" outlineLevel="1">
      <c r="B200" s="78">
        <f t="shared" si="49"/>
        <v>50618</v>
      </c>
      <c r="C200" s="75">
        <v>0</v>
      </c>
      <c r="D200" s="71">
        <f>IF(F200&lt;&gt;0,VLOOKUP($J200,'Table 1'!$B$13:$C$33,2,FALSE)/12*1000*Study_MW,0)</f>
        <v>0</v>
      </c>
      <c r="E200" s="71">
        <f t="shared" si="54"/>
        <v>0</v>
      </c>
      <c r="F200" s="75">
        <v>0</v>
      </c>
      <c r="G200" s="76" t="e">
        <f t="shared" si="55"/>
        <v>#DIV/0!</v>
      </c>
      <c r="I200" s="77">
        <f t="shared" si="59"/>
        <v>73</v>
      </c>
      <c r="J200" s="73">
        <f t="shared" si="56"/>
        <v>2038</v>
      </c>
      <c r="K200" s="78" t="str">
        <f t="shared" si="57"/>
        <v/>
      </c>
      <c r="M200" s="41">
        <f t="shared" si="58"/>
        <v>2.155E-2</v>
      </c>
    </row>
    <row r="201" spans="2:20" hidden="1" outlineLevel="1">
      <c r="B201" s="78">
        <f t="shared" si="49"/>
        <v>50649</v>
      </c>
      <c r="C201" s="75">
        <v>0</v>
      </c>
      <c r="D201" s="71">
        <f>IF(F201&lt;&gt;0,VLOOKUP($J201,'Table 1'!$B$13:$C$33,2,FALSE)/12*1000*Study_MW,0)</f>
        <v>0</v>
      </c>
      <c r="E201" s="71">
        <f t="shared" si="54"/>
        <v>0</v>
      </c>
      <c r="F201" s="75">
        <v>0</v>
      </c>
      <c r="G201" s="76" t="e">
        <f t="shared" si="55"/>
        <v>#DIV/0!</v>
      </c>
      <c r="I201" s="77">
        <f t="shared" si="59"/>
        <v>74</v>
      </c>
      <c r="J201" s="73">
        <f t="shared" si="56"/>
        <v>2038</v>
      </c>
      <c r="K201" s="78" t="str">
        <f t="shared" si="57"/>
        <v/>
      </c>
      <c r="M201" s="41">
        <f t="shared" si="58"/>
        <v>2.155E-2</v>
      </c>
    </row>
    <row r="202" spans="2:20" hidden="1" outlineLevel="1">
      <c r="B202" s="78">
        <f t="shared" si="49"/>
        <v>50679</v>
      </c>
      <c r="C202" s="75">
        <v>0</v>
      </c>
      <c r="D202" s="71">
        <f>IF(F202&lt;&gt;0,VLOOKUP($J202,'Table 1'!$B$13:$C$33,2,FALSE)/12*1000*Study_MW,0)</f>
        <v>0</v>
      </c>
      <c r="E202" s="71">
        <f t="shared" si="54"/>
        <v>0</v>
      </c>
      <c r="F202" s="75">
        <v>0</v>
      </c>
      <c r="G202" s="76" t="e">
        <f t="shared" si="55"/>
        <v>#DIV/0!</v>
      </c>
      <c r="I202" s="77">
        <f t="shared" si="59"/>
        <v>75</v>
      </c>
      <c r="J202" s="73">
        <f t="shared" si="56"/>
        <v>2038</v>
      </c>
      <c r="K202" s="78" t="str">
        <f t="shared" si="57"/>
        <v/>
      </c>
      <c r="M202" s="41">
        <f t="shared" si="58"/>
        <v>2.155E-2</v>
      </c>
    </row>
    <row r="203" spans="2:20" hidden="1" outlineLevel="1">
      <c r="B203" s="78">
        <f t="shared" si="49"/>
        <v>50710</v>
      </c>
      <c r="C203" s="75">
        <v>0</v>
      </c>
      <c r="D203" s="71">
        <f>IF(F203&lt;&gt;0,VLOOKUP($J203,'Table 1'!$B$13:$C$33,2,FALSE)/12*1000*Study_MW,0)</f>
        <v>0</v>
      </c>
      <c r="E203" s="71">
        <f t="shared" si="54"/>
        <v>0</v>
      </c>
      <c r="F203" s="75">
        <v>0</v>
      </c>
      <c r="G203" s="76" t="e">
        <f t="shared" si="55"/>
        <v>#DIV/0!</v>
      </c>
      <c r="I203" s="77">
        <f t="shared" si="59"/>
        <v>76</v>
      </c>
      <c r="J203" s="73">
        <f t="shared" si="56"/>
        <v>2038</v>
      </c>
      <c r="K203" s="78" t="str">
        <f t="shared" si="57"/>
        <v/>
      </c>
      <c r="M203" s="41">
        <f t="shared" si="58"/>
        <v>2.155E-2</v>
      </c>
    </row>
    <row r="204" spans="2:20" hidden="1" outlineLevel="1">
      <c r="B204" s="82">
        <f t="shared" si="49"/>
        <v>50740</v>
      </c>
      <c r="C204" s="79">
        <v>0</v>
      </c>
      <c r="D204" s="80">
        <f>IF(F204&lt;&gt;0,VLOOKUP($J204,'Table 1'!$B$13:$C$33,2,FALSE)/12*1000*Study_MW,0)</f>
        <v>0</v>
      </c>
      <c r="E204" s="80">
        <f t="shared" si="54"/>
        <v>0</v>
      </c>
      <c r="F204" s="79">
        <v>0</v>
      </c>
      <c r="G204" s="81" t="e">
        <f t="shared" si="55"/>
        <v>#DIV/0!</v>
      </c>
      <c r="I204" s="64">
        <f t="shared" si="59"/>
        <v>77</v>
      </c>
      <c r="J204" s="73">
        <f t="shared" si="56"/>
        <v>2038</v>
      </c>
      <c r="K204" s="82" t="str">
        <f t="shared" si="57"/>
        <v/>
      </c>
      <c r="M204" s="41">
        <f t="shared" si="58"/>
        <v>2.155E-2</v>
      </c>
    </row>
    <row r="205" spans="2:20" hidden="1" outlineLevel="1">
      <c r="B205" s="74">
        <f t="shared" si="49"/>
        <v>50771</v>
      </c>
      <c r="C205" s="69">
        <v>0</v>
      </c>
      <c r="D205" s="70">
        <f>IF(F205&lt;&gt;0,VLOOKUP($J205,'Table 1'!$B$13:$C$33,2,FALSE)/12*1000*Study_MW,0)</f>
        <v>0</v>
      </c>
      <c r="E205" s="70">
        <f t="shared" si="54"/>
        <v>0</v>
      </c>
      <c r="F205" s="69">
        <v>0</v>
      </c>
      <c r="G205" s="72" t="e">
        <f t="shared" si="55"/>
        <v>#DIV/0!</v>
      </c>
      <c r="I205" s="60">
        <f>I85</f>
        <v>79</v>
      </c>
      <c r="J205" s="73">
        <f t="shared" si="56"/>
        <v>2039</v>
      </c>
      <c r="K205" s="74" t="str">
        <f t="shared" si="57"/>
        <v/>
      </c>
      <c r="M205" s="41">
        <f t="shared" si="58"/>
        <v>2.155E-2</v>
      </c>
      <c r="T205" s="170"/>
    </row>
    <row r="206" spans="2:20" hidden="1" outlineLevel="1">
      <c r="B206" s="78">
        <f t="shared" ref="B206:B240" si="60">EDATE(B205,1)</f>
        <v>50802</v>
      </c>
      <c r="C206" s="75">
        <v>0</v>
      </c>
      <c r="D206" s="71">
        <f>IF(F206&lt;&gt;0,VLOOKUP($J206,'Table 1'!$B$13:$C$33,2,FALSE)/12*1000*Study_MW,0)</f>
        <v>0</v>
      </c>
      <c r="E206" s="71">
        <f t="shared" si="54"/>
        <v>0</v>
      </c>
      <c r="F206" s="75">
        <v>0</v>
      </c>
      <c r="G206" s="76" t="e">
        <f t="shared" si="55"/>
        <v>#DIV/0!</v>
      </c>
      <c r="I206" s="77">
        <f t="shared" ref="I206:I216" si="61">I86</f>
        <v>80</v>
      </c>
      <c r="J206" s="73">
        <f t="shared" si="56"/>
        <v>2039</v>
      </c>
      <c r="K206" s="78" t="str">
        <f t="shared" si="57"/>
        <v/>
      </c>
      <c r="M206" s="41">
        <f t="shared" si="58"/>
        <v>2.155E-2</v>
      </c>
      <c r="T206" s="170"/>
    </row>
    <row r="207" spans="2:20" hidden="1" outlineLevel="1">
      <c r="B207" s="78">
        <f t="shared" si="60"/>
        <v>50830</v>
      </c>
      <c r="C207" s="75">
        <v>0</v>
      </c>
      <c r="D207" s="71">
        <f>IF(F207&lt;&gt;0,VLOOKUP($J207,'Table 1'!$B$13:$C$33,2,FALSE)/12*1000*Study_MW,0)</f>
        <v>0</v>
      </c>
      <c r="E207" s="71">
        <f t="shared" si="54"/>
        <v>0</v>
      </c>
      <c r="F207" s="75">
        <v>0</v>
      </c>
      <c r="G207" s="76" t="e">
        <f t="shared" si="55"/>
        <v>#DIV/0!</v>
      </c>
      <c r="I207" s="77">
        <f t="shared" si="61"/>
        <v>81</v>
      </c>
      <c r="J207" s="73">
        <f t="shared" si="56"/>
        <v>2039</v>
      </c>
      <c r="K207" s="78" t="str">
        <f t="shared" si="57"/>
        <v/>
      </c>
      <c r="M207" s="41">
        <f t="shared" si="58"/>
        <v>2.155E-2</v>
      </c>
      <c r="T207" s="170"/>
    </row>
    <row r="208" spans="2:20" hidden="1" outlineLevel="1">
      <c r="B208" s="78">
        <f t="shared" si="60"/>
        <v>50861</v>
      </c>
      <c r="C208" s="75">
        <v>0</v>
      </c>
      <c r="D208" s="71">
        <f>IF(F208&lt;&gt;0,VLOOKUP($J208,'Table 1'!$B$13:$C$33,2,FALSE)/12*1000*Study_MW,0)</f>
        <v>0</v>
      </c>
      <c r="E208" s="71">
        <f t="shared" si="54"/>
        <v>0</v>
      </c>
      <c r="F208" s="75">
        <v>0</v>
      </c>
      <c r="G208" s="76" t="e">
        <f t="shared" si="55"/>
        <v>#DIV/0!</v>
      </c>
      <c r="I208" s="77">
        <f t="shared" si="61"/>
        <v>82</v>
      </c>
      <c r="J208" s="73">
        <f t="shared" si="56"/>
        <v>2039</v>
      </c>
      <c r="K208" s="78" t="str">
        <f t="shared" si="57"/>
        <v/>
      </c>
      <c r="M208" s="41">
        <f t="shared" si="58"/>
        <v>2.155E-2</v>
      </c>
      <c r="T208" s="170"/>
    </row>
    <row r="209" spans="2:20" hidden="1" outlineLevel="1">
      <c r="B209" s="78">
        <f t="shared" si="60"/>
        <v>50891</v>
      </c>
      <c r="C209" s="75">
        <v>0</v>
      </c>
      <c r="D209" s="71">
        <f>IF(F209&lt;&gt;0,VLOOKUP($J209,'Table 1'!$B$13:$C$33,2,FALSE)/12*1000*Study_MW,0)</f>
        <v>0</v>
      </c>
      <c r="E209" s="71">
        <f t="shared" si="54"/>
        <v>0</v>
      </c>
      <c r="F209" s="75">
        <v>0</v>
      </c>
      <c r="G209" s="76" t="e">
        <f t="shared" si="55"/>
        <v>#DIV/0!</v>
      </c>
      <c r="I209" s="77">
        <f t="shared" si="61"/>
        <v>83</v>
      </c>
      <c r="J209" s="73">
        <f t="shared" si="56"/>
        <v>2039</v>
      </c>
      <c r="K209" s="78" t="str">
        <f t="shared" si="57"/>
        <v/>
      </c>
      <c r="M209" s="41">
        <f t="shared" si="58"/>
        <v>2.155E-2</v>
      </c>
      <c r="T209" s="170"/>
    </row>
    <row r="210" spans="2:20" hidden="1" outlineLevel="1">
      <c r="B210" s="78">
        <f t="shared" si="60"/>
        <v>50922</v>
      </c>
      <c r="C210" s="75">
        <v>0</v>
      </c>
      <c r="D210" s="71">
        <f>IF(F210&lt;&gt;0,VLOOKUP($J210,'Table 1'!$B$13:$C$33,2,FALSE)/12*1000*Study_MW,0)</f>
        <v>0</v>
      </c>
      <c r="E210" s="71">
        <f t="shared" si="54"/>
        <v>0</v>
      </c>
      <c r="F210" s="75">
        <v>0</v>
      </c>
      <c r="G210" s="76" t="e">
        <f t="shared" si="55"/>
        <v>#DIV/0!</v>
      </c>
      <c r="I210" s="77">
        <f t="shared" si="61"/>
        <v>84</v>
      </c>
      <c r="J210" s="73">
        <f t="shared" si="56"/>
        <v>2039</v>
      </c>
      <c r="K210" s="78" t="str">
        <f t="shared" si="57"/>
        <v/>
      </c>
      <c r="M210" s="41">
        <f t="shared" si="58"/>
        <v>2.155E-2</v>
      </c>
      <c r="T210" s="170"/>
    </row>
    <row r="211" spans="2:20" hidden="1" outlineLevel="1">
      <c r="B211" s="78">
        <f t="shared" si="60"/>
        <v>50952</v>
      </c>
      <c r="C211" s="75">
        <v>0</v>
      </c>
      <c r="D211" s="71">
        <f>IF(F211&lt;&gt;0,VLOOKUP($J211,'Table 1'!$B$13:$C$33,2,FALSE)/12*1000*Study_MW,0)</f>
        <v>0</v>
      </c>
      <c r="E211" s="71">
        <f t="shared" si="54"/>
        <v>0</v>
      </c>
      <c r="F211" s="75">
        <v>0</v>
      </c>
      <c r="G211" s="76" t="e">
        <f t="shared" si="55"/>
        <v>#DIV/0!</v>
      </c>
      <c r="I211" s="77">
        <f t="shared" si="61"/>
        <v>85</v>
      </c>
      <c r="J211" s="73">
        <f t="shared" si="56"/>
        <v>2039</v>
      </c>
      <c r="K211" s="78" t="str">
        <f t="shared" si="57"/>
        <v/>
      </c>
      <c r="M211" s="41">
        <f t="shared" si="58"/>
        <v>2.155E-2</v>
      </c>
      <c r="T211" s="170"/>
    </row>
    <row r="212" spans="2:20" hidden="1" outlineLevel="1">
      <c r="B212" s="78">
        <f t="shared" si="60"/>
        <v>50983</v>
      </c>
      <c r="C212" s="75">
        <v>0</v>
      </c>
      <c r="D212" s="71">
        <f>IF(F212&lt;&gt;0,VLOOKUP($J212,'Table 1'!$B$13:$C$33,2,FALSE)/12*1000*Study_MW,0)</f>
        <v>0</v>
      </c>
      <c r="E212" s="71">
        <f t="shared" si="54"/>
        <v>0</v>
      </c>
      <c r="F212" s="75">
        <v>0</v>
      </c>
      <c r="G212" s="76" t="e">
        <f t="shared" si="55"/>
        <v>#DIV/0!</v>
      </c>
      <c r="I212" s="77">
        <f t="shared" si="61"/>
        <v>86</v>
      </c>
      <c r="J212" s="73">
        <f t="shared" si="56"/>
        <v>2039</v>
      </c>
      <c r="K212" s="78" t="str">
        <f t="shared" si="57"/>
        <v/>
      </c>
      <c r="M212" s="41">
        <f t="shared" si="58"/>
        <v>2.155E-2</v>
      </c>
      <c r="T212" s="170"/>
    </row>
    <row r="213" spans="2:20" hidden="1" outlineLevel="1">
      <c r="B213" s="78">
        <f t="shared" si="60"/>
        <v>51014</v>
      </c>
      <c r="C213" s="75">
        <v>0</v>
      </c>
      <c r="D213" s="71">
        <f>IF(F213&lt;&gt;0,VLOOKUP($J213,'Table 1'!$B$13:$C$33,2,FALSE)/12*1000*Study_MW,0)</f>
        <v>0</v>
      </c>
      <c r="E213" s="71">
        <f t="shared" si="54"/>
        <v>0</v>
      </c>
      <c r="F213" s="75">
        <v>0</v>
      </c>
      <c r="G213" s="76" t="e">
        <f t="shared" si="55"/>
        <v>#DIV/0!</v>
      </c>
      <c r="I213" s="77">
        <f t="shared" si="61"/>
        <v>87</v>
      </c>
      <c r="J213" s="73">
        <f t="shared" si="56"/>
        <v>2039</v>
      </c>
      <c r="K213" s="78" t="str">
        <f t="shared" si="57"/>
        <v/>
      </c>
      <c r="M213" s="41">
        <f t="shared" si="58"/>
        <v>2.155E-2</v>
      </c>
      <c r="T213" s="170"/>
    </row>
    <row r="214" spans="2:20" hidden="1" outlineLevel="1">
      <c r="B214" s="78">
        <f t="shared" si="60"/>
        <v>51044</v>
      </c>
      <c r="C214" s="75">
        <v>0</v>
      </c>
      <c r="D214" s="71">
        <f>IF(F214&lt;&gt;0,VLOOKUP($J214,'Table 1'!$B$13:$C$33,2,FALSE)/12*1000*Study_MW,0)</f>
        <v>0</v>
      </c>
      <c r="E214" s="71">
        <f t="shared" si="54"/>
        <v>0</v>
      </c>
      <c r="F214" s="75">
        <v>0</v>
      </c>
      <c r="G214" s="76" t="e">
        <f t="shared" si="55"/>
        <v>#DIV/0!</v>
      </c>
      <c r="I214" s="77">
        <f t="shared" si="61"/>
        <v>88</v>
      </c>
      <c r="J214" s="73">
        <f t="shared" si="56"/>
        <v>2039</v>
      </c>
      <c r="K214" s="78" t="str">
        <f t="shared" si="57"/>
        <v/>
      </c>
      <c r="M214" s="41">
        <f t="shared" si="58"/>
        <v>2.155E-2</v>
      </c>
      <c r="T214" s="170"/>
    </row>
    <row r="215" spans="2:20" hidden="1" outlineLevel="1">
      <c r="B215" s="78">
        <f t="shared" si="60"/>
        <v>51075</v>
      </c>
      <c r="C215" s="75">
        <v>0</v>
      </c>
      <c r="D215" s="71">
        <f>IF(F215&lt;&gt;0,VLOOKUP($J215,'Table 1'!$B$13:$C$33,2,FALSE)/12*1000*Study_MW,0)</f>
        <v>0</v>
      </c>
      <c r="E215" s="71">
        <f t="shared" si="54"/>
        <v>0</v>
      </c>
      <c r="F215" s="75">
        <v>0</v>
      </c>
      <c r="G215" s="76" t="e">
        <f t="shared" si="55"/>
        <v>#DIV/0!</v>
      </c>
      <c r="I215" s="77">
        <f t="shared" si="61"/>
        <v>89</v>
      </c>
      <c r="J215" s="73">
        <f t="shared" si="56"/>
        <v>2039</v>
      </c>
      <c r="K215" s="78" t="str">
        <f t="shared" si="57"/>
        <v/>
      </c>
      <c r="M215" s="41">
        <f t="shared" si="58"/>
        <v>2.155E-2</v>
      </c>
      <c r="T215" s="170"/>
    </row>
    <row r="216" spans="2:20" hidden="1" outlineLevel="1">
      <c r="B216" s="82">
        <f t="shared" si="60"/>
        <v>51105</v>
      </c>
      <c r="C216" s="79">
        <v>0</v>
      </c>
      <c r="D216" s="80">
        <f>IF(F216&lt;&gt;0,VLOOKUP($J216,'Table 1'!$B$13:$C$33,2,FALSE)/12*1000*Study_MW,0)</f>
        <v>0</v>
      </c>
      <c r="E216" s="80">
        <f t="shared" si="54"/>
        <v>0</v>
      </c>
      <c r="F216" s="79">
        <v>0</v>
      </c>
      <c r="G216" s="81" t="e">
        <f t="shared" si="55"/>
        <v>#DIV/0!</v>
      </c>
      <c r="I216" s="64">
        <f t="shared" si="61"/>
        <v>90</v>
      </c>
      <c r="J216" s="73">
        <f t="shared" si="56"/>
        <v>2039</v>
      </c>
      <c r="K216" s="82" t="str">
        <f t="shared" si="57"/>
        <v/>
      </c>
      <c r="M216" s="41">
        <f t="shared" si="58"/>
        <v>2.155E-2</v>
      </c>
      <c r="T216" s="170"/>
    </row>
    <row r="217" spans="2:20" hidden="1" outlineLevel="1">
      <c r="B217" s="74">
        <f t="shared" si="60"/>
        <v>51136</v>
      </c>
      <c r="C217" s="69">
        <v>0</v>
      </c>
      <c r="D217" s="70">
        <f>IF(F217&lt;&gt;0,VLOOKUP($J217,'Table 1'!$B$13:$C$33,2,FALSE)/12*1000*Study_MW,0)</f>
        <v>0</v>
      </c>
      <c r="E217" s="70">
        <f t="shared" ref="E217:E240" si="62">C217+D217</f>
        <v>0</v>
      </c>
      <c r="F217" s="69">
        <v>0</v>
      </c>
      <c r="G217" s="72" t="e">
        <f t="shared" ref="G217:G240" si="63">IF(ISNUMBER($F217),E217/$F217,"")</f>
        <v>#DIV/0!</v>
      </c>
      <c r="I217" s="60">
        <f>I97</f>
        <v>92</v>
      </c>
      <c r="J217" s="73">
        <f t="shared" si="56"/>
        <v>2040</v>
      </c>
      <c r="K217" s="74" t="str">
        <f t="shared" si="57"/>
        <v/>
      </c>
      <c r="M217" s="41">
        <f t="shared" si="58"/>
        <v>2.155E-2</v>
      </c>
      <c r="T217" s="170"/>
    </row>
    <row r="218" spans="2:20" hidden="1" outlineLevel="1">
      <c r="B218" s="78">
        <f t="shared" si="60"/>
        <v>51167</v>
      </c>
      <c r="C218" s="75">
        <v>0</v>
      </c>
      <c r="D218" s="71">
        <f>IF(F218&lt;&gt;0,VLOOKUP($J218,'Table 1'!$B$13:$C$33,2,FALSE)/12*1000*Study_MW,0)</f>
        <v>0</v>
      </c>
      <c r="E218" s="71">
        <f t="shared" si="62"/>
        <v>0</v>
      </c>
      <c r="F218" s="75">
        <v>0</v>
      </c>
      <c r="G218" s="76" t="e">
        <f t="shared" si="63"/>
        <v>#DIV/0!</v>
      </c>
      <c r="I218" s="77">
        <f t="shared" ref="I218:I228" si="64">I98</f>
        <v>93</v>
      </c>
      <c r="J218" s="73">
        <f t="shared" si="56"/>
        <v>2040</v>
      </c>
      <c r="K218" s="78" t="str">
        <f t="shared" si="57"/>
        <v/>
      </c>
      <c r="M218" s="41">
        <f t="shared" si="58"/>
        <v>2.155E-2</v>
      </c>
      <c r="T218" s="170"/>
    </row>
    <row r="219" spans="2:20" hidden="1" outlineLevel="1">
      <c r="B219" s="78">
        <f t="shared" si="60"/>
        <v>51196</v>
      </c>
      <c r="C219" s="75">
        <v>0</v>
      </c>
      <c r="D219" s="71">
        <f>IF(F219&lt;&gt;0,VLOOKUP($J219,'Table 1'!$B$13:$C$33,2,FALSE)/12*1000*Study_MW,0)</f>
        <v>0</v>
      </c>
      <c r="E219" s="71">
        <f t="shared" si="62"/>
        <v>0</v>
      </c>
      <c r="F219" s="75">
        <v>0</v>
      </c>
      <c r="G219" s="76" t="e">
        <f t="shared" si="63"/>
        <v>#DIV/0!</v>
      </c>
      <c r="I219" s="77">
        <f t="shared" si="64"/>
        <v>94</v>
      </c>
      <c r="J219" s="73">
        <f t="shared" si="56"/>
        <v>2040</v>
      </c>
      <c r="K219" s="78" t="str">
        <f t="shared" si="57"/>
        <v/>
      </c>
      <c r="M219" s="41">
        <f t="shared" si="58"/>
        <v>2.155E-2</v>
      </c>
      <c r="T219" s="170"/>
    </row>
    <row r="220" spans="2:20" hidden="1" outlineLevel="1">
      <c r="B220" s="78">
        <f t="shared" si="60"/>
        <v>51227</v>
      </c>
      <c r="C220" s="75">
        <v>0</v>
      </c>
      <c r="D220" s="71">
        <f>IF(F220&lt;&gt;0,VLOOKUP($J220,'Table 1'!$B$13:$C$33,2,FALSE)/12*1000*Study_MW,0)</f>
        <v>0</v>
      </c>
      <c r="E220" s="71">
        <f t="shared" si="62"/>
        <v>0</v>
      </c>
      <c r="F220" s="75">
        <v>0</v>
      </c>
      <c r="G220" s="76" t="e">
        <f t="shared" si="63"/>
        <v>#DIV/0!</v>
      </c>
      <c r="I220" s="77">
        <f t="shared" si="64"/>
        <v>95</v>
      </c>
      <c r="J220" s="73">
        <f t="shared" si="56"/>
        <v>2040</v>
      </c>
      <c r="K220" s="78" t="str">
        <f t="shared" si="57"/>
        <v/>
      </c>
      <c r="M220" s="41">
        <f t="shared" si="58"/>
        <v>2.155E-2</v>
      </c>
      <c r="T220" s="170"/>
    </row>
    <row r="221" spans="2:20" hidden="1" outlineLevel="1">
      <c r="B221" s="78">
        <f t="shared" si="60"/>
        <v>51257</v>
      </c>
      <c r="C221" s="75">
        <v>0</v>
      </c>
      <c r="D221" s="71">
        <f>IF(F221&lt;&gt;0,VLOOKUP($J221,'Table 1'!$B$13:$C$33,2,FALSE)/12*1000*Study_MW,0)</f>
        <v>0</v>
      </c>
      <c r="E221" s="71">
        <f t="shared" si="62"/>
        <v>0</v>
      </c>
      <c r="F221" s="75">
        <v>0</v>
      </c>
      <c r="G221" s="76" t="e">
        <f t="shared" si="63"/>
        <v>#DIV/0!</v>
      </c>
      <c r="I221" s="77">
        <f t="shared" si="64"/>
        <v>96</v>
      </c>
      <c r="J221" s="73">
        <f t="shared" si="56"/>
        <v>2040</v>
      </c>
      <c r="K221" s="78" t="str">
        <f t="shared" si="57"/>
        <v/>
      </c>
      <c r="M221" s="41">
        <f t="shared" si="58"/>
        <v>2.155E-2</v>
      </c>
      <c r="T221" s="170"/>
    </row>
    <row r="222" spans="2:20" hidden="1" outlineLevel="1">
      <c r="B222" s="78">
        <f t="shared" si="60"/>
        <v>51288</v>
      </c>
      <c r="C222" s="75">
        <v>0</v>
      </c>
      <c r="D222" s="71">
        <f>IF(F222&lt;&gt;0,VLOOKUP($J222,'Table 1'!$B$13:$C$33,2,FALSE)/12*1000*Study_MW,0)</f>
        <v>0</v>
      </c>
      <c r="E222" s="71">
        <f t="shared" si="62"/>
        <v>0</v>
      </c>
      <c r="F222" s="75">
        <v>0</v>
      </c>
      <c r="G222" s="76" t="e">
        <f t="shared" si="63"/>
        <v>#DIV/0!</v>
      </c>
      <c r="I222" s="77">
        <f t="shared" si="64"/>
        <v>97</v>
      </c>
      <c r="J222" s="73">
        <f t="shared" si="56"/>
        <v>2040</v>
      </c>
      <c r="K222" s="78" t="str">
        <f t="shared" si="57"/>
        <v/>
      </c>
      <c r="M222" s="41">
        <f t="shared" si="58"/>
        <v>2.155E-2</v>
      </c>
      <c r="T222" s="170"/>
    </row>
    <row r="223" spans="2:20" hidden="1" outlineLevel="1">
      <c r="B223" s="78">
        <f t="shared" si="60"/>
        <v>51318</v>
      </c>
      <c r="C223" s="75">
        <v>0</v>
      </c>
      <c r="D223" s="71">
        <f>IF(F223&lt;&gt;0,VLOOKUP($J223,'Table 1'!$B$13:$C$33,2,FALSE)/12*1000*Study_MW,0)</f>
        <v>0</v>
      </c>
      <c r="E223" s="71">
        <f t="shared" si="62"/>
        <v>0</v>
      </c>
      <c r="F223" s="75">
        <v>0</v>
      </c>
      <c r="G223" s="76" t="e">
        <f t="shared" si="63"/>
        <v>#DIV/0!</v>
      </c>
      <c r="I223" s="77">
        <f t="shared" si="64"/>
        <v>98</v>
      </c>
      <c r="J223" s="73">
        <f t="shared" si="56"/>
        <v>2040</v>
      </c>
      <c r="K223" s="78" t="str">
        <f t="shared" si="57"/>
        <v/>
      </c>
      <c r="M223" s="41">
        <f t="shared" si="58"/>
        <v>2.155E-2</v>
      </c>
      <c r="T223" s="170"/>
    </row>
    <row r="224" spans="2:20" hidden="1" outlineLevel="1">
      <c r="B224" s="78">
        <f t="shared" si="60"/>
        <v>51349</v>
      </c>
      <c r="C224" s="75">
        <v>0</v>
      </c>
      <c r="D224" s="71">
        <f>IF(F224&lt;&gt;0,VLOOKUP($J224,'Table 1'!$B$13:$C$33,2,FALSE)/12*1000*Study_MW,0)</f>
        <v>0</v>
      </c>
      <c r="E224" s="71">
        <f t="shared" si="62"/>
        <v>0</v>
      </c>
      <c r="F224" s="75">
        <v>0</v>
      </c>
      <c r="G224" s="76" t="e">
        <f t="shared" si="63"/>
        <v>#DIV/0!</v>
      </c>
      <c r="I224" s="77">
        <f t="shared" si="64"/>
        <v>99</v>
      </c>
      <c r="J224" s="73">
        <f t="shared" si="56"/>
        <v>2040</v>
      </c>
      <c r="K224" s="78" t="str">
        <f t="shared" si="57"/>
        <v/>
      </c>
      <c r="M224" s="41">
        <f t="shared" si="58"/>
        <v>2.155E-2</v>
      </c>
      <c r="T224" s="170"/>
    </row>
    <row r="225" spans="2:20" hidden="1" outlineLevel="1">
      <c r="B225" s="78">
        <f t="shared" si="60"/>
        <v>51380</v>
      </c>
      <c r="C225" s="75">
        <v>0</v>
      </c>
      <c r="D225" s="71">
        <f>IF(F225&lt;&gt;0,VLOOKUP($J225,'Table 1'!$B$13:$C$33,2,FALSE)/12*1000*Study_MW,0)</f>
        <v>0</v>
      </c>
      <c r="E225" s="71">
        <f t="shared" si="62"/>
        <v>0</v>
      </c>
      <c r="F225" s="75">
        <v>0</v>
      </c>
      <c r="G225" s="76" t="e">
        <f t="shared" si="63"/>
        <v>#DIV/0!</v>
      </c>
      <c r="I225" s="77">
        <f t="shared" si="64"/>
        <v>100</v>
      </c>
      <c r="J225" s="73">
        <f t="shared" si="56"/>
        <v>2040</v>
      </c>
      <c r="K225" s="78" t="str">
        <f t="shared" si="57"/>
        <v/>
      </c>
      <c r="M225" s="41">
        <f t="shared" ref="M225:M240" si="65">IRP21_Infl_Rate</f>
        <v>2.155E-2</v>
      </c>
      <c r="T225" s="170"/>
    </row>
    <row r="226" spans="2:20" hidden="1" outlineLevel="1">
      <c r="B226" s="78">
        <f t="shared" si="60"/>
        <v>51410</v>
      </c>
      <c r="C226" s="75">
        <v>0</v>
      </c>
      <c r="D226" s="71">
        <f>IF(F226&lt;&gt;0,VLOOKUP($J226,'Table 1'!$B$13:$C$33,2,FALSE)/12*1000*Study_MW,0)</f>
        <v>0</v>
      </c>
      <c r="E226" s="71">
        <f t="shared" si="62"/>
        <v>0</v>
      </c>
      <c r="F226" s="75">
        <v>0</v>
      </c>
      <c r="G226" s="76" t="e">
        <f t="shared" si="63"/>
        <v>#DIV/0!</v>
      </c>
      <c r="I226" s="77">
        <f t="shared" si="64"/>
        <v>101</v>
      </c>
      <c r="J226" s="73">
        <f t="shared" si="56"/>
        <v>2040</v>
      </c>
      <c r="K226" s="78" t="str">
        <f t="shared" si="57"/>
        <v/>
      </c>
      <c r="M226" s="41">
        <f t="shared" si="65"/>
        <v>2.155E-2</v>
      </c>
      <c r="T226" s="170"/>
    </row>
    <row r="227" spans="2:20" hidden="1" outlineLevel="1">
      <c r="B227" s="78">
        <f t="shared" si="60"/>
        <v>51441</v>
      </c>
      <c r="C227" s="75">
        <v>0</v>
      </c>
      <c r="D227" s="71">
        <f>IF(F227&lt;&gt;0,VLOOKUP($J227,'Table 1'!$B$13:$C$33,2,FALSE)/12*1000*Study_MW,0)</f>
        <v>0</v>
      </c>
      <c r="E227" s="71">
        <f t="shared" si="62"/>
        <v>0</v>
      </c>
      <c r="F227" s="75">
        <v>0</v>
      </c>
      <c r="G227" s="76" t="e">
        <f t="shared" si="63"/>
        <v>#DIV/0!</v>
      </c>
      <c r="I227" s="77">
        <f t="shared" si="64"/>
        <v>102</v>
      </c>
      <c r="J227" s="73">
        <f t="shared" si="56"/>
        <v>2040</v>
      </c>
      <c r="K227" s="78" t="str">
        <f t="shared" si="57"/>
        <v/>
      </c>
      <c r="M227" s="41">
        <f t="shared" si="65"/>
        <v>2.155E-2</v>
      </c>
      <c r="T227" s="170"/>
    </row>
    <row r="228" spans="2:20" hidden="1" outlineLevel="1">
      <c r="B228" s="82">
        <f t="shared" si="60"/>
        <v>51471</v>
      </c>
      <c r="C228" s="79">
        <v>0</v>
      </c>
      <c r="D228" s="80">
        <f>IF(F228&lt;&gt;0,VLOOKUP($J228,'Table 1'!$B$13:$C$33,2,FALSE)/12*1000*Study_MW,0)</f>
        <v>0</v>
      </c>
      <c r="E228" s="80">
        <f t="shared" si="62"/>
        <v>0</v>
      </c>
      <c r="F228" s="79">
        <v>0</v>
      </c>
      <c r="G228" s="81" t="e">
        <f t="shared" si="63"/>
        <v>#DIV/0!</v>
      </c>
      <c r="I228" s="64">
        <f t="shared" si="64"/>
        <v>103</v>
      </c>
      <c r="J228" s="73">
        <f t="shared" si="56"/>
        <v>2040</v>
      </c>
      <c r="K228" s="82" t="str">
        <f t="shared" si="57"/>
        <v/>
      </c>
      <c r="M228" s="41">
        <f t="shared" si="65"/>
        <v>2.155E-2</v>
      </c>
      <c r="T228" s="170"/>
    </row>
    <row r="229" spans="2:20" hidden="1" outlineLevel="1">
      <c r="B229" s="74">
        <f t="shared" si="60"/>
        <v>51502</v>
      </c>
      <c r="C229" s="69">
        <v>0</v>
      </c>
      <c r="D229" s="70">
        <f>IF(F229&lt;&gt;0,VLOOKUP($J229,'Table 1'!$B$13:$C$33,2,FALSE)/12*1000*Study_MW,0)</f>
        <v>0</v>
      </c>
      <c r="E229" s="70">
        <f t="shared" si="62"/>
        <v>0</v>
      </c>
      <c r="F229" s="69">
        <v>0</v>
      </c>
      <c r="G229" s="72" t="e">
        <f t="shared" si="63"/>
        <v>#DIV/0!</v>
      </c>
      <c r="I229" s="60">
        <f>I109</f>
        <v>105</v>
      </c>
      <c r="J229" s="73">
        <f t="shared" si="56"/>
        <v>2041</v>
      </c>
      <c r="K229" s="74" t="str">
        <f t="shared" si="57"/>
        <v/>
      </c>
      <c r="M229" s="41">
        <f t="shared" si="65"/>
        <v>2.155E-2</v>
      </c>
      <c r="T229" s="170"/>
    </row>
    <row r="230" spans="2:20" hidden="1" outlineLevel="1">
      <c r="B230" s="78">
        <f t="shared" si="60"/>
        <v>51533</v>
      </c>
      <c r="C230" s="75">
        <v>0</v>
      </c>
      <c r="D230" s="71">
        <f>IF(F230&lt;&gt;0,VLOOKUP($J230,'Table 1'!$B$13:$C$33,2,FALSE)/12*1000*Study_MW,0)</f>
        <v>0</v>
      </c>
      <c r="E230" s="71">
        <f t="shared" si="62"/>
        <v>0</v>
      </c>
      <c r="F230" s="75">
        <v>0</v>
      </c>
      <c r="G230" s="76" t="e">
        <f t="shared" si="63"/>
        <v>#DIV/0!</v>
      </c>
      <c r="I230" s="77">
        <f t="shared" ref="I230:I240" si="66">I110</f>
        <v>106</v>
      </c>
      <c r="J230" s="73">
        <f t="shared" si="56"/>
        <v>2041</v>
      </c>
      <c r="K230" s="78" t="str">
        <f t="shared" si="57"/>
        <v/>
      </c>
      <c r="M230" s="41">
        <f t="shared" si="65"/>
        <v>2.155E-2</v>
      </c>
      <c r="T230" s="170"/>
    </row>
    <row r="231" spans="2:20" hidden="1" outlineLevel="1">
      <c r="B231" s="78">
        <f t="shared" si="60"/>
        <v>51561</v>
      </c>
      <c r="C231" s="75">
        <v>0</v>
      </c>
      <c r="D231" s="71">
        <f>IF(F231&lt;&gt;0,VLOOKUP($J231,'Table 1'!$B$13:$C$33,2,FALSE)/12*1000*Study_MW,0)</f>
        <v>0</v>
      </c>
      <c r="E231" s="71">
        <f t="shared" si="62"/>
        <v>0</v>
      </c>
      <c r="F231" s="75">
        <v>0</v>
      </c>
      <c r="G231" s="76" t="e">
        <f t="shared" si="63"/>
        <v>#DIV/0!</v>
      </c>
      <c r="I231" s="77">
        <f t="shared" si="66"/>
        <v>107</v>
      </c>
      <c r="J231" s="73">
        <f t="shared" si="56"/>
        <v>2041</v>
      </c>
      <c r="K231" s="78" t="str">
        <f t="shared" si="57"/>
        <v/>
      </c>
      <c r="M231" s="41">
        <f t="shared" si="65"/>
        <v>2.155E-2</v>
      </c>
      <c r="T231" s="170"/>
    </row>
    <row r="232" spans="2:20" hidden="1" outlineLevel="1">
      <c r="B232" s="78">
        <f t="shared" si="60"/>
        <v>51592</v>
      </c>
      <c r="C232" s="75">
        <v>0</v>
      </c>
      <c r="D232" s="71">
        <f>IF(F232&lt;&gt;0,VLOOKUP($J232,'Table 1'!$B$13:$C$33,2,FALSE)/12*1000*Study_MW,0)</f>
        <v>0</v>
      </c>
      <c r="E232" s="71">
        <f t="shared" si="62"/>
        <v>0</v>
      </c>
      <c r="F232" s="75">
        <v>0</v>
      </c>
      <c r="G232" s="76" t="e">
        <f t="shared" si="63"/>
        <v>#DIV/0!</v>
      </c>
      <c r="I232" s="77">
        <f t="shared" si="66"/>
        <v>108</v>
      </c>
      <c r="J232" s="73">
        <f t="shared" si="56"/>
        <v>2041</v>
      </c>
      <c r="K232" s="78" t="str">
        <f t="shared" si="57"/>
        <v/>
      </c>
      <c r="M232" s="41">
        <f t="shared" si="65"/>
        <v>2.155E-2</v>
      </c>
      <c r="T232" s="170"/>
    </row>
    <row r="233" spans="2:20" hidden="1" outlineLevel="1">
      <c r="B233" s="78">
        <f t="shared" si="60"/>
        <v>51622</v>
      </c>
      <c r="C233" s="75">
        <v>0</v>
      </c>
      <c r="D233" s="71">
        <f>IF(F233&lt;&gt;0,VLOOKUP($J233,'Table 1'!$B$13:$C$33,2,FALSE)/12*1000*Study_MW,0)</f>
        <v>0</v>
      </c>
      <c r="E233" s="71">
        <f t="shared" si="62"/>
        <v>0</v>
      </c>
      <c r="F233" s="75">
        <v>0</v>
      </c>
      <c r="G233" s="76" t="e">
        <f t="shared" si="63"/>
        <v>#DIV/0!</v>
      </c>
      <c r="I233" s="77">
        <f t="shared" si="66"/>
        <v>109</v>
      </c>
      <c r="J233" s="73">
        <f t="shared" si="56"/>
        <v>2041</v>
      </c>
      <c r="K233" s="78" t="str">
        <f t="shared" si="57"/>
        <v/>
      </c>
      <c r="M233" s="41">
        <f t="shared" si="65"/>
        <v>2.155E-2</v>
      </c>
      <c r="T233" s="170"/>
    </row>
    <row r="234" spans="2:20" hidden="1" outlineLevel="1">
      <c r="B234" s="78">
        <f t="shared" si="60"/>
        <v>51653</v>
      </c>
      <c r="C234" s="75">
        <v>0</v>
      </c>
      <c r="D234" s="71">
        <f>IF(F234&lt;&gt;0,VLOOKUP($J234,'Table 1'!$B$13:$C$33,2,FALSE)/12*1000*Study_MW,0)</f>
        <v>0</v>
      </c>
      <c r="E234" s="71">
        <f t="shared" si="62"/>
        <v>0</v>
      </c>
      <c r="F234" s="75">
        <v>0</v>
      </c>
      <c r="G234" s="76" t="e">
        <f t="shared" si="63"/>
        <v>#DIV/0!</v>
      </c>
      <c r="I234" s="77">
        <f t="shared" si="66"/>
        <v>110</v>
      </c>
      <c r="J234" s="73">
        <f t="shared" si="56"/>
        <v>2041</v>
      </c>
      <c r="K234" s="78" t="str">
        <f t="shared" si="57"/>
        <v/>
      </c>
      <c r="M234" s="41">
        <f t="shared" si="65"/>
        <v>2.155E-2</v>
      </c>
      <c r="T234" s="170"/>
    </row>
    <row r="235" spans="2:20" hidden="1" outlineLevel="1">
      <c r="B235" s="78">
        <f t="shared" si="60"/>
        <v>51683</v>
      </c>
      <c r="C235" s="75">
        <v>0</v>
      </c>
      <c r="D235" s="71">
        <f>IF(F235&lt;&gt;0,VLOOKUP($J235,'Table 1'!$B$13:$C$33,2,FALSE)/12*1000*Study_MW,0)</f>
        <v>0</v>
      </c>
      <c r="E235" s="71">
        <f t="shared" si="62"/>
        <v>0</v>
      </c>
      <c r="F235" s="75">
        <v>0</v>
      </c>
      <c r="G235" s="76" t="e">
        <f t="shared" si="63"/>
        <v>#DIV/0!</v>
      </c>
      <c r="I235" s="77">
        <f t="shared" si="66"/>
        <v>111</v>
      </c>
      <c r="J235" s="73">
        <f t="shared" si="56"/>
        <v>2041</v>
      </c>
      <c r="K235" s="78" t="str">
        <f t="shared" si="57"/>
        <v/>
      </c>
      <c r="M235" s="41">
        <f t="shared" si="65"/>
        <v>2.155E-2</v>
      </c>
      <c r="T235" s="170"/>
    </row>
    <row r="236" spans="2:20" hidden="1" outlineLevel="1">
      <c r="B236" s="78">
        <f t="shared" si="60"/>
        <v>51714</v>
      </c>
      <c r="C236" s="75">
        <v>0</v>
      </c>
      <c r="D236" s="71">
        <f>IF(F236&lt;&gt;0,VLOOKUP($J236,'Table 1'!$B$13:$C$33,2,FALSE)/12*1000*Study_MW,0)</f>
        <v>0</v>
      </c>
      <c r="E236" s="71">
        <f t="shared" si="62"/>
        <v>0</v>
      </c>
      <c r="F236" s="75">
        <v>0</v>
      </c>
      <c r="G236" s="76" t="e">
        <f t="shared" si="63"/>
        <v>#DIV/0!</v>
      </c>
      <c r="I236" s="77">
        <f t="shared" si="66"/>
        <v>112</v>
      </c>
      <c r="J236" s="73">
        <f t="shared" si="56"/>
        <v>2041</v>
      </c>
      <c r="K236" s="78" t="str">
        <f t="shared" si="57"/>
        <v/>
      </c>
      <c r="M236" s="41">
        <f t="shared" si="65"/>
        <v>2.155E-2</v>
      </c>
      <c r="T236" s="170"/>
    </row>
    <row r="237" spans="2:20" hidden="1" outlineLevel="1">
      <c r="B237" s="78">
        <f t="shared" si="60"/>
        <v>51745</v>
      </c>
      <c r="C237" s="75">
        <v>0</v>
      </c>
      <c r="D237" s="71">
        <f>IF(F237&lt;&gt;0,VLOOKUP($J237,'Table 1'!$B$13:$C$33,2,FALSE)/12*1000*Study_MW,0)</f>
        <v>0</v>
      </c>
      <c r="E237" s="71">
        <f t="shared" si="62"/>
        <v>0</v>
      </c>
      <c r="F237" s="75">
        <v>0</v>
      </c>
      <c r="G237" s="76" t="e">
        <f t="shared" si="63"/>
        <v>#DIV/0!</v>
      </c>
      <c r="I237" s="77">
        <f t="shared" si="66"/>
        <v>113</v>
      </c>
      <c r="J237" s="73">
        <f t="shared" si="56"/>
        <v>2041</v>
      </c>
      <c r="K237" s="78" t="str">
        <f t="shared" si="57"/>
        <v/>
      </c>
      <c r="M237" s="41">
        <f t="shared" si="65"/>
        <v>2.155E-2</v>
      </c>
      <c r="T237" s="170"/>
    </row>
    <row r="238" spans="2:20" hidden="1" outlineLevel="1">
      <c r="B238" s="78">
        <f t="shared" si="60"/>
        <v>51775</v>
      </c>
      <c r="C238" s="75">
        <v>0</v>
      </c>
      <c r="D238" s="71">
        <f>IF(F238&lt;&gt;0,VLOOKUP($J238,'Table 1'!$B$13:$C$33,2,FALSE)/12*1000*Study_MW,0)</f>
        <v>0</v>
      </c>
      <c r="E238" s="71">
        <f t="shared" si="62"/>
        <v>0</v>
      </c>
      <c r="F238" s="75">
        <v>0</v>
      </c>
      <c r="G238" s="76" t="e">
        <f t="shared" si="63"/>
        <v>#DIV/0!</v>
      </c>
      <c r="I238" s="77">
        <f t="shared" si="66"/>
        <v>114</v>
      </c>
      <c r="J238" s="73">
        <f t="shared" si="56"/>
        <v>2041</v>
      </c>
      <c r="K238" s="78" t="str">
        <f t="shared" si="57"/>
        <v/>
      </c>
      <c r="M238" s="41">
        <f t="shared" si="65"/>
        <v>2.155E-2</v>
      </c>
      <c r="T238" s="170"/>
    </row>
    <row r="239" spans="2:20" hidden="1" outlineLevel="1">
      <c r="B239" s="78">
        <f t="shared" si="60"/>
        <v>51806</v>
      </c>
      <c r="C239" s="75">
        <v>0</v>
      </c>
      <c r="D239" s="71">
        <f>IF(F239&lt;&gt;0,VLOOKUP($J239,'Table 1'!$B$13:$C$33,2,FALSE)/12*1000*Study_MW,0)</f>
        <v>0</v>
      </c>
      <c r="E239" s="71">
        <f t="shared" si="62"/>
        <v>0</v>
      </c>
      <c r="F239" s="75">
        <v>0</v>
      </c>
      <c r="G239" s="76" t="e">
        <f t="shared" si="63"/>
        <v>#DIV/0!</v>
      </c>
      <c r="I239" s="77">
        <f t="shared" si="66"/>
        <v>115</v>
      </c>
      <c r="J239" s="73">
        <f t="shared" si="56"/>
        <v>2041</v>
      </c>
      <c r="K239" s="78" t="str">
        <f t="shared" si="57"/>
        <v/>
      </c>
      <c r="M239" s="41">
        <f t="shared" si="65"/>
        <v>2.155E-2</v>
      </c>
      <c r="T239" s="170"/>
    </row>
    <row r="240" spans="2:20" hidden="1" outlineLevel="1">
      <c r="B240" s="82">
        <f t="shared" si="60"/>
        <v>51836</v>
      </c>
      <c r="C240" s="79">
        <v>0</v>
      </c>
      <c r="D240" s="80">
        <f>IF(F240&lt;&gt;0,VLOOKUP($J240,'Table 1'!$B$13:$C$33,2,FALSE)/12*1000*Study_MW,0)</f>
        <v>0</v>
      </c>
      <c r="E240" s="80">
        <f t="shared" si="62"/>
        <v>0</v>
      </c>
      <c r="F240" s="79">
        <v>0</v>
      </c>
      <c r="G240" s="81" t="e">
        <f t="shared" si="63"/>
        <v>#DIV/0!</v>
      </c>
      <c r="I240" s="64">
        <f t="shared" si="66"/>
        <v>116</v>
      </c>
      <c r="J240" s="73">
        <f t="shared" si="56"/>
        <v>2041</v>
      </c>
      <c r="K240" s="82" t="str">
        <f t="shared" si="57"/>
        <v/>
      </c>
      <c r="M240" s="41">
        <f t="shared" si="65"/>
        <v>2.155E-2</v>
      </c>
      <c r="T240" s="170"/>
    </row>
    <row r="241" collapsed="1"/>
  </sheetData>
  <printOptions horizontalCentered="1"/>
  <pageMargins left="0.25" right="0.25" top="0.75" bottom="0.75" header="0.3" footer="0.3"/>
  <pageSetup scale="38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8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8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72" t="s">
        <v>216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26" customFormat="1" ht="18.95" customHeight="1">
      <c r="B4" s="394" t="s">
        <v>145</v>
      </c>
      <c r="C4" s="395"/>
      <c r="D4" s="395"/>
      <c r="E4" s="396"/>
      <c r="F4" s="117"/>
      <c r="G4" s="394" t="s">
        <v>158</v>
      </c>
      <c r="H4" s="395"/>
      <c r="I4" s="395"/>
      <c r="J4" s="396"/>
      <c r="K4" s="117"/>
      <c r="L4" s="397" t="s">
        <v>159</v>
      </c>
      <c r="M4" s="398"/>
      <c r="N4" s="398"/>
      <c r="O4" s="399"/>
      <c r="Q4" s="397" t="s">
        <v>161</v>
      </c>
      <c r="R4" s="398"/>
      <c r="S4" s="398"/>
      <c r="T4" s="399"/>
      <c r="U4" s="117"/>
      <c r="V4" s="394" t="s">
        <v>162</v>
      </c>
      <c r="W4" s="395"/>
      <c r="X4" s="395"/>
      <c r="Y4" s="396"/>
      <c r="Z4" s="117"/>
      <c r="AA4" s="394" t="s">
        <v>163</v>
      </c>
      <c r="AB4" s="395"/>
      <c r="AC4" s="395"/>
      <c r="AD4" s="396"/>
      <c r="AE4" s="117"/>
      <c r="AF4" s="394" t="s">
        <v>165</v>
      </c>
      <c r="AG4" s="395"/>
      <c r="AH4" s="395"/>
      <c r="AI4" s="396"/>
      <c r="AJ4" s="117"/>
      <c r="AK4" s="397" t="s">
        <v>166</v>
      </c>
      <c r="AL4" s="398"/>
      <c r="AM4" s="398"/>
      <c r="AN4" s="399"/>
      <c r="AO4" s="117"/>
      <c r="AP4" s="397" t="s">
        <v>168</v>
      </c>
      <c r="AQ4" s="398"/>
      <c r="AR4" s="398"/>
      <c r="AS4" s="399"/>
      <c r="AT4" s="117"/>
      <c r="AU4" s="397" t="s">
        <v>146</v>
      </c>
      <c r="AV4" s="398"/>
      <c r="AW4" s="398"/>
      <c r="AX4" s="399"/>
      <c r="AY4" s="117"/>
      <c r="AZ4" s="397" t="s">
        <v>171</v>
      </c>
      <c r="BA4" s="398"/>
      <c r="BB4" s="398"/>
      <c r="BC4" s="399"/>
      <c r="BD4" s="340"/>
      <c r="BE4" s="397" t="s">
        <v>172</v>
      </c>
      <c r="BF4" s="398"/>
      <c r="BG4" s="398"/>
      <c r="BH4" s="399"/>
      <c r="BJ4" s="397" t="s">
        <v>147</v>
      </c>
      <c r="BK4" s="398"/>
      <c r="BL4" s="398"/>
      <c r="BM4" s="399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39" t="str">
        <f>B4</f>
        <v>Aeolus_Wyoming - to - Utah S, Expansion</v>
      </c>
      <c r="D9" s="118"/>
      <c r="E9" s="118"/>
      <c r="G9" s="339" t="str">
        <f>G4</f>
        <v>Utah S - to - Utah N, Expansion</v>
      </c>
      <c r="I9" s="118"/>
      <c r="J9" s="118"/>
      <c r="L9" s="339" t="str">
        <f>L4</f>
        <v>Portland NC - Willamette V, Expansion</v>
      </c>
      <c r="N9" s="118"/>
      <c r="O9" s="118"/>
      <c r="Q9" s="339" t="str">
        <f>Q4</f>
        <v>Portland NC - to - Southern Oregon, Expansion</v>
      </c>
      <c r="S9" s="118"/>
      <c r="T9" s="118"/>
      <c r="V9" s="339" t="str">
        <f>V4</f>
        <v>Central OR - to - Willamette V, Expansion</v>
      </c>
      <c r="X9" s="118"/>
      <c r="Y9" s="118"/>
      <c r="AA9" s="339" t="str">
        <f>AA4</f>
        <v>B2H Borah - to - Hemingway, Expansion</v>
      </c>
      <c r="AC9" s="118"/>
      <c r="AD9" s="118"/>
      <c r="AF9" s="339" t="str">
        <f>AF4</f>
        <v>Central OR, Transmission Integration 2037</v>
      </c>
      <c r="AH9" s="118"/>
      <c r="AI9" s="118"/>
      <c r="AK9" s="339" t="str">
        <f>AK4</f>
        <v>Portland NC, Transmission Integration</v>
      </c>
      <c r="AM9" s="118"/>
      <c r="AN9" s="118"/>
      <c r="AP9" s="339" t="str">
        <f>AP4</f>
        <v>Southern OR, Transmission Integration 2028</v>
      </c>
      <c r="AR9" s="118"/>
      <c r="AS9" s="118"/>
      <c r="AU9" s="339" t="str">
        <f>AU4</f>
        <v>Utah N, Transmission Integration</v>
      </c>
      <c r="AW9" s="118"/>
      <c r="AX9" s="118"/>
      <c r="AZ9" s="339" t="str">
        <f>AZ4</f>
        <v>Utah S, Transmission Integration</v>
      </c>
      <c r="BB9" s="118"/>
      <c r="BC9" s="118"/>
      <c r="BE9" s="339" t="str">
        <f>BE4</f>
        <v>Willamette V, Transmission Integration</v>
      </c>
      <c r="BG9" s="118"/>
      <c r="BH9" s="118"/>
      <c r="BJ9" s="339" t="str">
        <f>BJ4</f>
        <v>Yakima, Transmission Integration</v>
      </c>
      <c r="BL9" s="118"/>
      <c r="BM9" s="118"/>
    </row>
    <row r="10" spans="2:65">
      <c r="B10" s="134">
        <v>2023</v>
      </c>
      <c r="C10" s="127">
        <f t="shared" ref="C10:C32" si="0">IF($B10&lt;D$35,0,IF($B10=D$35,D$39,ROUND(C9*(1+IRP21_Infl_Rate),2)))</f>
        <v>0</v>
      </c>
      <c r="D10" s="134">
        <v>12</v>
      </c>
      <c r="E10" s="129">
        <f t="shared" ref="E10:E32" si="1">SUM(C10:C10)*D10/12</f>
        <v>0</v>
      </c>
      <c r="F10" s="118"/>
      <c r="G10" s="134">
        <v>2023</v>
      </c>
      <c r="H10" s="127">
        <f t="shared" ref="H10:H32" si="2">IF($B10&lt;I$35,0,IF($B10=I$35,I$39,ROUND(H9*(1+IRP21_Infl_Rate),2)))</f>
        <v>0</v>
      </c>
      <c r="I10" s="134">
        <v>12</v>
      </c>
      <c r="J10" s="129">
        <f t="shared" ref="J10:J32" si="3">SUM(H10:H10)*I10/12</f>
        <v>0</v>
      </c>
      <c r="K10" s="118"/>
      <c r="L10" s="134">
        <v>2023</v>
      </c>
      <c r="M10" s="127">
        <f t="shared" ref="M10:M32" si="4">IF($B10&lt;N$35,0,IF($B10=N$35,N$39,ROUND(M9*(1+IRP21_Infl_Rate),2)))</f>
        <v>0</v>
      </c>
      <c r="N10" s="134">
        <v>12</v>
      </c>
      <c r="O10" s="129">
        <f t="shared" ref="O10:O32" si="5">SUM(M10:M10)*N10/12</f>
        <v>0</v>
      </c>
      <c r="P10" s="133"/>
      <c r="Q10" s="134">
        <f>$B10</f>
        <v>2023</v>
      </c>
      <c r="R10" s="127">
        <f t="shared" ref="R10:R32" si="6">IF($B10&lt;S$35,0,IF($B10=S$35,S$39,ROUND(R9*(1+IRP21_Infl_Rate),2)))</f>
        <v>0</v>
      </c>
      <c r="S10" s="134">
        <v>12</v>
      </c>
      <c r="T10" s="129">
        <f t="shared" ref="T10:T32" si="7">SUM(R10:R10)*S10/12</f>
        <v>0</v>
      </c>
      <c r="U10" s="118"/>
      <c r="V10" s="134">
        <f>$B10</f>
        <v>2023</v>
      </c>
      <c r="W10" s="127">
        <f t="shared" ref="W10:W32" si="8">IF($B10&lt;X$35,0,IF($B10=X$35,X$39,ROUND(W9*(1+IRP21_Infl_Rate),2)))</f>
        <v>0</v>
      </c>
      <c r="X10" s="134">
        <v>12</v>
      </c>
      <c r="Y10" s="129">
        <f t="shared" ref="Y10:Y32" si="9">SUM(W10:W10)*X10/12</f>
        <v>0</v>
      </c>
      <c r="Z10" s="118"/>
      <c r="AA10" s="134">
        <f>$B10</f>
        <v>2023</v>
      </c>
      <c r="AB10" s="127">
        <f t="shared" ref="AB10:AB32" si="10">IF($B10&lt;AC$35,0,IF($B10=AC$35,AC$39,ROUND(AB9*(1+IRP21_Infl_Rate),2)))</f>
        <v>0</v>
      </c>
      <c r="AC10" s="134">
        <v>12</v>
      </c>
      <c r="AD10" s="129">
        <f t="shared" ref="AD10:AD32" si="11">SUM(AB10:AB10)*AC10/12</f>
        <v>0</v>
      </c>
      <c r="AE10" s="118"/>
      <c r="AF10" s="134">
        <f>$B10</f>
        <v>2023</v>
      </c>
      <c r="AG10" s="127">
        <f t="shared" ref="AG10:AG32" si="12">IF($B10&lt;AH$35,0,IF($B10=AH$35,AH$39,ROUND(AG9*(1+IRP21_Infl_Rate),2)))</f>
        <v>0</v>
      </c>
      <c r="AH10" s="134">
        <v>12</v>
      </c>
      <c r="AI10" s="129">
        <f t="shared" ref="AI10:AI32" si="13">SUM(AG10:AG10)*AH10/12</f>
        <v>0</v>
      </c>
      <c r="AJ10" s="118"/>
      <c r="AK10" s="134">
        <f>$B10</f>
        <v>2023</v>
      </c>
      <c r="AL10" s="127">
        <f t="shared" ref="AL10:AL32" si="14">IF($B10&lt;AM$35,0,IF($B10=AM$35,AM$39,ROUND(AL9*(1+IRP21_Infl_Rate),2)))</f>
        <v>0</v>
      </c>
      <c r="AM10" s="134">
        <v>12</v>
      </c>
      <c r="AN10" s="129">
        <f t="shared" ref="AN10:AN32" si="15">SUM(AL10:AL10)*AM10/12</f>
        <v>0</v>
      </c>
      <c r="AO10" s="118"/>
      <c r="AP10" s="134">
        <f>$B10</f>
        <v>2023</v>
      </c>
      <c r="AQ10" s="127">
        <f t="shared" ref="AQ10:AQ32" si="16">IF($B10&lt;AR$35,0,IF($B10=AR$35,AR$39,ROUND(AQ9*(1+IRP21_Infl_Rate),2)))</f>
        <v>0</v>
      </c>
      <c r="AR10" s="134">
        <v>12</v>
      </c>
      <c r="AS10" s="129">
        <f t="shared" ref="AS10:AS32" si="17">SUM(AQ10:AQ10)*AR10/12</f>
        <v>0</v>
      </c>
      <c r="AT10" s="118"/>
      <c r="AU10" s="134">
        <f>$B10</f>
        <v>2023</v>
      </c>
      <c r="AV10" s="127">
        <f t="shared" ref="AV10:AV32" si="18">IF($B10&lt;AW$35,0,IF($B10=AW$35,AW$39,ROUND(AV9*(1+IRP21_Infl_Rate),2)))</f>
        <v>0</v>
      </c>
      <c r="AW10" s="134">
        <v>12</v>
      </c>
      <c r="AX10" s="129">
        <f t="shared" ref="AX10:AX32" si="19">SUM(AV10:AV10)*AW10/12</f>
        <v>0</v>
      </c>
      <c r="AY10" s="118"/>
      <c r="AZ10" s="134">
        <f>V10</f>
        <v>2023</v>
      </c>
      <c r="BA10" s="127">
        <f t="shared" ref="BA10:BA32" si="20">IF($B10&lt;BB$35,0,IF($B10=BB$35,BB$39,ROUND(BA9*(1+IRP21_Infl_Rate),2)))</f>
        <v>0</v>
      </c>
      <c r="BB10" s="134">
        <v>12</v>
      </c>
      <c r="BC10" s="129">
        <f t="shared" ref="BC10:BC32" si="21">SUM(BA10:BA10)*BB10/12</f>
        <v>0</v>
      </c>
      <c r="BE10" s="134">
        <f>AA10</f>
        <v>2023</v>
      </c>
      <c r="BF10" s="127">
        <f t="shared" ref="BF10:BF32" si="22">IF($B10&lt;BG$35,0,IF($B10=BG$35,BG$39,ROUND(BF9*(1+IRP21_Infl_Rate),2)))</f>
        <v>0</v>
      </c>
      <c r="BG10" s="134">
        <v>12</v>
      </c>
      <c r="BH10" s="129">
        <f t="shared" ref="BH10:BH32" si="23">SUM(BF10:BF10)*BG10/12</f>
        <v>0</v>
      </c>
      <c r="BJ10" s="134">
        <f>AF10</f>
        <v>2023</v>
      </c>
      <c r="BK10" s="127">
        <f t="shared" ref="BK10:BK32" si="24">IF($B10&lt;BL$35,0,IF($B10=BL$35,BL$39,ROUND(BK9*(1+IRP21_Infl_Rate),2)))</f>
        <v>0</v>
      </c>
      <c r="BL10" s="134">
        <v>12</v>
      </c>
      <c r="BM10" s="129">
        <f t="shared" ref="BM10:BM32" si="25">SUM(BK10:BK10)*BL10/12</f>
        <v>0</v>
      </c>
    </row>
    <row r="11" spans="2:65">
      <c r="B11" s="134">
        <f t="shared" ref="B11:B32" si="26">B10+1</f>
        <v>2024</v>
      </c>
      <c r="C11" s="127">
        <f t="shared" si="0"/>
        <v>0</v>
      </c>
      <c r="D11" s="134">
        <v>12</v>
      </c>
      <c r="E11" s="129">
        <f t="shared" si="1"/>
        <v>0</v>
      </c>
      <c r="F11" s="118"/>
      <c r="G11" s="134">
        <f t="shared" ref="G11:G32" si="27">G10+1</f>
        <v>2024</v>
      </c>
      <c r="H11" s="127">
        <f t="shared" si="2"/>
        <v>0</v>
      </c>
      <c r="I11" s="134">
        <v>12</v>
      </c>
      <c r="J11" s="129">
        <f t="shared" si="3"/>
        <v>0</v>
      </c>
      <c r="K11" s="118"/>
      <c r="L11" s="134">
        <f t="shared" ref="L11:L32" si="28">L10+1</f>
        <v>2024</v>
      </c>
      <c r="M11" s="127">
        <f t="shared" si="4"/>
        <v>0</v>
      </c>
      <c r="N11" s="134">
        <v>12</v>
      </c>
      <c r="O11" s="129">
        <f t="shared" si="5"/>
        <v>0</v>
      </c>
      <c r="P11" s="133"/>
      <c r="Q11" s="134">
        <f t="shared" ref="Q11:Q32" si="29">Q10+1</f>
        <v>2024</v>
      </c>
      <c r="R11" s="127">
        <f t="shared" si="6"/>
        <v>0</v>
      </c>
      <c r="S11" s="134">
        <v>12</v>
      </c>
      <c r="T11" s="129">
        <f t="shared" si="7"/>
        <v>0</v>
      </c>
      <c r="U11" s="118"/>
      <c r="V11" s="134">
        <f t="shared" ref="V11:V32" si="30">V10+1</f>
        <v>2024</v>
      </c>
      <c r="W11" s="127">
        <f t="shared" si="8"/>
        <v>0</v>
      </c>
      <c r="X11" s="134">
        <v>12</v>
      </c>
      <c r="Y11" s="129">
        <f t="shared" si="9"/>
        <v>0</v>
      </c>
      <c r="Z11" s="118"/>
      <c r="AA11" s="134">
        <f t="shared" ref="AA11:AA32" si="31">AA10+1</f>
        <v>2024</v>
      </c>
      <c r="AB11" s="127">
        <f t="shared" si="10"/>
        <v>0</v>
      </c>
      <c r="AC11" s="134">
        <v>12</v>
      </c>
      <c r="AD11" s="129">
        <f t="shared" si="11"/>
        <v>0</v>
      </c>
      <c r="AE11" s="118"/>
      <c r="AF11" s="134">
        <f t="shared" ref="AF11:AF32" si="32">AF10+1</f>
        <v>2024</v>
      </c>
      <c r="AG11" s="127">
        <f t="shared" si="12"/>
        <v>0</v>
      </c>
      <c r="AH11" s="134">
        <v>12</v>
      </c>
      <c r="AI11" s="129">
        <f t="shared" si="13"/>
        <v>0</v>
      </c>
      <c r="AJ11" s="118"/>
      <c r="AK11" s="134">
        <f t="shared" ref="AK11:AK32" si="33">AK10+1</f>
        <v>2024</v>
      </c>
      <c r="AL11" s="127">
        <f t="shared" si="14"/>
        <v>0</v>
      </c>
      <c r="AM11" s="134">
        <v>12</v>
      </c>
      <c r="AN11" s="129">
        <f t="shared" si="15"/>
        <v>0</v>
      </c>
      <c r="AO11" s="118"/>
      <c r="AP11" s="134">
        <f t="shared" ref="AP11:AP32" si="34">AP10+1</f>
        <v>2024</v>
      </c>
      <c r="AQ11" s="127">
        <f t="shared" si="16"/>
        <v>0</v>
      </c>
      <c r="AR11" s="134">
        <v>12</v>
      </c>
      <c r="AS11" s="129">
        <f t="shared" si="17"/>
        <v>0</v>
      </c>
      <c r="AT11" s="118"/>
      <c r="AU11" s="134">
        <f t="shared" ref="AU11:AU32" si="35">AU10+1</f>
        <v>2024</v>
      </c>
      <c r="AV11" s="127">
        <f t="shared" si="18"/>
        <v>0</v>
      </c>
      <c r="AW11" s="134">
        <v>12</v>
      </c>
      <c r="AX11" s="129">
        <f t="shared" si="19"/>
        <v>0</v>
      </c>
      <c r="AY11" s="118"/>
      <c r="AZ11" s="330">
        <f t="shared" ref="AZ11:AZ32" si="36">AZ10+1</f>
        <v>2024</v>
      </c>
      <c r="BA11" s="127">
        <f t="shared" si="20"/>
        <v>578.93401308399336</v>
      </c>
      <c r="BB11" s="134">
        <v>12</v>
      </c>
      <c r="BC11" s="129">
        <f t="shared" si="21"/>
        <v>578.93401308399336</v>
      </c>
      <c r="BE11" s="134">
        <f t="shared" ref="BE11:BE32" si="37">BE10+1</f>
        <v>2024</v>
      </c>
      <c r="BF11" s="127">
        <f t="shared" si="22"/>
        <v>0</v>
      </c>
      <c r="BG11" s="134">
        <v>12</v>
      </c>
      <c r="BH11" s="129">
        <f t="shared" si="23"/>
        <v>0</v>
      </c>
      <c r="BJ11" s="134">
        <f t="shared" ref="BJ11:BJ32" si="38">BJ10+1</f>
        <v>2024</v>
      </c>
      <c r="BK11" s="127">
        <f t="shared" si="24"/>
        <v>0</v>
      </c>
      <c r="BL11" s="134">
        <v>12</v>
      </c>
      <c r="BM11" s="129">
        <f t="shared" si="25"/>
        <v>0</v>
      </c>
    </row>
    <row r="12" spans="2:65">
      <c r="B12" s="330">
        <f t="shared" si="26"/>
        <v>2025</v>
      </c>
      <c r="C12" s="127">
        <f t="shared" si="0"/>
        <v>58.544856686682266</v>
      </c>
      <c r="D12" s="134">
        <v>12</v>
      </c>
      <c r="E12" s="129">
        <f t="shared" si="1"/>
        <v>58.544856686682266</v>
      </c>
      <c r="F12" s="118"/>
      <c r="G12" s="134">
        <f t="shared" si="27"/>
        <v>2025</v>
      </c>
      <c r="H12" s="127">
        <f t="shared" si="2"/>
        <v>0</v>
      </c>
      <c r="I12" s="134">
        <v>12</v>
      </c>
      <c r="J12" s="129">
        <f t="shared" si="3"/>
        <v>0</v>
      </c>
      <c r="K12" s="118"/>
      <c r="L12" s="134">
        <f t="shared" si="28"/>
        <v>2025</v>
      </c>
      <c r="M12" s="127">
        <f t="shared" si="4"/>
        <v>0</v>
      </c>
      <c r="N12" s="134">
        <v>12</v>
      </c>
      <c r="O12" s="129">
        <f t="shared" si="5"/>
        <v>0</v>
      </c>
      <c r="Q12" s="134">
        <f t="shared" si="29"/>
        <v>2025</v>
      </c>
      <c r="R12" s="127">
        <f t="shared" si="6"/>
        <v>0</v>
      </c>
      <c r="S12" s="134">
        <v>12</v>
      </c>
      <c r="T12" s="129">
        <f t="shared" si="7"/>
        <v>0</v>
      </c>
      <c r="U12" s="118"/>
      <c r="V12" s="134">
        <f t="shared" si="30"/>
        <v>2025</v>
      </c>
      <c r="W12" s="127">
        <f t="shared" si="8"/>
        <v>0</v>
      </c>
      <c r="X12" s="134">
        <v>12</v>
      </c>
      <c r="Y12" s="129">
        <f t="shared" si="9"/>
        <v>0</v>
      </c>
      <c r="Z12" s="118"/>
      <c r="AA12" s="134">
        <f t="shared" si="31"/>
        <v>2025</v>
      </c>
      <c r="AB12" s="127">
        <f t="shared" si="10"/>
        <v>0</v>
      </c>
      <c r="AC12" s="134">
        <v>12</v>
      </c>
      <c r="AD12" s="129">
        <f t="shared" si="11"/>
        <v>0</v>
      </c>
      <c r="AE12" s="118"/>
      <c r="AF12" s="134">
        <f t="shared" si="32"/>
        <v>2025</v>
      </c>
      <c r="AG12" s="127">
        <f t="shared" si="12"/>
        <v>0</v>
      </c>
      <c r="AH12" s="134">
        <v>12</v>
      </c>
      <c r="AI12" s="129">
        <f t="shared" si="13"/>
        <v>0</v>
      </c>
      <c r="AJ12" s="118"/>
      <c r="AK12" s="134">
        <f t="shared" si="33"/>
        <v>2025</v>
      </c>
      <c r="AL12" s="127">
        <f t="shared" si="14"/>
        <v>0</v>
      </c>
      <c r="AM12" s="134">
        <v>12</v>
      </c>
      <c r="AN12" s="129">
        <f t="shared" si="15"/>
        <v>0</v>
      </c>
      <c r="AO12" s="118"/>
      <c r="AP12" s="134">
        <f t="shared" si="34"/>
        <v>2025</v>
      </c>
      <c r="AQ12" s="127">
        <f t="shared" si="16"/>
        <v>0</v>
      </c>
      <c r="AR12" s="134">
        <v>12</v>
      </c>
      <c r="AS12" s="129">
        <f t="shared" si="17"/>
        <v>0</v>
      </c>
      <c r="AT12" s="118"/>
      <c r="AU12" s="134">
        <f t="shared" si="35"/>
        <v>2025</v>
      </c>
      <c r="AV12" s="127">
        <f t="shared" si="18"/>
        <v>0</v>
      </c>
      <c r="AW12" s="134">
        <v>12</v>
      </c>
      <c r="AX12" s="129">
        <f t="shared" si="19"/>
        <v>0</v>
      </c>
      <c r="AY12" s="118"/>
      <c r="AZ12" s="134">
        <f t="shared" si="36"/>
        <v>2025</v>
      </c>
      <c r="BA12" s="127">
        <f t="shared" si="20"/>
        <v>591.41</v>
      </c>
      <c r="BB12" s="134">
        <v>12</v>
      </c>
      <c r="BC12" s="129">
        <f t="shared" si="21"/>
        <v>591.41</v>
      </c>
      <c r="BE12" s="134">
        <f t="shared" si="37"/>
        <v>2025</v>
      </c>
      <c r="BF12" s="127">
        <f t="shared" si="22"/>
        <v>0</v>
      </c>
      <c r="BG12" s="134">
        <v>12</v>
      </c>
      <c r="BH12" s="129">
        <f t="shared" si="23"/>
        <v>0</v>
      </c>
      <c r="BJ12" s="134">
        <f t="shared" si="38"/>
        <v>2025</v>
      </c>
      <c r="BK12" s="127">
        <f t="shared" si="24"/>
        <v>0</v>
      </c>
      <c r="BL12" s="134">
        <v>12</v>
      </c>
      <c r="BM12" s="129">
        <f t="shared" si="25"/>
        <v>0</v>
      </c>
    </row>
    <row r="13" spans="2:65">
      <c r="B13" s="134">
        <f t="shared" si="26"/>
        <v>2026</v>
      </c>
      <c r="C13" s="127">
        <f t="shared" si="0"/>
        <v>59.81</v>
      </c>
      <c r="D13" s="134">
        <v>12</v>
      </c>
      <c r="E13" s="129">
        <f t="shared" si="1"/>
        <v>59.81</v>
      </c>
      <c r="F13" s="118"/>
      <c r="G13" s="134">
        <f t="shared" si="27"/>
        <v>2026</v>
      </c>
      <c r="H13" s="127">
        <f t="shared" si="2"/>
        <v>0</v>
      </c>
      <c r="I13" s="134">
        <v>12</v>
      </c>
      <c r="J13" s="129">
        <f t="shared" si="3"/>
        <v>0</v>
      </c>
      <c r="K13" s="118"/>
      <c r="L13" s="134">
        <f t="shared" si="28"/>
        <v>2026</v>
      </c>
      <c r="M13" s="127">
        <f t="shared" si="4"/>
        <v>0</v>
      </c>
      <c r="N13" s="134">
        <v>12</v>
      </c>
      <c r="O13" s="129">
        <f t="shared" si="5"/>
        <v>0</v>
      </c>
      <c r="Q13" s="134">
        <f t="shared" si="29"/>
        <v>2026</v>
      </c>
      <c r="R13" s="127">
        <f t="shared" si="6"/>
        <v>0</v>
      </c>
      <c r="S13" s="134">
        <v>12</v>
      </c>
      <c r="T13" s="129">
        <f t="shared" si="7"/>
        <v>0</v>
      </c>
      <c r="U13" s="118"/>
      <c r="V13" s="134">
        <f t="shared" si="30"/>
        <v>2026</v>
      </c>
      <c r="W13" s="127">
        <f t="shared" si="8"/>
        <v>0</v>
      </c>
      <c r="X13" s="134">
        <v>12</v>
      </c>
      <c r="Y13" s="129">
        <f t="shared" si="9"/>
        <v>0</v>
      </c>
      <c r="Z13" s="118"/>
      <c r="AA13" s="330">
        <f t="shared" si="31"/>
        <v>2026</v>
      </c>
      <c r="AB13" s="127">
        <f t="shared" si="10"/>
        <v>54.441007169221002</v>
      </c>
      <c r="AC13" s="134">
        <v>12</v>
      </c>
      <c r="AD13" s="129">
        <f t="shared" si="11"/>
        <v>54.441007169221002</v>
      </c>
      <c r="AE13" s="118"/>
      <c r="AF13" s="134">
        <f t="shared" si="32"/>
        <v>2026</v>
      </c>
      <c r="AG13" s="127">
        <f t="shared" si="12"/>
        <v>0</v>
      </c>
      <c r="AH13" s="134">
        <v>12</v>
      </c>
      <c r="AI13" s="129">
        <f t="shared" si="13"/>
        <v>0</v>
      </c>
      <c r="AJ13" s="118"/>
      <c r="AK13" s="330">
        <f t="shared" si="33"/>
        <v>2026</v>
      </c>
      <c r="AL13" s="127">
        <f t="shared" si="14"/>
        <v>24.740174248339812</v>
      </c>
      <c r="AM13" s="134">
        <v>12</v>
      </c>
      <c r="AN13" s="129">
        <f t="shared" si="15"/>
        <v>24.740174248339812</v>
      </c>
      <c r="AO13" s="118"/>
      <c r="AP13" s="134">
        <f t="shared" si="34"/>
        <v>2026</v>
      </c>
      <c r="AQ13" s="127">
        <f t="shared" si="16"/>
        <v>0</v>
      </c>
      <c r="AR13" s="134">
        <v>12</v>
      </c>
      <c r="AS13" s="129">
        <f t="shared" si="17"/>
        <v>0</v>
      </c>
      <c r="AT13" s="118"/>
      <c r="AU13" s="134">
        <f t="shared" si="35"/>
        <v>2026</v>
      </c>
      <c r="AV13" s="127">
        <f t="shared" si="18"/>
        <v>0</v>
      </c>
      <c r="AW13" s="134">
        <v>12</v>
      </c>
      <c r="AX13" s="129">
        <f t="shared" si="19"/>
        <v>0</v>
      </c>
      <c r="AY13" s="118"/>
      <c r="AZ13" s="134">
        <f t="shared" si="36"/>
        <v>2026</v>
      </c>
      <c r="BA13" s="127">
        <f t="shared" si="20"/>
        <v>604.15</v>
      </c>
      <c r="BB13" s="134">
        <v>12</v>
      </c>
      <c r="BC13" s="129">
        <f t="shared" si="21"/>
        <v>604.15</v>
      </c>
      <c r="BE13" s="330">
        <f t="shared" si="37"/>
        <v>2026</v>
      </c>
      <c r="BF13" s="127">
        <f t="shared" si="22"/>
        <v>2.5355612781817829</v>
      </c>
      <c r="BG13" s="134">
        <v>12</v>
      </c>
      <c r="BH13" s="129">
        <f t="shared" si="23"/>
        <v>2.5355612781817829</v>
      </c>
      <c r="BJ13" s="134">
        <f t="shared" si="38"/>
        <v>2026</v>
      </c>
      <c r="BK13" s="127">
        <f t="shared" si="24"/>
        <v>0</v>
      </c>
      <c r="BL13" s="134">
        <v>12</v>
      </c>
      <c r="BM13" s="129">
        <f t="shared" si="25"/>
        <v>0</v>
      </c>
    </row>
    <row r="14" spans="2:65">
      <c r="B14" s="134">
        <f t="shared" si="26"/>
        <v>2027</v>
      </c>
      <c r="C14" s="127">
        <f t="shared" si="0"/>
        <v>61.1</v>
      </c>
      <c r="D14" s="134">
        <v>12</v>
      </c>
      <c r="E14" s="129">
        <f t="shared" si="1"/>
        <v>61.1</v>
      </c>
      <c r="F14" s="118"/>
      <c r="G14" s="134">
        <f t="shared" si="27"/>
        <v>2027</v>
      </c>
      <c r="H14" s="127">
        <f t="shared" si="2"/>
        <v>0</v>
      </c>
      <c r="I14" s="134">
        <v>12</v>
      </c>
      <c r="J14" s="129">
        <f t="shared" si="3"/>
        <v>0</v>
      </c>
      <c r="K14" s="118"/>
      <c r="L14" s="134">
        <f t="shared" si="28"/>
        <v>2027</v>
      </c>
      <c r="M14" s="127">
        <f t="shared" si="4"/>
        <v>0</v>
      </c>
      <c r="N14" s="134">
        <v>12</v>
      </c>
      <c r="O14" s="129">
        <f t="shared" si="5"/>
        <v>0</v>
      </c>
      <c r="Q14" s="134">
        <f t="shared" si="29"/>
        <v>2027</v>
      </c>
      <c r="R14" s="127">
        <f t="shared" si="6"/>
        <v>0</v>
      </c>
      <c r="S14" s="134">
        <v>12</v>
      </c>
      <c r="T14" s="129">
        <f t="shared" si="7"/>
        <v>0</v>
      </c>
      <c r="U14" s="118"/>
      <c r="V14" s="134">
        <f t="shared" si="30"/>
        <v>2027</v>
      </c>
      <c r="W14" s="127">
        <f t="shared" si="8"/>
        <v>0</v>
      </c>
      <c r="X14" s="134">
        <v>12</v>
      </c>
      <c r="Y14" s="129">
        <f t="shared" si="9"/>
        <v>0</v>
      </c>
      <c r="Z14" s="118"/>
      <c r="AA14" s="134">
        <f t="shared" si="31"/>
        <v>2027</v>
      </c>
      <c r="AB14" s="127">
        <f t="shared" si="10"/>
        <v>55.61</v>
      </c>
      <c r="AC14" s="134">
        <v>12</v>
      </c>
      <c r="AD14" s="129">
        <f t="shared" si="11"/>
        <v>55.609999999999992</v>
      </c>
      <c r="AE14" s="118"/>
      <c r="AF14" s="134">
        <f t="shared" si="32"/>
        <v>2027</v>
      </c>
      <c r="AG14" s="127">
        <f t="shared" si="12"/>
        <v>0</v>
      </c>
      <c r="AH14" s="134">
        <v>12</v>
      </c>
      <c r="AI14" s="129">
        <f t="shared" si="13"/>
        <v>0</v>
      </c>
      <c r="AJ14" s="118"/>
      <c r="AK14" s="134">
        <f t="shared" si="33"/>
        <v>2027</v>
      </c>
      <c r="AL14" s="127">
        <f t="shared" si="14"/>
        <v>25.27</v>
      </c>
      <c r="AM14" s="134">
        <v>12</v>
      </c>
      <c r="AN14" s="129">
        <f t="shared" si="15"/>
        <v>25.27</v>
      </c>
      <c r="AO14" s="118"/>
      <c r="AP14" s="134">
        <f t="shared" si="34"/>
        <v>2027</v>
      </c>
      <c r="AQ14" s="127">
        <f t="shared" si="16"/>
        <v>0</v>
      </c>
      <c r="AR14" s="134">
        <v>12</v>
      </c>
      <c r="AS14" s="129">
        <f t="shared" si="17"/>
        <v>0</v>
      </c>
      <c r="AT14" s="118"/>
      <c r="AU14" s="134">
        <f t="shared" si="35"/>
        <v>2027</v>
      </c>
      <c r="AV14" s="127">
        <f t="shared" si="18"/>
        <v>0</v>
      </c>
      <c r="AW14" s="134">
        <v>12</v>
      </c>
      <c r="AX14" s="129">
        <f t="shared" si="19"/>
        <v>0</v>
      </c>
      <c r="AY14" s="118"/>
      <c r="AZ14" s="134">
        <f t="shared" si="36"/>
        <v>2027</v>
      </c>
      <c r="BA14" s="127">
        <f t="shared" si="20"/>
        <v>617.16999999999996</v>
      </c>
      <c r="BB14" s="134">
        <v>12</v>
      </c>
      <c r="BC14" s="129">
        <f t="shared" si="21"/>
        <v>617.16999999999996</v>
      </c>
      <c r="BD14" s="172"/>
      <c r="BE14" s="134">
        <f t="shared" si="37"/>
        <v>2027</v>
      </c>
      <c r="BF14" s="127">
        <f t="shared" si="22"/>
        <v>2.59</v>
      </c>
      <c r="BG14" s="134">
        <v>12</v>
      </c>
      <c r="BH14" s="129">
        <f t="shared" si="23"/>
        <v>2.59</v>
      </c>
      <c r="BJ14" s="134">
        <f t="shared" si="38"/>
        <v>2027</v>
      </c>
      <c r="BK14" s="127">
        <f t="shared" si="24"/>
        <v>0</v>
      </c>
      <c r="BL14" s="134">
        <v>12</v>
      </c>
      <c r="BM14" s="129">
        <f t="shared" si="25"/>
        <v>0</v>
      </c>
    </row>
    <row r="15" spans="2:65">
      <c r="B15" s="134">
        <f t="shared" si="26"/>
        <v>2028</v>
      </c>
      <c r="C15" s="127">
        <f t="shared" si="0"/>
        <v>62.42</v>
      </c>
      <c r="D15" s="134">
        <v>12</v>
      </c>
      <c r="E15" s="129">
        <f t="shared" si="1"/>
        <v>62.419999999999995</v>
      </c>
      <c r="F15" s="118"/>
      <c r="G15" s="134">
        <f t="shared" si="27"/>
        <v>2028</v>
      </c>
      <c r="H15" s="127">
        <f t="shared" si="2"/>
        <v>0</v>
      </c>
      <c r="I15" s="134">
        <v>12</v>
      </c>
      <c r="J15" s="129">
        <f t="shared" si="3"/>
        <v>0</v>
      </c>
      <c r="K15" s="118"/>
      <c r="L15" s="134">
        <f t="shared" si="28"/>
        <v>2028</v>
      </c>
      <c r="M15" s="127">
        <f t="shared" si="4"/>
        <v>0</v>
      </c>
      <c r="N15" s="134">
        <v>12</v>
      </c>
      <c r="O15" s="129">
        <f t="shared" si="5"/>
        <v>0</v>
      </c>
      <c r="Q15" s="134">
        <f t="shared" si="29"/>
        <v>2028</v>
      </c>
      <c r="R15" s="127">
        <f t="shared" si="6"/>
        <v>0</v>
      </c>
      <c r="S15" s="134">
        <v>12</v>
      </c>
      <c r="T15" s="129">
        <f t="shared" si="7"/>
        <v>0</v>
      </c>
      <c r="U15" s="118"/>
      <c r="V15" s="134">
        <f t="shared" si="30"/>
        <v>2028</v>
      </c>
      <c r="W15" s="127">
        <f t="shared" si="8"/>
        <v>0</v>
      </c>
      <c r="X15" s="134">
        <v>12</v>
      </c>
      <c r="Y15" s="129">
        <f t="shared" si="9"/>
        <v>0</v>
      </c>
      <c r="Z15" s="118"/>
      <c r="AA15" s="134">
        <f t="shared" si="31"/>
        <v>2028</v>
      </c>
      <c r="AB15" s="127">
        <f t="shared" si="10"/>
        <v>56.81</v>
      </c>
      <c r="AC15" s="134">
        <v>12</v>
      </c>
      <c r="AD15" s="129">
        <f t="shared" si="11"/>
        <v>56.81</v>
      </c>
      <c r="AE15" s="118"/>
      <c r="AF15" s="134">
        <f t="shared" si="32"/>
        <v>2028</v>
      </c>
      <c r="AG15" s="127">
        <f t="shared" si="12"/>
        <v>0</v>
      </c>
      <c r="AH15" s="134">
        <v>12</v>
      </c>
      <c r="AI15" s="129">
        <f t="shared" si="13"/>
        <v>0</v>
      </c>
      <c r="AJ15" s="118"/>
      <c r="AK15" s="134">
        <f t="shared" si="33"/>
        <v>2028</v>
      </c>
      <c r="AL15" s="127">
        <f t="shared" si="14"/>
        <v>25.81</v>
      </c>
      <c r="AM15" s="134">
        <v>12</v>
      </c>
      <c r="AN15" s="129">
        <f t="shared" si="15"/>
        <v>25.81</v>
      </c>
      <c r="AO15" s="118"/>
      <c r="AP15" s="330">
        <f t="shared" si="34"/>
        <v>2028</v>
      </c>
      <c r="AQ15" s="127">
        <f t="shared" si="16"/>
        <v>9.0939944302083777</v>
      </c>
      <c r="AR15" s="134">
        <v>12</v>
      </c>
      <c r="AS15" s="129">
        <f t="shared" si="17"/>
        <v>9.0939944302083777</v>
      </c>
      <c r="AT15" s="118"/>
      <c r="AU15" s="134">
        <f t="shared" si="35"/>
        <v>2028</v>
      </c>
      <c r="AV15" s="127">
        <f t="shared" si="18"/>
        <v>0</v>
      </c>
      <c r="AW15" s="134">
        <v>12</v>
      </c>
      <c r="AX15" s="129">
        <f t="shared" si="19"/>
        <v>0</v>
      </c>
      <c r="AY15" s="118"/>
      <c r="AZ15" s="134">
        <f t="shared" si="36"/>
        <v>2028</v>
      </c>
      <c r="BA15" s="127">
        <f t="shared" si="20"/>
        <v>630.47</v>
      </c>
      <c r="BB15" s="134">
        <v>12</v>
      </c>
      <c r="BC15" s="129">
        <f t="shared" si="21"/>
        <v>630.47</v>
      </c>
      <c r="BE15" s="134">
        <f t="shared" si="37"/>
        <v>2028</v>
      </c>
      <c r="BF15" s="127">
        <f t="shared" si="22"/>
        <v>2.65</v>
      </c>
      <c r="BG15" s="134">
        <v>12</v>
      </c>
      <c r="BH15" s="129">
        <f t="shared" si="23"/>
        <v>2.65</v>
      </c>
      <c r="BJ15" s="134">
        <f t="shared" si="38"/>
        <v>2028</v>
      </c>
      <c r="BK15" s="127">
        <f t="shared" si="24"/>
        <v>0</v>
      </c>
      <c r="BL15" s="134">
        <v>12</v>
      </c>
      <c r="BM15" s="129">
        <f t="shared" si="25"/>
        <v>0</v>
      </c>
    </row>
    <row r="16" spans="2:65">
      <c r="B16" s="134">
        <f t="shared" si="26"/>
        <v>2029</v>
      </c>
      <c r="C16" s="127">
        <f t="shared" si="0"/>
        <v>63.77</v>
      </c>
      <c r="D16" s="134">
        <v>12</v>
      </c>
      <c r="E16" s="129">
        <f t="shared" si="1"/>
        <v>63.77</v>
      </c>
      <c r="F16" s="118"/>
      <c r="G16" s="134">
        <f t="shared" si="27"/>
        <v>2029</v>
      </c>
      <c r="H16" s="127">
        <f t="shared" si="2"/>
        <v>0</v>
      </c>
      <c r="I16" s="134">
        <v>12</v>
      </c>
      <c r="J16" s="129">
        <f t="shared" si="3"/>
        <v>0</v>
      </c>
      <c r="K16" s="118"/>
      <c r="L16" s="134">
        <f t="shared" si="28"/>
        <v>2029</v>
      </c>
      <c r="M16" s="127">
        <f t="shared" si="4"/>
        <v>0</v>
      </c>
      <c r="N16" s="134">
        <v>12</v>
      </c>
      <c r="O16" s="129">
        <f t="shared" si="5"/>
        <v>0</v>
      </c>
      <c r="Q16" s="134">
        <f t="shared" si="29"/>
        <v>2029</v>
      </c>
      <c r="R16" s="127">
        <f t="shared" si="6"/>
        <v>0</v>
      </c>
      <c r="S16" s="134">
        <v>12</v>
      </c>
      <c r="T16" s="129">
        <f t="shared" si="7"/>
        <v>0</v>
      </c>
      <c r="U16" s="118"/>
      <c r="V16" s="134">
        <f t="shared" si="30"/>
        <v>2029</v>
      </c>
      <c r="W16" s="127">
        <f t="shared" si="8"/>
        <v>0</v>
      </c>
      <c r="X16" s="134">
        <v>12</v>
      </c>
      <c r="Y16" s="129">
        <f t="shared" si="9"/>
        <v>0</v>
      </c>
      <c r="Z16" s="118"/>
      <c r="AA16" s="134">
        <f t="shared" si="31"/>
        <v>2029</v>
      </c>
      <c r="AB16" s="127">
        <f t="shared" si="10"/>
        <v>58.03</v>
      </c>
      <c r="AC16" s="134">
        <v>12</v>
      </c>
      <c r="AD16" s="129">
        <f t="shared" si="11"/>
        <v>58.03</v>
      </c>
      <c r="AE16" s="118"/>
      <c r="AF16" s="134">
        <f t="shared" si="32"/>
        <v>2029</v>
      </c>
      <c r="AG16" s="127">
        <f t="shared" si="12"/>
        <v>0</v>
      </c>
      <c r="AH16" s="134">
        <v>12</v>
      </c>
      <c r="AI16" s="129">
        <f t="shared" si="13"/>
        <v>0</v>
      </c>
      <c r="AJ16" s="118"/>
      <c r="AK16" s="134">
        <f t="shared" si="33"/>
        <v>2029</v>
      </c>
      <c r="AL16" s="127">
        <f t="shared" si="14"/>
        <v>26.37</v>
      </c>
      <c r="AM16" s="134">
        <v>12</v>
      </c>
      <c r="AN16" s="129">
        <f t="shared" si="15"/>
        <v>26.37</v>
      </c>
      <c r="AO16" s="118"/>
      <c r="AP16" s="134">
        <f t="shared" si="34"/>
        <v>2029</v>
      </c>
      <c r="AQ16" s="127">
        <f t="shared" si="16"/>
        <v>9.2899999999999991</v>
      </c>
      <c r="AR16" s="134">
        <v>12</v>
      </c>
      <c r="AS16" s="129">
        <f t="shared" si="17"/>
        <v>9.2899999999999991</v>
      </c>
      <c r="AT16" s="118"/>
      <c r="AU16" s="134">
        <f t="shared" si="35"/>
        <v>2029</v>
      </c>
      <c r="AV16" s="127">
        <f t="shared" si="18"/>
        <v>0</v>
      </c>
      <c r="AW16" s="134">
        <v>12</v>
      </c>
      <c r="AX16" s="129">
        <f t="shared" si="19"/>
        <v>0</v>
      </c>
      <c r="AY16" s="118"/>
      <c r="AZ16" s="134">
        <f t="shared" si="36"/>
        <v>2029</v>
      </c>
      <c r="BA16" s="127">
        <f t="shared" si="20"/>
        <v>644.05999999999995</v>
      </c>
      <c r="BB16" s="134">
        <v>12</v>
      </c>
      <c r="BC16" s="129">
        <f t="shared" si="21"/>
        <v>644.05999999999995</v>
      </c>
      <c r="BE16" s="134">
        <f t="shared" si="37"/>
        <v>2029</v>
      </c>
      <c r="BF16" s="127">
        <f t="shared" si="22"/>
        <v>2.71</v>
      </c>
      <c r="BG16" s="134">
        <v>12</v>
      </c>
      <c r="BH16" s="129">
        <f t="shared" si="23"/>
        <v>2.7099999999999995</v>
      </c>
      <c r="BJ16" s="330">
        <f t="shared" si="38"/>
        <v>2029</v>
      </c>
      <c r="BK16" s="127">
        <f t="shared" si="24"/>
        <v>5.6747035126682794</v>
      </c>
      <c r="BL16" s="134">
        <v>12</v>
      </c>
      <c r="BM16" s="129">
        <f t="shared" si="25"/>
        <v>5.6747035126682794</v>
      </c>
    </row>
    <row r="17" spans="2:65">
      <c r="B17" s="134">
        <f t="shared" si="26"/>
        <v>2030</v>
      </c>
      <c r="C17" s="127">
        <f t="shared" si="0"/>
        <v>65.14</v>
      </c>
      <c r="D17" s="134">
        <v>12</v>
      </c>
      <c r="E17" s="129">
        <f t="shared" si="1"/>
        <v>65.14</v>
      </c>
      <c r="F17" s="118"/>
      <c r="G17" s="134">
        <f t="shared" si="27"/>
        <v>2030</v>
      </c>
      <c r="H17" s="127">
        <f t="shared" si="2"/>
        <v>0</v>
      </c>
      <c r="I17" s="134">
        <v>12</v>
      </c>
      <c r="J17" s="129">
        <f t="shared" si="3"/>
        <v>0</v>
      </c>
      <c r="K17" s="118"/>
      <c r="L17" s="134">
        <f t="shared" si="28"/>
        <v>2030</v>
      </c>
      <c r="M17" s="127">
        <f t="shared" si="4"/>
        <v>0</v>
      </c>
      <c r="N17" s="134">
        <v>12</v>
      </c>
      <c r="O17" s="129">
        <f t="shared" si="5"/>
        <v>0</v>
      </c>
      <c r="Q17" s="134">
        <f t="shared" si="29"/>
        <v>2030</v>
      </c>
      <c r="R17" s="127">
        <f t="shared" si="6"/>
        <v>0</v>
      </c>
      <c r="S17" s="134">
        <v>12</v>
      </c>
      <c r="T17" s="129">
        <f t="shared" si="7"/>
        <v>0</v>
      </c>
      <c r="U17" s="118"/>
      <c r="V17" s="134">
        <f t="shared" si="30"/>
        <v>2030</v>
      </c>
      <c r="W17" s="127">
        <f t="shared" si="8"/>
        <v>0</v>
      </c>
      <c r="X17" s="134">
        <v>12</v>
      </c>
      <c r="Y17" s="129">
        <f t="shared" si="9"/>
        <v>0</v>
      </c>
      <c r="Z17" s="118"/>
      <c r="AA17" s="134">
        <f t="shared" si="31"/>
        <v>2030</v>
      </c>
      <c r="AB17" s="127">
        <f t="shared" si="10"/>
        <v>59.28</v>
      </c>
      <c r="AC17" s="134">
        <v>12</v>
      </c>
      <c r="AD17" s="129">
        <f t="shared" si="11"/>
        <v>59.28</v>
      </c>
      <c r="AE17" s="118"/>
      <c r="AF17" s="134">
        <f t="shared" si="32"/>
        <v>2030</v>
      </c>
      <c r="AG17" s="127">
        <f t="shared" si="12"/>
        <v>0</v>
      </c>
      <c r="AH17" s="134">
        <v>12</v>
      </c>
      <c r="AI17" s="129">
        <f t="shared" si="13"/>
        <v>0</v>
      </c>
      <c r="AJ17" s="118"/>
      <c r="AK17" s="134">
        <f t="shared" si="33"/>
        <v>2030</v>
      </c>
      <c r="AL17" s="127">
        <f t="shared" si="14"/>
        <v>26.94</v>
      </c>
      <c r="AM17" s="134">
        <v>12</v>
      </c>
      <c r="AN17" s="129">
        <f t="shared" si="15"/>
        <v>26.94</v>
      </c>
      <c r="AO17" s="118"/>
      <c r="AP17" s="134">
        <f t="shared" si="34"/>
        <v>2030</v>
      </c>
      <c r="AQ17" s="127">
        <f t="shared" si="16"/>
        <v>9.49</v>
      </c>
      <c r="AR17" s="134">
        <v>12</v>
      </c>
      <c r="AS17" s="129">
        <f t="shared" si="17"/>
        <v>9.49</v>
      </c>
      <c r="AT17" s="118"/>
      <c r="AU17" s="134">
        <f t="shared" si="35"/>
        <v>2030</v>
      </c>
      <c r="AV17" s="127">
        <f t="shared" si="18"/>
        <v>0</v>
      </c>
      <c r="AW17" s="134">
        <v>12</v>
      </c>
      <c r="AX17" s="129">
        <f t="shared" si="19"/>
        <v>0</v>
      </c>
      <c r="AY17" s="118"/>
      <c r="AZ17" s="134">
        <f t="shared" si="36"/>
        <v>2030</v>
      </c>
      <c r="BA17" s="127">
        <f t="shared" si="20"/>
        <v>657.94</v>
      </c>
      <c r="BB17" s="134">
        <v>12</v>
      </c>
      <c r="BC17" s="129">
        <f t="shared" si="21"/>
        <v>657.94</v>
      </c>
      <c r="BE17" s="134">
        <f t="shared" si="37"/>
        <v>2030</v>
      </c>
      <c r="BF17" s="127">
        <f t="shared" si="22"/>
        <v>2.77</v>
      </c>
      <c r="BG17" s="134">
        <v>12</v>
      </c>
      <c r="BH17" s="129">
        <f t="shared" si="23"/>
        <v>2.77</v>
      </c>
      <c r="BJ17" s="134">
        <f t="shared" si="38"/>
        <v>2030</v>
      </c>
      <c r="BK17" s="127">
        <f t="shared" si="24"/>
        <v>5.8</v>
      </c>
      <c r="BL17" s="134">
        <v>12</v>
      </c>
      <c r="BM17" s="129">
        <f t="shared" si="25"/>
        <v>5.8</v>
      </c>
    </row>
    <row r="18" spans="2:65">
      <c r="B18" s="134">
        <f t="shared" si="26"/>
        <v>2031</v>
      </c>
      <c r="C18" s="127">
        <f t="shared" si="0"/>
        <v>66.540000000000006</v>
      </c>
      <c r="D18" s="134">
        <v>12</v>
      </c>
      <c r="E18" s="129">
        <f t="shared" si="1"/>
        <v>66.540000000000006</v>
      </c>
      <c r="F18" s="118"/>
      <c r="G18" s="134">
        <f t="shared" si="27"/>
        <v>2031</v>
      </c>
      <c r="H18" s="127">
        <f t="shared" si="2"/>
        <v>0</v>
      </c>
      <c r="I18" s="134">
        <v>12</v>
      </c>
      <c r="J18" s="129">
        <f t="shared" si="3"/>
        <v>0</v>
      </c>
      <c r="K18" s="118"/>
      <c r="L18" s="134">
        <f t="shared" si="28"/>
        <v>2031</v>
      </c>
      <c r="M18" s="127">
        <f t="shared" si="4"/>
        <v>0</v>
      </c>
      <c r="N18" s="134">
        <v>12</v>
      </c>
      <c r="O18" s="129">
        <f t="shared" si="5"/>
        <v>0</v>
      </c>
      <c r="Q18" s="134">
        <f t="shared" si="29"/>
        <v>2031</v>
      </c>
      <c r="R18" s="127">
        <f t="shared" si="6"/>
        <v>0</v>
      </c>
      <c r="S18" s="134">
        <v>12</v>
      </c>
      <c r="T18" s="129">
        <f t="shared" si="7"/>
        <v>0</v>
      </c>
      <c r="U18" s="118"/>
      <c r="V18" s="134">
        <f t="shared" si="30"/>
        <v>2031</v>
      </c>
      <c r="W18" s="127">
        <f t="shared" si="8"/>
        <v>0</v>
      </c>
      <c r="X18" s="134">
        <v>12</v>
      </c>
      <c r="Y18" s="129">
        <f t="shared" si="9"/>
        <v>0</v>
      </c>
      <c r="Z18" s="118"/>
      <c r="AA18" s="134">
        <f t="shared" si="31"/>
        <v>2031</v>
      </c>
      <c r="AB18" s="127">
        <f t="shared" si="10"/>
        <v>60.56</v>
      </c>
      <c r="AC18" s="134">
        <v>12</v>
      </c>
      <c r="AD18" s="129">
        <f t="shared" si="11"/>
        <v>60.56</v>
      </c>
      <c r="AE18" s="118"/>
      <c r="AF18" s="134">
        <f t="shared" si="32"/>
        <v>2031</v>
      </c>
      <c r="AG18" s="127">
        <f t="shared" si="12"/>
        <v>0</v>
      </c>
      <c r="AH18" s="134">
        <v>12</v>
      </c>
      <c r="AI18" s="129">
        <f t="shared" si="13"/>
        <v>0</v>
      </c>
      <c r="AJ18" s="118"/>
      <c r="AK18" s="134">
        <f t="shared" si="33"/>
        <v>2031</v>
      </c>
      <c r="AL18" s="127">
        <f t="shared" si="14"/>
        <v>27.52</v>
      </c>
      <c r="AM18" s="134">
        <v>12</v>
      </c>
      <c r="AN18" s="129">
        <f t="shared" si="15"/>
        <v>27.52</v>
      </c>
      <c r="AO18" s="118"/>
      <c r="AP18" s="134">
        <f t="shared" si="34"/>
        <v>2031</v>
      </c>
      <c r="AQ18" s="127">
        <f t="shared" si="16"/>
        <v>9.69</v>
      </c>
      <c r="AR18" s="134">
        <v>12</v>
      </c>
      <c r="AS18" s="129">
        <f t="shared" si="17"/>
        <v>9.69</v>
      </c>
      <c r="AT18" s="118"/>
      <c r="AU18" s="330">
        <f t="shared" si="35"/>
        <v>2031</v>
      </c>
      <c r="AV18" s="127">
        <f t="shared" si="18"/>
        <v>12.45513744317196</v>
      </c>
      <c r="AW18" s="134">
        <v>12</v>
      </c>
      <c r="AX18" s="129">
        <f t="shared" si="19"/>
        <v>12.455137443171958</v>
      </c>
      <c r="AY18" s="118"/>
      <c r="AZ18" s="134">
        <f t="shared" si="36"/>
        <v>2031</v>
      </c>
      <c r="BA18" s="127">
        <f t="shared" si="20"/>
        <v>672.12</v>
      </c>
      <c r="BB18" s="134">
        <v>12</v>
      </c>
      <c r="BC18" s="129">
        <f t="shared" si="21"/>
        <v>672.12</v>
      </c>
      <c r="BE18" s="134">
        <f t="shared" si="37"/>
        <v>2031</v>
      </c>
      <c r="BF18" s="127">
        <f t="shared" si="22"/>
        <v>2.83</v>
      </c>
      <c r="BG18" s="134">
        <v>12</v>
      </c>
      <c r="BH18" s="129">
        <f t="shared" si="23"/>
        <v>2.83</v>
      </c>
      <c r="BJ18" s="134">
        <f t="shared" si="38"/>
        <v>2031</v>
      </c>
      <c r="BK18" s="127">
        <f t="shared" si="24"/>
        <v>5.92</v>
      </c>
      <c r="BL18" s="134">
        <v>12</v>
      </c>
      <c r="BM18" s="129">
        <f t="shared" si="25"/>
        <v>5.919999999999999</v>
      </c>
    </row>
    <row r="19" spans="2:65">
      <c r="B19" s="134">
        <f t="shared" si="26"/>
        <v>2032</v>
      </c>
      <c r="C19" s="127">
        <f t="shared" si="0"/>
        <v>67.97</v>
      </c>
      <c r="D19" s="134">
        <v>12</v>
      </c>
      <c r="E19" s="129">
        <f t="shared" si="1"/>
        <v>67.97</v>
      </c>
      <c r="F19" s="118"/>
      <c r="G19" s="134">
        <f t="shared" si="27"/>
        <v>2032</v>
      </c>
      <c r="H19" s="127">
        <f t="shared" si="2"/>
        <v>0</v>
      </c>
      <c r="I19" s="134">
        <v>12</v>
      </c>
      <c r="J19" s="129">
        <f t="shared" si="3"/>
        <v>0</v>
      </c>
      <c r="K19" s="118"/>
      <c r="L19" s="330">
        <f t="shared" si="28"/>
        <v>2032</v>
      </c>
      <c r="M19" s="127">
        <f t="shared" si="4"/>
        <v>39.181880716207971</v>
      </c>
      <c r="N19" s="134">
        <v>12</v>
      </c>
      <c r="O19" s="129">
        <f t="shared" si="5"/>
        <v>39.181880716207971</v>
      </c>
      <c r="Q19" s="134">
        <f t="shared" si="29"/>
        <v>2032</v>
      </c>
      <c r="R19" s="127">
        <f t="shared" si="6"/>
        <v>0</v>
      </c>
      <c r="S19" s="134">
        <v>12</v>
      </c>
      <c r="T19" s="129">
        <f t="shared" si="7"/>
        <v>0</v>
      </c>
      <c r="U19" s="118"/>
      <c r="V19" s="134">
        <f t="shared" si="30"/>
        <v>2032</v>
      </c>
      <c r="W19" s="127">
        <f t="shared" si="8"/>
        <v>0</v>
      </c>
      <c r="X19" s="134">
        <v>12</v>
      </c>
      <c r="Y19" s="129">
        <f t="shared" si="9"/>
        <v>0</v>
      </c>
      <c r="Z19" s="118"/>
      <c r="AA19" s="134">
        <f t="shared" si="31"/>
        <v>2032</v>
      </c>
      <c r="AB19" s="127">
        <f t="shared" si="10"/>
        <v>61.87</v>
      </c>
      <c r="AC19" s="134">
        <v>12</v>
      </c>
      <c r="AD19" s="129">
        <f t="shared" si="11"/>
        <v>61.87</v>
      </c>
      <c r="AE19" s="118"/>
      <c r="AF19" s="134">
        <f t="shared" si="32"/>
        <v>2032</v>
      </c>
      <c r="AG19" s="127">
        <f t="shared" si="12"/>
        <v>0</v>
      </c>
      <c r="AH19" s="134">
        <v>12</v>
      </c>
      <c r="AI19" s="129">
        <f t="shared" si="13"/>
        <v>0</v>
      </c>
      <c r="AJ19" s="118"/>
      <c r="AK19" s="134">
        <f t="shared" si="33"/>
        <v>2032</v>
      </c>
      <c r="AL19" s="127">
        <f t="shared" si="14"/>
        <v>28.11</v>
      </c>
      <c r="AM19" s="134">
        <v>12</v>
      </c>
      <c r="AN19" s="129">
        <f t="shared" si="15"/>
        <v>28.11</v>
      </c>
      <c r="AO19" s="118"/>
      <c r="AP19" s="134">
        <f t="shared" si="34"/>
        <v>2032</v>
      </c>
      <c r="AQ19" s="127">
        <f t="shared" si="16"/>
        <v>9.9</v>
      </c>
      <c r="AR19" s="134">
        <v>12</v>
      </c>
      <c r="AS19" s="129">
        <f t="shared" si="17"/>
        <v>9.9</v>
      </c>
      <c r="AT19" s="118"/>
      <c r="AU19" s="134">
        <f t="shared" si="35"/>
        <v>2032</v>
      </c>
      <c r="AV19" s="127">
        <f t="shared" si="18"/>
        <v>12.72</v>
      </c>
      <c r="AW19" s="134">
        <v>12</v>
      </c>
      <c r="AX19" s="129">
        <f t="shared" si="19"/>
        <v>12.72</v>
      </c>
      <c r="AY19" s="118"/>
      <c r="AZ19" s="134">
        <f t="shared" si="36"/>
        <v>2032</v>
      </c>
      <c r="BA19" s="127">
        <f t="shared" si="20"/>
        <v>686.6</v>
      </c>
      <c r="BB19" s="134">
        <v>12</v>
      </c>
      <c r="BC19" s="129">
        <f t="shared" si="21"/>
        <v>686.6</v>
      </c>
      <c r="BE19" s="134">
        <f t="shared" si="37"/>
        <v>2032</v>
      </c>
      <c r="BF19" s="127">
        <f t="shared" si="22"/>
        <v>2.89</v>
      </c>
      <c r="BG19" s="134">
        <v>12</v>
      </c>
      <c r="BH19" s="129">
        <f t="shared" si="23"/>
        <v>2.89</v>
      </c>
      <c r="BJ19" s="134">
        <f t="shared" si="38"/>
        <v>2032</v>
      </c>
      <c r="BK19" s="127">
        <f t="shared" si="24"/>
        <v>6.05</v>
      </c>
      <c r="BL19" s="134">
        <v>12</v>
      </c>
      <c r="BM19" s="129">
        <f t="shared" si="25"/>
        <v>6.05</v>
      </c>
    </row>
    <row r="20" spans="2:65">
      <c r="B20" s="134">
        <f t="shared" si="26"/>
        <v>2033</v>
      </c>
      <c r="C20" s="127">
        <f t="shared" si="0"/>
        <v>69.430000000000007</v>
      </c>
      <c r="D20" s="134">
        <v>12</v>
      </c>
      <c r="E20" s="129">
        <f t="shared" si="1"/>
        <v>69.430000000000007</v>
      </c>
      <c r="F20" s="118"/>
      <c r="G20" s="330">
        <f t="shared" si="27"/>
        <v>2033</v>
      </c>
      <c r="H20" s="127">
        <f t="shared" si="2"/>
        <v>13.177008391297024</v>
      </c>
      <c r="I20" s="134">
        <v>12</v>
      </c>
      <c r="J20" s="129">
        <f t="shared" si="3"/>
        <v>13.177008391297024</v>
      </c>
      <c r="K20" s="118"/>
      <c r="L20" s="134">
        <f t="shared" si="28"/>
        <v>2033</v>
      </c>
      <c r="M20" s="127">
        <f t="shared" si="4"/>
        <v>40.03</v>
      </c>
      <c r="N20" s="134">
        <v>12</v>
      </c>
      <c r="O20" s="129">
        <f t="shared" si="5"/>
        <v>40.03</v>
      </c>
      <c r="Q20" s="134">
        <f t="shared" si="29"/>
        <v>2033</v>
      </c>
      <c r="R20" s="127">
        <f t="shared" si="6"/>
        <v>0</v>
      </c>
      <c r="S20" s="134">
        <v>12</v>
      </c>
      <c r="T20" s="129">
        <f t="shared" si="7"/>
        <v>0</v>
      </c>
      <c r="U20" s="118"/>
      <c r="V20" s="134">
        <f t="shared" si="30"/>
        <v>2033</v>
      </c>
      <c r="W20" s="127">
        <f t="shared" si="8"/>
        <v>0</v>
      </c>
      <c r="X20" s="134">
        <v>12</v>
      </c>
      <c r="Y20" s="129">
        <f t="shared" si="9"/>
        <v>0</v>
      </c>
      <c r="Z20" s="118"/>
      <c r="AA20" s="134">
        <f t="shared" si="31"/>
        <v>2033</v>
      </c>
      <c r="AB20" s="127">
        <f t="shared" si="10"/>
        <v>63.2</v>
      </c>
      <c r="AC20" s="134">
        <v>12</v>
      </c>
      <c r="AD20" s="129">
        <f t="shared" si="11"/>
        <v>63.20000000000001</v>
      </c>
      <c r="AE20" s="118"/>
      <c r="AF20" s="134">
        <f t="shared" si="32"/>
        <v>2033</v>
      </c>
      <c r="AG20" s="127">
        <f t="shared" si="12"/>
        <v>0</v>
      </c>
      <c r="AH20" s="134">
        <v>12</v>
      </c>
      <c r="AI20" s="129">
        <f t="shared" si="13"/>
        <v>0</v>
      </c>
      <c r="AJ20" s="118"/>
      <c r="AK20" s="134">
        <f t="shared" si="33"/>
        <v>2033</v>
      </c>
      <c r="AL20" s="127">
        <f t="shared" si="14"/>
        <v>28.72</v>
      </c>
      <c r="AM20" s="134">
        <v>12</v>
      </c>
      <c r="AN20" s="129">
        <f t="shared" si="15"/>
        <v>28.72</v>
      </c>
      <c r="AO20" s="118"/>
      <c r="AP20" s="134">
        <f t="shared" si="34"/>
        <v>2033</v>
      </c>
      <c r="AQ20" s="127">
        <f t="shared" si="16"/>
        <v>10.11</v>
      </c>
      <c r="AR20" s="134">
        <v>12</v>
      </c>
      <c r="AS20" s="129">
        <f t="shared" si="17"/>
        <v>10.11</v>
      </c>
      <c r="AT20" s="118"/>
      <c r="AU20" s="134">
        <f t="shared" si="35"/>
        <v>2033</v>
      </c>
      <c r="AV20" s="127">
        <f t="shared" si="18"/>
        <v>12.99</v>
      </c>
      <c r="AW20" s="134">
        <v>12</v>
      </c>
      <c r="AX20" s="129">
        <f t="shared" si="19"/>
        <v>12.99</v>
      </c>
      <c r="AY20" s="118"/>
      <c r="AZ20" s="134">
        <f t="shared" si="36"/>
        <v>2033</v>
      </c>
      <c r="BA20" s="127">
        <f t="shared" si="20"/>
        <v>701.4</v>
      </c>
      <c r="BB20" s="134">
        <v>12</v>
      </c>
      <c r="BC20" s="129">
        <f t="shared" si="21"/>
        <v>701.4</v>
      </c>
      <c r="BE20" s="134">
        <f t="shared" si="37"/>
        <v>2033</v>
      </c>
      <c r="BF20" s="127">
        <f t="shared" si="22"/>
        <v>2.95</v>
      </c>
      <c r="BG20" s="134">
        <v>12</v>
      </c>
      <c r="BH20" s="129">
        <f t="shared" si="23"/>
        <v>2.9500000000000006</v>
      </c>
      <c r="BJ20" s="134">
        <f t="shared" si="38"/>
        <v>2033</v>
      </c>
      <c r="BK20" s="127">
        <f t="shared" si="24"/>
        <v>6.18</v>
      </c>
      <c r="BL20" s="134">
        <v>12</v>
      </c>
      <c r="BM20" s="129">
        <f t="shared" si="25"/>
        <v>6.18</v>
      </c>
    </row>
    <row r="21" spans="2:65">
      <c r="B21" s="134">
        <f t="shared" si="26"/>
        <v>2034</v>
      </c>
      <c r="C21" s="127">
        <f t="shared" si="0"/>
        <v>70.930000000000007</v>
      </c>
      <c r="D21" s="134">
        <v>12</v>
      </c>
      <c r="E21" s="129">
        <f t="shared" si="1"/>
        <v>70.930000000000007</v>
      </c>
      <c r="F21" s="118"/>
      <c r="G21" s="134">
        <f t="shared" si="27"/>
        <v>2034</v>
      </c>
      <c r="H21" s="127">
        <f t="shared" si="2"/>
        <v>13.46</v>
      </c>
      <c r="I21" s="134">
        <v>12</v>
      </c>
      <c r="J21" s="129">
        <f t="shared" si="3"/>
        <v>13.46</v>
      </c>
      <c r="K21" s="118"/>
      <c r="L21" s="134">
        <f t="shared" si="28"/>
        <v>2034</v>
      </c>
      <c r="M21" s="127">
        <f t="shared" si="4"/>
        <v>40.89</v>
      </c>
      <c r="N21" s="134">
        <v>12</v>
      </c>
      <c r="O21" s="129">
        <f t="shared" si="5"/>
        <v>40.89</v>
      </c>
      <c r="Q21" s="134">
        <f t="shared" si="29"/>
        <v>2034</v>
      </c>
      <c r="R21" s="127">
        <f t="shared" si="6"/>
        <v>0</v>
      </c>
      <c r="S21" s="134">
        <v>12</v>
      </c>
      <c r="T21" s="129">
        <f t="shared" si="7"/>
        <v>0</v>
      </c>
      <c r="U21" s="118"/>
      <c r="V21" s="134">
        <f t="shared" si="30"/>
        <v>2034</v>
      </c>
      <c r="W21" s="127">
        <f t="shared" si="8"/>
        <v>0</v>
      </c>
      <c r="X21" s="134">
        <v>12</v>
      </c>
      <c r="Y21" s="129">
        <f t="shared" si="9"/>
        <v>0</v>
      </c>
      <c r="Z21" s="118"/>
      <c r="AA21" s="134">
        <f t="shared" si="31"/>
        <v>2034</v>
      </c>
      <c r="AB21" s="127">
        <f t="shared" si="10"/>
        <v>64.56</v>
      </c>
      <c r="AC21" s="134">
        <v>12</v>
      </c>
      <c r="AD21" s="129">
        <f t="shared" si="11"/>
        <v>64.56</v>
      </c>
      <c r="AE21" s="118"/>
      <c r="AF21" s="134">
        <f t="shared" si="32"/>
        <v>2034</v>
      </c>
      <c r="AG21" s="127">
        <f t="shared" si="12"/>
        <v>0</v>
      </c>
      <c r="AH21" s="134">
        <v>12</v>
      </c>
      <c r="AI21" s="129">
        <f t="shared" si="13"/>
        <v>0</v>
      </c>
      <c r="AJ21" s="118"/>
      <c r="AK21" s="134">
        <f t="shared" si="33"/>
        <v>2034</v>
      </c>
      <c r="AL21" s="127">
        <f t="shared" si="14"/>
        <v>29.34</v>
      </c>
      <c r="AM21" s="134">
        <v>12</v>
      </c>
      <c r="AN21" s="129">
        <f t="shared" si="15"/>
        <v>29.34</v>
      </c>
      <c r="AO21" s="118"/>
      <c r="AP21" s="134">
        <f t="shared" si="34"/>
        <v>2034</v>
      </c>
      <c r="AQ21" s="127">
        <f t="shared" si="16"/>
        <v>10.33</v>
      </c>
      <c r="AR21" s="134">
        <v>12</v>
      </c>
      <c r="AS21" s="129">
        <f t="shared" si="17"/>
        <v>10.33</v>
      </c>
      <c r="AT21" s="118"/>
      <c r="AU21" s="134">
        <f t="shared" si="35"/>
        <v>2034</v>
      </c>
      <c r="AV21" s="127">
        <f t="shared" si="18"/>
        <v>13.27</v>
      </c>
      <c r="AW21" s="134">
        <v>12</v>
      </c>
      <c r="AX21" s="129">
        <f t="shared" si="19"/>
        <v>13.270000000000001</v>
      </c>
      <c r="AY21" s="118"/>
      <c r="AZ21" s="134">
        <f t="shared" si="36"/>
        <v>2034</v>
      </c>
      <c r="BA21" s="127">
        <f t="shared" si="20"/>
        <v>716.52</v>
      </c>
      <c r="BB21" s="134">
        <v>12</v>
      </c>
      <c r="BC21" s="129">
        <f t="shared" si="21"/>
        <v>716.52</v>
      </c>
      <c r="BE21" s="134">
        <f t="shared" si="37"/>
        <v>2034</v>
      </c>
      <c r="BF21" s="127">
        <f t="shared" si="22"/>
        <v>3.01</v>
      </c>
      <c r="BG21" s="134">
        <v>12</v>
      </c>
      <c r="BH21" s="129">
        <f t="shared" si="23"/>
        <v>3.01</v>
      </c>
      <c r="BJ21" s="134">
        <f t="shared" si="38"/>
        <v>2034</v>
      </c>
      <c r="BK21" s="127">
        <f t="shared" si="24"/>
        <v>6.31</v>
      </c>
      <c r="BL21" s="134">
        <v>12</v>
      </c>
      <c r="BM21" s="129">
        <f t="shared" si="25"/>
        <v>6.31</v>
      </c>
    </row>
    <row r="22" spans="2:65">
      <c r="B22" s="134">
        <f t="shared" si="26"/>
        <v>2035</v>
      </c>
      <c r="C22" s="127">
        <f t="shared" si="0"/>
        <v>72.459999999999994</v>
      </c>
      <c r="D22" s="134">
        <v>12</v>
      </c>
      <c r="E22" s="129">
        <f t="shared" si="1"/>
        <v>72.459999999999994</v>
      </c>
      <c r="F22" s="118"/>
      <c r="G22" s="134">
        <f t="shared" si="27"/>
        <v>2035</v>
      </c>
      <c r="H22" s="127">
        <f t="shared" si="2"/>
        <v>13.75</v>
      </c>
      <c r="I22" s="134">
        <v>12</v>
      </c>
      <c r="J22" s="129">
        <f t="shared" si="3"/>
        <v>13.75</v>
      </c>
      <c r="K22" s="118"/>
      <c r="L22" s="134">
        <f t="shared" si="28"/>
        <v>2035</v>
      </c>
      <c r="M22" s="127">
        <f t="shared" si="4"/>
        <v>41.77</v>
      </c>
      <c r="N22" s="134">
        <v>12</v>
      </c>
      <c r="O22" s="129">
        <f t="shared" si="5"/>
        <v>41.77</v>
      </c>
      <c r="Q22" s="134">
        <f t="shared" si="29"/>
        <v>2035</v>
      </c>
      <c r="R22" s="127">
        <f t="shared" si="6"/>
        <v>0</v>
      </c>
      <c r="S22" s="134">
        <v>12</v>
      </c>
      <c r="T22" s="129">
        <f t="shared" si="7"/>
        <v>0</v>
      </c>
      <c r="U22" s="118"/>
      <c r="V22" s="134">
        <f t="shared" si="30"/>
        <v>2035</v>
      </c>
      <c r="W22" s="127">
        <f t="shared" si="8"/>
        <v>0</v>
      </c>
      <c r="X22" s="134">
        <v>12</v>
      </c>
      <c r="Y22" s="129">
        <f t="shared" si="9"/>
        <v>0</v>
      </c>
      <c r="Z22" s="118"/>
      <c r="AA22" s="134">
        <f t="shared" si="31"/>
        <v>2035</v>
      </c>
      <c r="AB22" s="127">
        <f t="shared" si="10"/>
        <v>65.95</v>
      </c>
      <c r="AC22" s="134">
        <v>12</v>
      </c>
      <c r="AD22" s="129">
        <f t="shared" si="11"/>
        <v>65.95</v>
      </c>
      <c r="AE22" s="118"/>
      <c r="AF22" s="134">
        <f t="shared" si="32"/>
        <v>2035</v>
      </c>
      <c r="AG22" s="127">
        <f t="shared" si="12"/>
        <v>0</v>
      </c>
      <c r="AH22" s="134">
        <v>12</v>
      </c>
      <c r="AI22" s="129">
        <f t="shared" si="13"/>
        <v>0</v>
      </c>
      <c r="AJ22" s="118"/>
      <c r="AK22" s="134">
        <f t="shared" si="33"/>
        <v>2035</v>
      </c>
      <c r="AL22" s="127">
        <f t="shared" si="14"/>
        <v>29.97</v>
      </c>
      <c r="AM22" s="134">
        <v>12</v>
      </c>
      <c r="AN22" s="129">
        <f t="shared" si="15"/>
        <v>29.97</v>
      </c>
      <c r="AO22" s="118"/>
      <c r="AP22" s="134">
        <f t="shared" si="34"/>
        <v>2035</v>
      </c>
      <c r="AQ22" s="127">
        <f t="shared" si="16"/>
        <v>10.55</v>
      </c>
      <c r="AR22" s="134">
        <v>12</v>
      </c>
      <c r="AS22" s="129">
        <f t="shared" si="17"/>
        <v>10.55</v>
      </c>
      <c r="AT22" s="118"/>
      <c r="AU22" s="134">
        <f t="shared" si="35"/>
        <v>2035</v>
      </c>
      <c r="AV22" s="127">
        <f t="shared" si="18"/>
        <v>13.56</v>
      </c>
      <c r="AW22" s="134">
        <v>12</v>
      </c>
      <c r="AX22" s="129">
        <f t="shared" si="19"/>
        <v>13.56</v>
      </c>
      <c r="AY22" s="118"/>
      <c r="AZ22" s="134">
        <f t="shared" si="36"/>
        <v>2035</v>
      </c>
      <c r="BA22" s="127">
        <f t="shared" si="20"/>
        <v>731.96</v>
      </c>
      <c r="BB22" s="134">
        <v>12</v>
      </c>
      <c r="BC22" s="129">
        <f t="shared" si="21"/>
        <v>731.96</v>
      </c>
      <c r="BE22" s="134">
        <f t="shared" si="37"/>
        <v>2035</v>
      </c>
      <c r="BF22" s="127">
        <f t="shared" si="22"/>
        <v>3.07</v>
      </c>
      <c r="BG22" s="134">
        <v>12</v>
      </c>
      <c r="BH22" s="129">
        <f t="shared" si="23"/>
        <v>3.07</v>
      </c>
      <c r="BJ22" s="134">
        <f t="shared" si="38"/>
        <v>2035</v>
      </c>
      <c r="BK22" s="127">
        <f t="shared" si="24"/>
        <v>6.45</v>
      </c>
      <c r="BL22" s="134">
        <v>12</v>
      </c>
      <c r="BM22" s="129">
        <f t="shared" si="25"/>
        <v>6.45</v>
      </c>
    </row>
    <row r="23" spans="2:65">
      <c r="B23" s="134">
        <f t="shared" si="26"/>
        <v>2036</v>
      </c>
      <c r="C23" s="127">
        <f t="shared" si="0"/>
        <v>74.02</v>
      </c>
      <c r="D23" s="134">
        <v>12</v>
      </c>
      <c r="E23" s="129">
        <f t="shared" si="1"/>
        <v>74.02</v>
      </c>
      <c r="F23" s="118"/>
      <c r="G23" s="134">
        <f t="shared" si="27"/>
        <v>2036</v>
      </c>
      <c r="H23" s="127">
        <f t="shared" si="2"/>
        <v>14.05</v>
      </c>
      <c r="I23" s="134">
        <v>12</v>
      </c>
      <c r="J23" s="129">
        <f t="shared" si="3"/>
        <v>14.050000000000002</v>
      </c>
      <c r="K23" s="118"/>
      <c r="L23" s="134">
        <f t="shared" si="28"/>
        <v>2036</v>
      </c>
      <c r="M23" s="127">
        <f t="shared" si="4"/>
        <v>42.67</v>
      </c>
      <c r="N23" s="134">
        <v>12</v>
      </c>
      <c r="O23" s="129">
        <f t="shared" si="5"/>
        <v>42.669999999999995</v>
      </c>
      <c r="Q23" s="134">
        <f t="shared" si="29"/>
        <v>2036</v>
      </c>
      <c r="R23" s="127">
        <f t="shared" si="6"/>
        <v>0</v>
      </c>
      <c r="S23" s="134">
        <v>12</v>
      </c>
      <c r="T23" s="129">
        <f t="shared" si="7"/>
        <v>0</v>
      </c>
      <c r="U23" s="118"/>
      <c r="V23" s="134">
        <f t="shared" si="30"/>
        <v>2036</v>
      </c>
      <c r="W23" s="127">
        <f t="shared" si="8"/>
        <v>0</v>
      </c>
      <c r="X23" s="134">
        <v>12</v>
      </c>
      <c r="Y23" s="129">
        <f t="shared" si="9"/>
        <v>0</v>
      </c>
      <c r="Z23" s="118"/>
      <c r="AA23" s="134">
        <f t="shared" si="31"/>
        <v>2036</v>
      </c>
      <c r="AB23" s="127">
        <f t="shared" si="10"/>
        <v>67.37</v>
      </c>
      <c r="AC23" s="134">
        <v>12</v>
      </c>
      <c r="AD23" s="129">
        <f t="shared" si="11"/>
        <v>67.37</v>
      </c>
      <c r="AE23" s="118"/>
      <c r="AF23" s="134">
        <f t="shared" si="32"/>
        <v>2036</v>
      </c>
      <c r="AG23" s="127">
        <f t="shared" si="12"/>
        <v>0</v>
      </c>
      <c r="AH23" s="134">
        <v>12</v>
      </c>
      <c r="AI23" s="129">
        <f t="shared" si="13"/>
        <v>0</v>
      </c>
      <c r="AJ23" s="118"/>
      <c r="AK23" s="134">
        <f t="shared" si="33"/>
        <v>2036</v>
      </c>
      <c r="AL23" s="127">
        <f t="shared" si="14"/>
        <v>30.62</v>
      </c>
      <c r="AM23" s="134">
        <v>12</v>
      </c>
      <c r="AN23" s="129">
        <f t="shared" si="15"/>
        <v>30.62</v>
      </c>
      <c r="AO23" s="118"/>
      <c r="AP23" s="134">
        <f t="shared" si="34"/>
        <v>2036</v>
      </c>
      <c r="AQ23" s="127">
        <f t="shared" si="16"/>
        <v>10.78</v>
      </c>
      <c r="AR23" s="134">
        <v>12</v>
      </c>
      <c r="AS23" s="129">
        <f t="shared" si="17"/>
        <v>10.78</v>
      </c>
      <c r="AT23" s="118"/>
      <c r="AU23" s="134">
        <f t="shared" si="35"/>
        <v>2036</v>
      </c>
      <c r="AV23" s="127">
        <f t="shared" si="18"/>
        <v>13.85</v>
      </c>
      <c r="AW23" s="134">
        <v>12</v>
      </c>
      <c r="AX23" s="129">
        <f t="shared" si="19"/>
        <v>13.85</v>
      </c>
      <c r="AY23" s="118"/>
      <c r="AZ23" s="134">
        <f t="shared" si="36"/>
        <v>2036</v>
      </c>
      <c r="BA23" s="127">
        <f t="shared" si="20"/>
        <v>747.73</v>
      </c>
      <c r="BB23" s="134">
        <v>12</v>
      </c>
      <c r="BC23" s="129">
        <f t="shared" si="21"/>
        <v>747.73</v>
      </c>
      <c r="BE23" s="134">
        <f t="shared" si="37"/>
        <v>2036</v>
      </c>
      <c r="BF23" s="127">
        <f t="shared" si="22"/>
        <v>3.14</v>
      </c>
      <c r="BG23" s="134">
        <v>12</v>
      </c>
      <c r="BH23" s="129">
        <f t="shared" si="23"/>
        <v>3.14</v>
      </c>
      <c r="BJ23" s="134">
        <f t="shared" si="38"/>
        <v>2036</v>
      </c>
      <c r="BK23" s="127">
        <f t="shared" si="24"/>
        <v>6.59</v>
      </c>
      <c r="BL23" s="134">
        <v>12</v>
      </c>
      <c r="BM23" s="129">
        <f t="shared" si="25"/>
        <v>6.59</v>
      </c>
    </row>
    <row r="24" spans="2:65">
      <c r="B24" s="134">
        <f t="shared" si="26"/>
        <v>2037</v>
      </c>
      <c r="C24" s="127">
        <f t="shared" si="0"/>
        <v>75.62</v>
      </c>
      <c r="D24" s="134">
        <v>12</v>
      </c>
      <c r="E24" s="129">
        <f t="shared" si="1"/>
        <v>75.62</v>
      </c>
      <c r="F24" s="118"/>
      <c r="G24" s="134">
        <f t="shared" si="27"/>
        <v>2037</v>
      </c>
      <c r="H24" s="127">
        <f t="shared" si="2"/>
        <v>14.35</v>
      </c>
      <c r="I24" s="134">
        <v>12</v>
      </c>
      <c r="J24" s="129">
        <f t="shared" si="3"/>
        <v>14.35</v>
      </c>
      <c r="K24" s="118"/>
      <c r="L24" s="134">
        <f t="shared" si="28"/>
        <v>2037</v>
      </c>
      <c r="M24" s="127">
        <f t="shared" si="4"/>
        <v>43.59</v>
      </c>
      <c r="N24" s="134">
        <v>12</v>
      </c>
      <c r="O24" s="129">
        <f t="shared" si="5"/>
        <v>43.59</v>
      </c>
      <c r="Q24" s="330">
        <f t="shared" si="29"/>
        <v>2037</v>
      </c>
      <c r="R24" s="127">
        <f t="shared" si="6"/>
        <v>0</v>
      </c>
      <c r="S24" s="134">
        <v>12</v>
      </c>
      <c r="T24" s="129">
        <f t="shared" si="7"/>
        <v>0</v>
      </c>
      <c r="U24" s="118"/>
      <c r="V24" s="134">
        <f t="shared" si="30"/>
        <v>2037</v>
      </c>
      <c r="W24" s="127">
        <f t="shared" si="8"/>
        <v>0</v>
      </c>
      <c r="X24" s="134">
        <v>12</v>
      </c>
      <c r="Y24" s="129">
        <f t="shared" si="9"/>
        <v>0</v>
      </c>
      <c r="Z24" s="118"/>
      <c r="AA24" s="134">
        <f t="shared" si="31"/>
        <v>2037</v>
      </c>
      <c r="AB24" s="127">
        <f t="shared" si="10"/>
        <v>68.819999999999993</v>
      </c>
      <c r="AC24" s="134">
        <v>12</v>
      </c>
      <c r="AD24" s="129">
        <f t="shared" si="11"/>
        <v>68.819999999999993</v>
      </c>
      <c r="AE24" s="118"/>
      <c r="AF24" s="330">
        <f t="shared" si="32"/>
        <v>2037</v>
      </c>
      <c r="AG24" s="127">
        <f t="shared" si="12"/>
        <v>31.427114949217941</v>
      </c>
      <c r="AH24" s="134">
        <v>12</v>
      </c>
      <c r="AI24" s="129">
        <f t="shared" si="13"/>
        <v>31.427114949217941</v>
      </c>
      <c r="AJ24" s="118"/>
      <c r="AK24" s="134">
        <f t="shared" si="33"/>
        <v>2037</v>
      </c>
      <c r="AL24" s="127">
        <f t="shared" si="14"/>
        <v>31.28</v>
      </c>
      <c r="AM24" s="134">
        <v>12</v>
      </c>
      <c r="AN24" s="129">
        <f t="shared" si="15"/>
        <v>31.28</v>
      </c>
      <c r="AO24" s="118"/>
      <c r="AP24" s="134">
        <f t="shared" si="34"/>
        <v>2037</v>
      </c>
      <c r="AQ24" s="127">
        <f t="shared" si="16"/>
        <v>11.01</v>
      </c>
      <c r="AR24" s="134">
        <v>12</v>
      </c>
      <c r="AS24" s="129">
        <f t="shared" si="17"/>
        <v>11.01</v>
      </c>
      <c r="AT24" s="118"/>
      <c r="AU24" s="134">
        <f t="shared" si="35"/>
        <v>2037</v>
      </c>
      <c r="AV24" s="127">
        <f t="shared" si="18"/>
        <v>14.15</v>
      </c>
      <c r="AW24" s="134">
        <v>12</v>
      </c>
      <c r="AX24" s="129">
        <f t="shared" si="19"/>
        <v>14.15</v>
      </c>
      <c r="AY24" s="118"/>
      <c r="AZ24" s="134">
        <f t="shared" si="36"/>
        <v>2037</v>
      </c>
      <c r="BA24" s="127">
        <f t="shared" si="20"/>
        <v>763.84</v>
      </c>
      <c r="BB24" s="134">
        <v>12</v>
      </c>
      <c r="BC24" s="129">
        <f t="shared" si="21"/>
        <v>763.84</v>
      </c>
      <c r="BE24" s="134">
        <f t="shared" si="37"/>
        <v>2037</v>
      </c>
      <c r="BF24" s="127">
        <f t="shared" si="22"/>
        <v>3.21</v>
      </c>
      <c r="BG24" s="134">
        <v>12</v>
      </c>
      <c r="BH24" s="129">
        <f t="shared" si="23"/>
        <v>3.2099999999999995</v>
      </c>
      <c r="BJ24" s="134">
        <f t="shared" si="38"/>
        <v>2037</v>
      </c>
      <c r="BK24" s="127">
        <f t="shared" si="24"/>
        <v>6.73</v>
      </c>
      <c r="BL24" s="134">
        <v>12</v>
      </c>
      <c r="BM24" s="129">
        <f t="shared" si="25"/>
        <v>6.73</v>
      </c>
    </row>
    <row r="25" spans="2:65">
      <c r="B25" s="134">
        <f t="shared" si="26"/>
        <v>2038</v>
      </c>
      <c r="C25" s="127">
        <f t="shared" si="0"/>
        <v>77.25</v>
      </c>
      <c r="D25" s="134">
        <v>12</v>
      </c>
      <c r="E25" s="129">
        <f t="shared" si="1"/>
        <v>77.25</v>
      </c>
      <c r="F25" s="118"/>
      <c r="G25" s="134">
        <f t="shared" si="27"/>
        <v>2038</v>
      </c>
      <c r="H25" s="127">
        <f t="shared" si="2"/>
        <v>14.66</v>
      </c>
      <c r="I25" s="134">
        <v>12</v>
      </c>
      <c r="J25" s="129">
        <f t="shared" si="3"/>
        <v>14.660000000000002</v>
      </c>
      <c r="K25" s="118"/>
      <c r="L25" s="134">
        <f t="shared" si="28"/>
        <v>2038</v>
      </c>
      <c r="M25" s="127">
        <f t="shared" si="4"/>
        <v>44.53</v>
      </c>
      <c r="N25" s="134">
        <v>12</v>
      </c>
      <c r="O25" s="129">
        <f t="shared" si="5"/>
        <v>44.53</v>
      </c>
      <c r="Q25" s="134">
        <f t="shared" si="29"/>
        <v>2038</v>
      </c>
      <c r="R25" s="127">
        <f t="shared" si="6"/>
        <v>0</v>
      </c>
      <c r="S25" s="134">
        <v>12</v>
      </c>
      <c r="T25" s="129">
        <f t="shared" si="7"/>
        <v>0</v>
      </c>
      <c r="U25" s="118"/>
      <c r="V25" s="134">
        <f t="shared" si="30"/>
        <v>2038</v>
      </c>
      <c r="W25" s="127">
        <f t="shared" si="8"/>
        <v>0</v>
      </c>
      <c r="X25" s="134">
        <v>12</v>
      </c>
      <c r="Y25" s="129">
        <f t="shared" si="9"/>
        <v>0</v>
      </c>
      <c r="Z25" s="118"/>
      <c r="AA25" s="134">
        <f t="shared" si="31"/>
        <v>2038</v>
      </c>
      <c r="AB25" s="127">
        <f t="shared" si="10"/>
        <v>70.3</v>
      </c>
      <c r="AC25" s="134">
        <v>12</v>
      </c>
      <c r="AD25" s="129">
        <f t="shared" si="11"/>
        <v>70.3</v>
      </c>
      <c r="AE25" s="118"/>
      <c r="AF25" s="134">
        <f t="shared" si="32"/>
        <v>2038</v>
      </c>
      <c r="AG25" s="127">
        <f t="shared" si="12"/>
        <v>32.1</v>
      </c>
      <c r="AH25" s="134">
        <v>12</v>
      </c>
      <c r="AI25" s="129">
        <f t="shared" si="13"/>
        <v>32.1</v>
      </c>
      <c r="AJ25" s="118"/>
      <c r="AK25" s="134">
        <f t="shared" si="33"/>
        <v>2038</v>
      </c>
      <c r="AL25" s="127">
        <f t="shared" si="14"/>
        <v>31.95</v>
      </c>
      <c r="AM25" s="134">
        <v>12</v>
      </c>
      <c r="AN25" s="129">
        <f t="shared" si="15"/>
        <v>31.95</v>
      </c>
      <c r="AO25" s="118"/>
      <c r="AP25" s="134">
        <f t="shared" si="34"/>
        <v>2038</v>
      </c>
      <c r="AQ25" s="127">
        <f t="shared" si="16"/>
        <v>11.25</v>
      </c>
      <c r="AR25" s="134">
        <v>12</v>
      </c>
      <c r="AS25" s="129">
        <f t="shared" si="17"/>
        <v>11.25</v>
      </c>
      <c r="AT25" s="118"/>
      <c r="AU25" s="134">
        <f t="shared" si="35"/>
        <v>2038</v>
      </c>
      <c r="AV25" s="127">
        <f t="shared" si="18"/>
        <v>14.45</v>
      </c>
      <c r="AW25" s="134">
        <v>12</v>
      </c>
      <c r="AX25" s="129">
        <f t="shared" si="19"/>
        <v>14.449999999999998</v>
      </c>
      <c r="AY25" s="118"/>
      <c r="AZ25" s="134">
        <f t="shared" si="36"/>
        <v>2038</v>
      </c>
      <c r="BA25" s="127">
        <f t="shared" si="20"/>
        <v>780.3</v>
      </c>
      <c r="BB25" s="134">
        <v>12</v>
      </c>
      <c r="BC25" s="129">
        <f t="shared" si="21"/>
        <v>780.29999999999984</v>
      </c>
      <c r="BE25" s="134">
        <f t="shared" si="37"/>
        <v>2038</v>
      </c>
      <c r="BF25" s="127">
        <f t="shared" si="22"/>
        <v>3.28</v>
      </c>
      <c r="BG25" s="134">
        <v>12</v>
      </c>
      <c r="BH25" s="129">
        <f t="shared" si="23"/>
        <v>3.28</v>
      </c>
      <c r="BJ25" s="134">
        <f t="shared" si="38"/>
        <v>2038</v>
      </c>
      <c r="BK25" s="127">
        <f t="shared" si="24"/>
        <v>6.88</v>
      </c>
      <c r="BL25" s="134">
        <v>12</v>
      </c>
      <c r="BM25" s="129">
        <f t="shared" si="25"/>
        <v>6.88</v>
      </c>
    </row>
    <row r="26" spans="2:65">
      <c r="B26" s="134">
        <f t="shared" si="26"/>
        <v>2039</v>
      </c>
      <c r="C26" s="127">
        <f t="shared" si="0"/>
        <v>78.91</v>
      </c>
      <c r="D26" s="134">
        <v>12</v>
      </c>
      <c r="E26" s="129">
        <f t="shared" si="1"/>
        <v>78.91</v>
      </c>
      <c r="F26" s="118"/>
      <c r="G26" s="134">
        <f t="shared" si="27"/>
        <v>2039</v>
      </c>
      <c r="H26" s="127">
        <f t="shared" si="2"/>
        <v>14.98</v>
      </c>
      <c r="I26" s="134">
        <v>12</v>
      </c>
      <c r="J26" s="129">
        <f t="shared" si="3"/>
        <v>14.979999999999999</v>
      </c>
      <c r="K26" s="118"/>
      <c r="L26" s="134">
        <f t="shared" si="28"/>
        <v>2039</v>
      </c>
      <c r="M26" s="127">
        <f t="shared" si="4"/>
        <v>45.49</v>
      </c>
      <c r="N26" s="134">
        <v>12</v>
      </c>
      <c r="O26" s="129">
        <f t="shared" si="5"/>
        <v>45.49</v>
      </c>
      <c r="Q26" s="134">
        <f t="shared" si="29"/>
        <v>2039</v>
      </c>
      <c r="R26" s="127">
        <f t="shared" si="6"/>
        <v>0</v>
      </c>
      <c r="S26" s="134">
        <v>12</v>
      </c>
      <c r="T26" s="129">
        <f t="shared" si="7"/>
        <v>0</v>
      </c>
      <c r="U26" s="118"/>
      <c r="V26" s="134">
        <f t="shared" si="30"/>
        <v>2039</v>
      </c>
      <c r="W26" s="127">
        <f t="shared" si="8"/>
        <v>0</v>
      </c>
      <c r="X26" s="134">
        <v>12</v>
      </c>
      <c r="Y26" s="129">
        <f t="shared" si="9"/>
        <v>0</v>
      </c>
      <c r="Z26" s="118"/>
      <c r="AA26" s="134">
        <f t="shared" si="31"/>
        <v>2039</v>
      </c>
      <c r="AB26" s="127">
        <f t="shared" si="10"/>
        <v>71.81</v>
      </c>
      <c r="AC26" s="134">
        <v>12</v>
      </c>
      <c r="AD26" s="129">
        <f t="shared" si="11"/>
        <v>71.81</v>
      </c>
      <c r="AE26" s="118"/>
      <c r="AF26" s="134">
        <f t="shared" si="32"/>
        <v>2039</v>
      </c>
      <c r="AG26" s="127">
        <f t="shared" si="12"/>
        <v>32.79</v>
      </c>
      <c r="AH26" s="134">
        <v>12</v>
      </c>
      <c r="AI26" s="129">
        <f t="shared" si="13"/>
        <v>32.79</v>
      </c>
      <c r="AJ26" s="118"/>
      <c r="AK26" s="134">
        <f t="shared" si="33"/>
        <v>2039</v>
      </c>
      <c r="AL26" s="127">
        <f t="shared" si="14"/>
        <v>32.64</v>
      </c>
      <c r="AM26" s="134">
        <v>12</v>
      </c>
      <c r="AN26" s="129">
        <f t="shared" si="15"/>
        <v>32.64</v>
      </c>
      <c r="AO26" s="118"/>
      <c r="AP26" s="134">
        <f t="shared" si="34"/>
        <v>2039</v>
      </c>
      <c r="AQ26" s="127">
        <f t="shared" si="16"/>
        <v>11.49</v>
      </c>
      <c r="AR26" s="134">
        <v>12</v>
      </c>
      <c r="AS26" s="129">
        <f t="shared" si="17"/>
        <v>11.49</v>
      </c>
      <c r="AT26" s="118"/>
      <c r="AU26" s="134">
        <f t="shared" si="35"/>
        <v>2039</v>
      </c>
      <c r="AV26" s="127">
        <f t="shared" si="18"/>
        <v>14.76</v>
      </c>
      <c r="AW26" s="134">
        <v>12</v>
      </c>
      <c r="AX26" s="129">
        <f t="shared" si="19"/>
        <v>14.76</v>
      </c>
      <c r="AY26" s="118"/>
      <c r="AZ26" s="134">
        <f t="shared" si="36"/>
        <v>2039</v>
      </c>
      <c r="BA26" s="127">
        <f t="shared" si="20"/>
        <v>797.12</v>
      </c>
      <c r="BB26" s="134">
        <v>12</v>
      </c>
      <c r="BC26" s="129">
        <f t="shared" si="21"/>
        <v>797.12</v>
      </c>
      <c r="BE26" s="134">
        <f t="shared" si="37"/>
        <v>2039</v>
      </c>
      <c r="BF26" s="127">
        <f t="shared" si="22"/>
        <v>3.35</v>
      </c>
      <c r="BG26" s="134">
        <v>12</v>
      </c>
      <c r="BH26" s="129">
        <f t="shared" si="23"/>
        <v>3.35</v>
      </c>
      <c r="BJ26" s="134">
        <f t="shared" si="38"/>
        <v>2039</v>
      </c>
      <c r="BK26" s="127">
        <f t="shared" si="24"/>
        <v>7.03</v>
      </c>
      <c r="BL26" s="134">
        <v>12</v>
      </c>
      <c r="BM26" s="129">
        <f t="shared" si="25"/>
        <v>7.03</v>
      </c>
    </row>
    <row r="27" spans="2:65">
      <c r="B27" s="134">
        <f t="shared" si="26"/>
        <v>2040</v>
      </c>
      <c r="C27" s="127">
        <f t="shared" si="0"/>
        <v>80.61</v>
      </c>
      <c r="D27" s="134">
        <v>12</v>
      </c>
      <c r="E27" s="129">
        <f t="shared" si="1"/>
        <v>80.61</v>
      </c>
      <c r="F27" s="118"/>
      <c r="G27" s="134">
        <f t="shared" si="27"/>
        <v>2040</v>
      </c>
      <c r="H27" s="127">
        <f t="shared" si="2"/>
        <v>15.3</v>
      </c>
      <c r="I27" s="134">
        <v>12</v>
      </c>
      <c r="J27" s="129">
        <f t="shared" si="3"/>
        <v>15.300000000000002</v>
      </c>
      <c r="K27" s="118"/>
      <c r="L27" s="134">
        <f t="shared" si="28"/>
        <v>2040</v>
      </c>
      <c r="M27" s="127">
        <f t="shared" si="4"/>
        <v>46.47</v>
      </c>
      <c r="N27" s="134">
        <v>12</v>
      </c>
      <c r="O27" s="129">
        <f t="shared" si="5"/>
        <v>46.47</v>
      </c>
      <c r="Q27" s="134">
        <f t="shared" si="29"/>
        <v>2040</v>
      </c>
      <c r="R27" s="127">
        <f t="shared" si="6"/>
        <v>0</v>
      </c>
      <c r="S27" s="134">
        <v>12</v>
      </c>
      <c r="T27" s="129">
        <f t="shared" si="7"/>
        <v>0</v>
      </c>
      <c r="U27" s="118"/>
      <c r="V27" s="330">
        <f t="shared" si="30"/>
        <v>2040</v>
      </c>
      <c r="W27" s="127">
        <f t="shared" si="8"/>
        <v>17.574036807534558</v>
      </c>
      <c r="X27" s="134">
        <v>12</v>
      </c>
      <c r="Y27" s="129">
        <f t="shared" si="9"/>
        <v>17.574036807534558</v>
      </c>
      <c r="Z27" s="118"/>
      <c r="AA27" s="134">
        <f t="shared" si="31"/>
        <v>2040</v>
      </c>
      <c r="AB27" s="127">
        <f t="shared" si="10"/>
        <v>73.36</v>
      </c>
      <c r="AC27" s="134">
        <v>12</v>
      </c>
      <c r="AD27" s="129">
        <f t="shared" si="11"/>
        <v>73.36</v>
      </c>
      <c r="AE27" s="118"/>
      <c r="AF27" s="134">
        <f t="shared" si="32"/>
        <v>2040</v>
      </c>
      <c r="AG27" s="127">
        <f t="shared" si="12"/>
        <v>33.5</v>
      </c>
      <c r="AH27" s="134">
        <v>12</v>
      </c>
      <c r="AI27" s="129">
        <f t="shared" si="13"/>
        <v>33.5</v>
      </c>
      <c r="AJ27" s="118"/>
      <c r="AK27" s="134">
        <f t="shared" si="33"/>
        <v>2040</v>
      </c>
      <c r="AL27" s="127">
        <f t="shared" si="14"/>
        <v>33.340000000000003</v>
      </c>
      <c r="AM27" s="134">
        <v>12</v>
      </c>
      <c r="AN27" s="129">
        <f t="shared" si="15"/>
        <v>33.340000000000003</v>
      </c>
      <c r="AO27" s="118"/>
      <c r="AP27" s="134">
        <f t="shared" si="34"/>
        <v>2040</v>
      </c>
      <c r="AQ27" s="127">
        <f t="shared" si="16"/>
        <v>11.74</v>
      </c>
      <c r="AR27" s="134">
        <v>12</v>
      </c>
      <c r="AS27" s="129">
        <f t="shared" si="17"/>
        <v>11.74</v>
      </c>
      <c r="AT27" s="118"/>
      <c r="AU27" s="134">
        <f t="shared" si="35"/>
        <v>2040</v>
      </c>
      <c r="AV27" s="127">
        <f t="shared" si="18"/>
        <v>15.08</v>
      </c>
      <c r="AW27" s="134">
        <v>12</v>
      </c>
      <c r="AX27" s="129">
        <f t="shared" si="19"/>
        <v>15.08</v>
      </c>
      <c r="AY27" s="118"/>
      <c r="AZ27" s="134">
        <f t="shared" si="36"/>
        <v>2040</v>
      </c>
      <c r="BA27" s="127">
        <f t="shared" si="20"/>
        <v>814.3</v>
      </c>
      <c r="BB27" s="134">
        <v>12</v>
      </c>
      <c r="BC27" s="129">
        <f t="shared" si="21"/>
        <v>814.29999999999984</v>
      </c>
      <c r="BE27" s="134">
        <f t="shared" si="37"/>
        <v>2040</v>
      </c>
      <c r="BF27" s="127">
        <f t="shared" si="22"/>
        <v>3.42</v>
      </c>
      <c r="BG27" s="134">
        <v>12</v>
      </c>
      <c r="BH27" s="129">
        <f t="shared" si="23"/>
        <v>3.42</v>
      </c>
      <c r="BJ27" s="134">
        <f t="shared" si="38"/>
        <v>2040</v>
      </c>
      <c r="BK27" s="127">
        <f t="shared" si="24"/>
        <v>7.18</v>
      </c>
      <c r="BL27" s="134">
        <v>12</v>
      </c>
      <c r="BM27" s="129">
        <f t="shared" si="25"/>
        <v>7.18</v>
      </c>
    </row>
    <row r="28" spans="2:65">
      <c r="B28" s="134">
        <f t="shared" si="26"/>
        <v>2041</v>
      </c>
      <c r="C28" s="127">
        <f t="shared" si="0"/>
        <v>82.35</v>
      </c>
      <c r="D28" s="134">
        <v>12</v>
      </c>
      <c r="E28" s="129">
        <f t="shared" si="1"/>
        <v>82.35</v>
      </c>
      <c r="F28" s="118"/>
      <c r="G28" s="134">
        <f t="shared" si="27"/>
        <v>2041</v>
      </c>
      <c r="H28" s="127">
        <f t="shared" si="2"/>
        <v>15.63</v>
      </c>
      <c r="I28" s="134">
        <v>12</v>
      </c>
      <c r="J28" s="129">
        <f t="shared" si="3"/>
        <v>15.63</v>
      </c>
      <c r="K28" s="118"/>
      <c r="L28" s="134">
        <f t="shared" si="28"/>
        <v>2041</v>
      </c>
      <c r="M28" s="127">
        <f t="shared" si="4"/>
        <v>47.47</v>
      </c>
      <c r="N28" s="134">
        <v>12</v>
      </c>
      <c r="O28" s="129">
        <f t="shared" si="5"/>
        <v>47.47</v>
      </c>
      <c r="Q28" s="134">
        <f t="shared" si="29"/>
        <v>2041</v>
      </c>
      <c r="R28" s="127">
        <f t="shared" si="6"/>
        <v>0</v>
      </c>
      <c r="S28" s="134">
        <v>12</v>
      </c>
      <c r="T28" s="129">
        <f t="shared" si="7"/>
        <v>0</v>
      </c>
      <c r="U28" s="118"/>
      <c r="V28" s="134">
        <f t="shared" si="30"/>
        <v>2041</v>
      </c>
      <c r="W28" s="127">
        <f t="shared" si="8"/>
        <v>17.95</v>
      </c>
      <c r="X28" s="134">
        <v>12</v>
      </c>
      <c r="Y28" s="129">
        <f t="shared" si="9"/>
        <v>17.95</v>
      </c>
      <c r="Z28" s="118"/>
      <c r="AA28" s="134">
        <f t="shared" si="31"/>
        <v>2041</v>
      </c>
      <c r="AB28" s="127">
        <f t="shared" si="10"/>
        <v>74.94</v>
      </c>
      <c r="AC28" s="134">
        <v>12</v>
      </c>
      <c r="AD28" s="129">
        <f t="shared" si="11"/>
        <v>74.94</v>
      </c>
      <c r="AE28" s="118"/>
      <c r="AF28" s="134">
        <f t="shared" si="32"/>
        <v>2041</v>
      </c>
      <c r="AG28" s="127">
        <f t="shared" si="12"/>
        <v>34.22</v>
      </c>
      <c r="AH28" s="134">
        <v>12</v>
      </c>
      <c r="AI28" s="129">
        <f t="shared" si="13"/>
        <v>34.22</v>
      </c>
      <c r="AJ28" s="118"/>
      <c r="AK28" s="134">
        <f t="shared" si="33"/>
        <v>2041</v>
      </c>
      <c r="AL28" s="127">
        <f t="shared" si="14"/>
        <v>34.06</v>
      </c>
      <c r="AM28" s="134">
        <v>12</v>
      </c>
      <c r="AN28" s="129">
        <f t="shared" si="15"/>
        <v>34.06</v>
      </c>
      <c r="AO28" s="118"/>
      <c r="AP28" s="134">
        <f t="shared" si="34"/>
        <v>2041</v>
      </c>
      <c r="AQ28" s="127">
        <f t="shared" si="16"/>
        <v>11.99</v>
      </c>
      <c r="AR28" s="134">
        <v>12</v>
      </c>
      <c r="AS28" s="129">
        <f t="shared" si="17"/>
        <v>11.99</v>
      </c>
      <c r="AT28" s="118"/>
      <c r="AU28" s="134">
        <f t="shared" si="35"/>
        <v>2041</v>
      </c>
      <c r="AV28" s="127">
        <f t="shared" si="18"/>
        <v>15.4</v>
      </c>
      <c r="AW28" s="134">
        <v>12</v>
      </c>
      <c r="AX28" s="129">
        <f t="shared" si="19"/>
        <v>15.4</v>
      </c>
      <c r="AY28" s="118"/>
      <c r="AZ28" s="134">
        <f t="shared" si="36"/>
        <v>2041</v>
      </c>
      <c r="BA28" s="127">
        <f t="shared" si="20"/>
        <v>831.85</v>
      </c>
      <c r="BB28" s="134">
        <v>12</v>
      </c>
      <c r="BC28" s="129">
        <f t="shared" si="21"/>
        <v>831.85</v>
      </c>
      <c r="BE28" s="134">
        <f t="shared" si="37"/>
        <v>2041</v>
      </c>
      <c r="BF28" s="127">
        <f t="shared" si="22"/>
        <v>3.49</v>
      </c>
      <c r="BG28" s="134">
        <v>12</v>
      </c>
      <c r="BH28" s="129">
        <f t="shared" si="23"/>
        <v>3.49</v>
      </c>
      <c r="BJ28" s="134">
        <f t="shared" si="38"/>
        <v>2041</v>
      </c>
      <c r="BK28" s="127">
        <f t="shared" si="24"/>
        <v>7.33</v>
      </c>
      <c r="BL28" s="134">
        <v>12</v>
      </c>
      <c r="BM28" s="129">
        <f t="shared" si="25"/>
        <v>7.330000000000001</v>
      </c>
    </row>
    <row r="29" spans="2:65">
      <c r="B29" s="134">
        <f t="shared" si="26"/>
        <v>2042</v>
      </c>
      <c r="C29" s="127">
        <f t="shared" si="0"/>
        <v>84.12</v>
      </c>
      <c r="D29" s="134">
        <v>12</v>
      </c>
      <c r="E29" s="129">
        <f t="shared" si="1"/>
        <v>84.12</v>
      </c>
      <c r="F29" s="118"/>
      <c r="G29" s="134">
        <f t="shared" si="27"/>
        <v>2042</v>
      </c>
      <c r="H29" s="127">
        <f t="shared" si="2"/>
        <v>15.97</v>
      </c>
      <c r="I29" s="134">
        <v>12</v>
      </c>
      <c r="J29" s="129">
        <f t="shared" si="3"/>
        <v>15.97</v>
      </c>
      <c r="K29" s="118"/>
      <c r="L29" s="134">
        <f t="shared" si="28"/>
        <v>2042</v>
      </c>
      <c r="M29" s="127">
        <f t="shared" si="4"/>
        <v>48.49</v>
      </c>
      <c r="N29" s="134">
        <v>12</v>
      </c>
      <c r="O29" s="129">
        <f t="shared" si="5"/>
        <v>48.49</v>
      </c>
      <c r="Q29" s="134">
        <f t="shared" si="29"/>
        <v>2042</v>
      </c>
      <c r="R29" s="127">
        <f t="shared" si="6"/>
        <v>0</v>
      </c>
      <c r="S29" s="134">
        <v>12</v>
      </c>
      <c r="T29" s="129">
        <f t="shared" si="7"/>
        <v>0</v>
      </c>
      <c r="U29" s="118"/>
      <c r="V29" s="134">
        <f t="shared" si="30"/>
        <v>2042</v>
      </c>
      <c r="W29" s="127">
        <f t="shared" si="8"/>
        <v>18.34</v>
      </c>
      <c r="X29" s="134">
        <v>12</v>
      </c>
      <c r="Y29" s="129">
        <f t="shared" si="9"/>
        <v>18.34</v>
      </c>
      <c r="Z29" s="118"/>
      <c r="AA29" s="134">
        <f t="shared" si="31"/>
        <v>2042</v>
      </c>
      <c r="AB29" s="127">
        <f t="shared" si="10"/>
        <v>76.55</v>
      </c>
      <c r="AC29" s="134">
        <v>12</v>
      </c>
      <c r="AD29" s="129">
        <f t="shared" si="11"/>
        <v>76.55</v>
      </c>
      <c r="AE29" s="118"/>
      <c r="AF29" s="134">
        <f t="shared" si="32"/>
        <v>2042</v>
      </c>
      <c r="AG29" s="127">
        <f t="shared" si="12"/>
        <v>34.96</v>
      </c>
      <c r="AH29" s="134">
        <v>12</v>
      </c>
      <c r="AI29" s="129">
        <f t="shared" si="13"/>
        <v>34.96</v>
      </c>
      <c r="AJ29" s="118"/>
      <c r="AK29" s="134">
        <f t="shared" si="33"/>
        <v>2042</v>
      </c>
      <c r="AL29" s="127">
        <f t="shared" si="14"/>
        <v>34.79</v>
      </c>
      <c r="AM29" s="134">
        <v>12</v>
      </c>
      <c r="AN29" s="129">
        <f t="shared" si="15"/>
        <v>34.79</v>
      </c>
      <c r="AO29" s="118"/>
      <c r="AP29" s="134">
        <f t="shared" si="34"/>
        <v>2042</v>
      </c>
      <c r="AQ29" s="127">
        <f t="shared" si="16"/>
        <v>12.25</v>
      </c>
      <c r="AR29" s="134">
        <v>12</v>
      </c>
      <c r="AS29" s="129">
        <f t="shared" si="17"/>
        <v>12.25</v>
      </c>
      <c r="AT29" s="118"/>
      <c r="AU29" s="134">
        <f t="shared" si="35"/>
        <v>2042</v>
      </c>
      <c r="AV29" s="127">
        <f t="shared" si="18"/>
        <v>15.73</v>
      </c>
      <c r="AW29" s="134">
        <v>12</v>
      </c>
      <c r="AX29" s="129">
        <f t="shared" si="19"/>
        <v>15.729999999999999</v>
      </c>
      <c r="AY29" s="118"/>
      <c r="AZ29" s="134">
        <f t="shared" si="36"/>
        <v>2042</v>
      </c>
      <c r="BA29" s="127">
        <f t="shared" si="20"/>
        <v>849.78</v>
      </c>
      <c r="BB29" s="134">
        <v>12</v>
      </c>
      <c r="BC29" s="129">
        <f t="shared" si="21"/>
        <v>849.78000000000009</v>
      </c>
      <c r="BE29" s="134">
        <f t="shared" si="37"/>
        <v>2042</v>
      </c>
      <c r="BF29" s="127">
        <f t="shared" si="22"/>
        <v>3.57</v>
      </c>
      <c r="BG29" s="134">
        <v>12</v>
      </c>
      <c r="BH29" s="129">
        <f t="shared" si="23"/>
        <v>3.57</v>
      </c>
      <c r="BJ29" s="134">
        <f t="shared" si="38"/>
        <v>2042</v>
      </c>
      <c r="BK29" s="127">
        <f t="shared" si="24"/>
        <v>7.49</v>
      </c>
      <c r="BL29" s="134">
        <v>12</v>
      </c>
      <c r="BM29" s="129">
        <f t="shared" si="25"/>
        <v>7.4899999999999993</v>
      </c>
    </row>
    <row r="30" spans="2:65">
      <c r="B30" s="134">
        <f t="shared" si="26"/>
        <v>2043</v>
      </c>
      <c r="C30" s="127">
        <f t="shared" si="0"/>
        <v>85.93</v>
      </c>
      <c r="D30" s="134">
        <v>12</v>
      </c>
      <c r="E30" s="129">
        <f t="shared" si="1"/>
        <v>85.93</v>
      </c>
      <c r="F30" s="118"/>
      <c r="G30" s="134">
        <f t="shared" si="27"/>
        <v>2043</v>
      </c>
      <c r="H30" s="127">
        <f t="shared" si="2"/>
        <v>16.309999999999999</v>
      </c>
      <c r="I30" s="134">
        <v>12</v>
      </c>
      <c r="J30" s="129">
        <f t="shared" si="3"/>
        <v>16.309999999999999</v>
      </c>
      <c r="K30" s="118"/>
      <c r="L30" s="134">
        <f t="shared" si="28"/>
        <v>2043</v>
      </c>
      <c r="M30" s="127">
        <f t="shared" si="4"/>
        <v>49.53</v>
      </c>
      <c r="N30" s="134">
        <v>12</v>
      </c>
      <c r="O30" s="129">
        <f t="shared" si="5"/>
        <v>49.53</v>
      </c>
      <c r="Q30" s="134">
        <f t="shared" si="29"/>
        <v>2043</v>
      </c>
      <c r="R30" s="127">
        <f t="shared" si="6"/>
        <v>0</v>
      </c>
      <c r="S30" s="134">
        <v>12</v>
      </c>
      <c r="T30" s="129">
        <f t="shared" si="7"/>
        <v>0</v>
      </c>
      <c r="U30" s="118"/>
      <c r="V30" s="134">
        <f t="shared" si="30"/>
        <v>2043</v>
      </c>
      <c r="W30" s="127">
        <f t="shared" si="8"/>
        <v>18.739999999999998</v>
      </c>
      <c r="X30" s="134">
        <v>12</v>
      </c>
      <c r="Y30" s="129">
        <f t="shared" si="9"/>
        <v>18.739999999999998</v>
      </c>
      <c r="Z30" s="118"/>
      <c r="AA30" s="134">
        <f t="shared" si="31"/>
        <v>2043</v>
      </c>
      <c r="AB30" s="127">
        <f t="shared" si="10"/>
        <v>78.2</v>
      </c>
      <c r="AC30" s="134">
        <v>12</v>
      </c>
      <c r="AD30" s="129">
        <f t="shared" si="11"/>
        <v>78.2</v>
      </c>
      <c r="AE30" s="118"/>
      <c r="AF30" s="134">
        <f t="shared" si="32"/>
        <v>2043</v>
      </c>
      <c r="AG30" s="127">
        <f t="shared" si="12"/>
        <v>35.71</v>
      </c>
      <c r="AH30" s="134">
        <v>12</v>
      </c>
      <c r="AI30" s="129">
        <f t="shared" si="13"/>
        <v>35.71</v>
      </c>
      <c r="AJ30" s="118"/>
      <c r="AK30" s="134">
        <f t="shared" si="33"/>
        <v>2043</v>
      </c>
      <c r="AL30" s="127">
        <f t="shared" si="14"/>
        <v>35.54</v>
      </c>
      <c r="AM30" s="134">
        <v>12</v>
      </c>
      <c r="AN30" s="129">
        <f t="shared" si="15"/>
        <v>35.54</v>
      </c>
      <c r="AO30" s="118"/>
      <c r="AP30" s="134">
        <f t="shared" si="34"/>
        <v>2043</v>
      </c>
      <c r="AQ30" s="127">
        <f t="shared" si="16"/>
        <v>12.51</v>
      </c>
      <c r="AR30" s="134">
        <v>12</v>
      </c>
      <c r="AS30" s="129">
        <f t="shared" si="17"/>
        <v>12.51</v>
      </c>
      <c r="AT30" s="118"/>
      <c r="AU30" s="134">
        <f t="shared" si="35"/>
        <v>2043</v>
      </c>
      <c r="AV30" s="127">
        <f t="shared" si="18"/>
        <v>16.07</v>
      </c>
      <c r="AW30" s="134">
        <v>12</v>
      </c>
      <c r="AX30" s="129">
        <f t="shared" si="19"/>
        <v>16.07</v>
      </c>
      <c r="AY30" s="118"/>
      <c r="AZ30" s="134">
        <f t="shared" si="36"/>
        <v>2043</v>
      </c>
      <c r="BA30" s="127">
        <f t="shared" si="20"/>
        <v>868.09</v>
      </c>
      <c r="BB30" s="134">
        <v>12</v>
      </c>
      <c r="BC30" s="129">
        <f t="shared" si="21"/>
        <v>868.09</v>
      </c>
      <c r="BE30" s="134">
        <f t="shared" si="37"/>
        <v>2043</v>
      </c>
      <c r="BF30" s="127">
        <f t="shared" si="22"/>
        <v>3.65</v>
      </c>
      <c r="BG30" s="134">
        <v>12</v>
      </c>
      <c r="BH30" s="129">
        <f t="shared" si="23"/>
        <v>3.65</v>
      </c>
      <c r="BJ30" s="134">
        <f t="shared" si="38"/>
        <v>2043</v>
      </c>
      <c r="BK30" s="127">
        <f t="shared" si="24"/>
        <v>7.65</v>
      </c>
      <c r="BL30" s="134">
        <v>12</v>
      </c>
      <c r="BM30" s="129">
        <f t="shared" si="25"/>
        <v>7.6500000000000012</v>
      </c>
    </row>
    <row r="31" spans="2:65">
      <c r="B31" s="134">
        <f t="shared" si="26"/>
        <v>2044</v>
      </c>
      <c r="C31" s="127">
        <f t="shared" si="0"/>
        <v>87.78</v>
      </c>
      <c r="D31" s="134">
        <v>12</v>
      </c>
      <c r="E31" s="129">
        <f t="shared" si="1"/>
        <v>87.780000000000015</v>
      </c>
      <c r="F31" s="118"/>
      <c r="G31" s="134">
        <f t="shared" si="27"/>
        <v>2044</v>
      </c>
      <c r="H31" s="127">
        <f t="shared" si="2"/>
        <v>16.66</v>
      </c>
      <c r="I31" s="134">
        <v>12</v>
      </c>
      <c r="J31" s="129">
        <f t="shared" si="3"/>
        <v>16.66</v>
      </c>
      <c r="K31" s="118"/>
      <c r="L31" s="134">
        <f t="shared" si="28"/>
        <v>2044</v>
      </c>
      <c r="M31" s="127">
        <f t="shared" si="4"/>
        <v>50.6</v>
      </c>
      <c r="N31" s="134">
        <v>12</v>
      </c>
      <c r="O31" s="129">
        <f t="shared" si="5"/>
        <v>50.6</v>
      </c>
      <c r="Q31" s="134">
        <f t="shared" si="29"/>
        <v>2044</v>
      </c>
      <c r="R31" s="127">
        <f t="shared" si="6"/>
        <v>0</v>
      </c>
      <c r="S31" s="134">
        <v>12</v>
      </c>
      <c r="T31" s="129">
        <f t="shared" si="7"/>
        <v>0</v>
      </c>
      <c r="U31" s="118"/>
      <c r="V31" s="134">
        <f t="shared" si="30"/>
        <v>2044</v>
      </c>
      <c r="W31" s="127">
        <f t="shared" si="8"/>
        <v>19.14</v>
      </c>
      <c r="X31" s="134">
        <v>12</v>
      </c>
      <c r="Y31" s="129">
        <f t="shared" si="9"/>
        <v>19.14</v>
      </c>
      <c r="Z31" s="118"/>
      <c r="AA31" s="134">
        <f t="shared" si="31"/>
        <v>2044</v>
      </c>
      <c r="AB31" s="127">
        <f t="shared" si="10"/>
        <v>79.89</v>
      </c>
      <c r="AC31" s="134">
        <v>12</v>
      </c>
      <c r="AD31" s="129">
        <f t="shared" si="11"/>
        <v>79.89</v>
      </c>
      <c r="AE31" s="118"/>
      <c r="AF31" s="134">
        <f t="shared" si="32"/>
        <v>2044</v>
      </c>
      <c r="AG31" s="127">
        <f t="shared" si="12"/>
        <v>36.479999999999997</v>
      </c>
      <c r="AH31" s="134">
        <v>12</v>
      </c>
      <c r="AI31" s="129">
        <f t="shared" si="13"/>
        <v>36.479999999999997</v>
      </c>
      <c r="AJ31" s="118"/>
      <c r="AK31" s="134">
        <f t="shared" si="33"/>
        <v>2044</v>
      </c>
      <c r="AL31" s="127">
        <f t="shared" si="14"/>
        <v>36.31</v>
      </c>
      <c r="AM31" s="134">
        <v>12</v>
      </c>
      <c r="AN31" s="129">
        <f t="shared" si="15"/>
        <v>36.31</v>
      </c>
      <c r="AO31" s="118"/>
      <c r="AP31" s="134">
        <f t="shared" si="34"/>
        <v>2044</v>
      </c>
      <c r="AQ31" s="127">
        <f t="shared" si="16"/>
        <v>12.78</v>
      </c>
      <c r="AR31" s="134">
        <v>12</v>
      </c>
      <c r="AS31" s="129">
        <f t="shared" si="17"/>
        <v>12.78</v>
      </c>
      <c r="AT31" s="118"/>
      <c r="AU31" s="134">
        <f t="shared" si="35"/>
        <v>2044</v>
      </c>
      <c r="AV31" s="127">
        <f t="shared" si="18"/>
        <v>16.420000000000002</v>
      </c>
      <c r="AW31" s="134">
        <v>12</v>
      </c>
      <c r="AX31" s="129">
        <f t="shared" si="19"/>
        <v>16.420000000000002</v>
      </c>
      <c r="AY31" s="118"/>
      <c r="AZ31" s="134">
        <f t="shared" si="36"/>
        <v>2044</v>
      </c>
      <c r="BA31" s="127">
        <f t="shared" si="20"/>
        <v>886.8</v>
      </c>
      <c r="BB31" s="134">
        <v>12</v>
      </c>
      <c r="BC31" s="129">
        <f t="shared" si="21"/>
        <v>886.79999999999984</v>
      </c>
      <c r="BE31" s="134">
        <f t="shared" si="37"/>
        <v>2044</v>
      </c>
      <c r="BF31" s="127">
        <f t="shared" si="22"/>
        <v>3.73</v>
      </c>
      <c r="BG31" s="134">
        <v>12</v>
      </c>
      <c r="BH31" s="129">
        <f t="shared" si="23"/>
        <v>3.73</v>
      </c>
      <c r="BJ31" s="134">
        <f t="shared" si="38"/>
        <v>2044</v>
      </c>
      <c r="BK31" s="127">
        <f t="shared" si="24"/>
        <v>7.81</v>
      </c>
      <c r="BL31" s="134">
        <v>12</v>
      </c>
      <c r="BM31" s="129">
        <f t="shared" si="25"/>
        <v>7.81</v>
      </c>
    </row>
    <row r="32" spans="2:65">
      <c r="B32" s="134">
        <f t="shared" si="26"/>
        <v>2045</v>
      </c>
      <c r="C32" s="127">
        <f t="shared" si="0"/>
        <v>89.67</v>
      </c>
      <c r="D32" s="134">
        <v>12</v>
      </c>
      <c r="E32" s="129">
        <f t="shared" si="1"/>
        <v>89.67</v>
      </c>
      <c r="F32" s="118"/>
      <c r="G32" s="134">
        <f t="shared" si="27"/>
        <v>2045</v>
      </c>
      <c r="H32" s="127">
        <f t="shared" si="2"/>
        <v>17.02</v>
      </c>
      <c r="I32" s="134">
        <v>12</v>
      </c>
      <c r="J32" s="129">
        <f t="shared" si="3"/>
        <v>17.02</v>
      </c>
      <c r="K32" s="118"/>
      <c r="L32" s="134">
        <f t="shared" si="28"/>
        <v>2045</v>
      </c>
      <c r="M32" s="127">
        <f t="shared" si="4"/>
        <v>51.69</v>
      </c>
      <c r="N32" s="134">
        <v>12</v>
      </c>
      <c r="O32" s="129">
        <f t="shared" si="5"/>
        <v>51.69</v>
      </c>
      <c r="Q32" s="134">
        <f t="shared" si="29"/>
        <v>2045</v>
      </c>
      <c r="R32" s="127">
        <f t="shared" si="6"/>
        <v>0</v>
      </c>
      <c r="S32" s="134">
        <v>12</v>
      </c>
      <c r="T32" s="129">
        <f t="shared" si="7"/>
        <v>0</v>
      </c>
      <c r="U32" s="118"/>
      <c r="V32" s="134">
        <f t="shared" si="30"/>
        <v>2045</v>
      </c>
      <c r="W32" s="127">
        <f t="shared" si="8"/>
        <v>19.55</v>
      </c>
      <c r="X32" s="134">
        <v>12</v>
      </c>
      <c r="Y32" s="129">
        <f t="shared" si="9"/>
        <v>19.55</v>
      </c>
      <c r="Z32" s="118"/>
      <c r="AA32" s="134">
        <f t="shared" si="31"/>
        <v>2045</v>
      </c>
      <c r="AB32" s="127">
        <f t="shared" si="10"/>
        <v>81.61</v>
      </c>
      <c r="AC32" s="134">
        <v>12</v>
      </c>
      <c r="AD32" s="129">
        <f t="shared" si="11"/>
        <v>81.61</v>
      </c>
      <c r="AE32" s="118"/>
      <c r="AF32" s="134">
        <f t="shared" si="32"/>
        <v>2045</v>
      </c>
      <c r="AG32" s="127">
        <f t="shared" si="12"/>
        <v>37.270000000000003</v>
      </c>
      <c r="AH32" s="134">
        <v>12</v>
      </c>
      <c r="AI32" s="129">
        <f t="shared" si="13"/>
        <v>37.270000000000003</v>
      </c>
      <c r="AJ32" s="118"/>
      <c r="AK32" s="134">
        <f t="shared" si="33"/>
        <v>2045</v>
      </c>
      <c r="AL32" s="127">
        <f t="shared" si="14"/>
        <v>37.090000000000003</v>
      </c>
      <c r="AM32" s="134">
        <v>12</v>
      </c>
      <c r="AN32" s="129">
        <f t="shared" si="15"/>
        <v>37.090000000000003</v>
      </c>
      <c r="AO32" s="118"/>
      <c r="AP32" s="134">
        <f t="shared" si="34"/>
        <v>2045</v>
      </c>
      <c r="AQ32" s="127">
        <f t="shared" si="16"/>
        <v>13.06</v>
      </c>
      <c r="AR32" s="134">
        <v>12</v>
      </c>
      <c r="AS32" s="129">
        <f t="shared" si="17"/>
        <v>13.06</v>
      </c>
      <c r="AT32" s="118"/>
      <c r="AU32" s="134">
        <f t="shared" si="35"/>
        <v>2045</v>
      </c>
      <c r="AV32" s="127">
        <f t="shared" si="18"/>
        <v>16.77</v>
      </c>
      <c r="AW32" s="134">
        <v>12</v>
      </c>
      <c r="AX32" s="129">
        <f t="shared" si="19"/>
        <v>16.77</v>
      </c>
      <c r="AY32" s="118"/>
      <c r="AZ32" s="134">
        <f t="shared" si="36"/>
        <v>2045</v>
      </c>
      <c r="BA32" s="127">
        <f t="shared" si="20"/>
        <v>905.91</v>
      </c>
      <c r="BB32" s="134">
        <v>12</v>
      </c>
      <c r="BC32" s="129">
        <f t="shared" si="21"/>
        <v>905.91</v>
      </c>
      <c r="BE32" s="134">
        <f t="shared" si="37"/>
        <v>2045</v>
      </c>
      <c r="BF32" s="127">
        <f t="shared" si="22"/>
        <v>3.81</v>
      </c>
      <c r="BG32" s="134">
        <v>12</v>
      </c>
      <c r="BH32" s="129">
        <f t="shared" si="23"/>
        <v>3.81</v>
      </c>
      <c r="BJ32" s="134">
        <f t="shared" si="38"/>
        <v>2045</v>
      </c>
      <c r="BK32" s="127">
        <f t="shared" si="24"/>
        <v>7.98</v>
      </c>
      <c r="BL32" s="134">
        <v>12</v>
      </c>
      <c r="BM32" s="129">
        <f t="shared" si="25"/>
        <v>7.98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38">
        <v>2025</v>
      </c>
      <c r="H35" s="127" t="s">
        <v>98</v>
      </c>
      <c r="I35" s="338">
        <v>2033</v>
      </c>
      <c r="M35" s="127" t="s">
        <v>98</v>
      </c>
      <c r="N35" s="338">
        <v>2032</v>
      </c>
      <c r="R35" s="127" t="s">
        <v>98</v>
      </c>
      <c r="S35" s="338">
        <v>2037</v>
      </c>
      <c r="W35" s="127" t="s">
        <v>98</v>
      </c>
      <c r="X35" s="338">
        <v>2040</v>
      </c>
      <c r="AB35" s="127" t="s">
        <v>98</v>
      </c>
      <c r="AC35" s="338">
        <v>2026</v>
      </c>
      <c r="AG35" s="127" t="s">
        <v>98</v>
      </c>
      <c r="AH35" s="338">
        <v>2037</v>
      </c>
      <c r="AL35" s="127" t="s">
        <v>98</v>
      </c>
      <c r="AM35" s="338">
        <v>2026</v>
      </c>
      <c r="AQ35" s="127" t="s">
        <v>98</v>
      </c>
      <c r="AR35" s="338">
        <v>2028</v>
      </c>
      <c r="AV35" s="127" t="s">
        <v>98</v>
      </c>
      <c r="AW35" s="338">
        <v>2031</v>
      </c>
      <c r="BA35" s="127" t="s">
        <v>98</v>
      </c>
      <c r="BB35" s="338">
        <v>2024</v>
      </c>
      <c r="BF35" s="127" t="s">
        <v>98</v>
      </c>
      <c r="BG35" s="338">
        <v>2026</v>
      </c>
      <c r="BK35" s="127" t="s">
        <v>98</v>
      </c>
      <c r="BL35" s="338">
        <v>2029</v>
      </c>
    </row>
    <row r="36" spans="2:65">
      <c r="C36" s="173" t="s">
        <v>84</v>
      </c>
      <c r="D36" s="338">
        <v>1200</v>
      </c>
      <c r="H36" s="173" t="s">
        <v>84</v>
      </c>
      <c r="I36" s="338">
        <v>800</v>
      </c>
      <c r="M36" s="173" t="s">
        <v>84</v>
      </c>
      <c r="N36" s="338">
        <v>450</v>
      </c>
      <c r="R36" s="173" t="s">
        <v>84</v>
      </c>
      <c r="S36" s="338">
        <v>1500</v>
      </c>
      <c r="W36" s="173" t="s">
        <v>84</v>
      </c>
      <c r="X36" s="338">
        <v>1500</v>
      </c>
      <c r="AB36" s="173" t="s">
        <v>84</v>
      </c>
      <c r="AC36" s="338">
        <v>600</v>
      </c>
      <c r="AG36" s="173" t="s">
        <v>84</v>
      </c>
      <c r="AH36" s="338">
        <v>100</v>
      </c>
      <c r="AL36" s="173" t="s">
        <v>84</v>
      </c>
      <c r="AM36" s="338">
        <v>130</v>
      </c>
      <c r="AQ36" s="173" t="s">
        <v>84</v>
      </c>
      <c r="AR36" s="338">
        <v>460</v>
      </c>
      <c r="AV36" s="173" t="s">
        <v>84</v>
      </c>
      <c r="AW36" s="338">
        <v>1040</v>
      </c>
      <c r="BA36" s="173" t="s">
        <v>84</v>
      </c>
      <c r="BB36" s="338">
        <v>1</v>
      </c>
      <c r="BF36" s="173" t="s">
        <v>84</v>
      </c>
      <c r="BG36" s="338">
        <v>615</v>
      </c>
      <c r="BK36" s="173" t="s">
        <v>84</v>
      </c>
      <c r="BL36" s="338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36">
        <v>6.0831565943468884E-2</v>
      </c>
      <c r="G38" s="128"/>
      <c r="H38" s="127" t="s">
        <v>144</v>
      </c>
      <c r="I38" s="336">
        <v>6.0831565943468884E-2</v>
      </c>
      <c r="L38" s="128"/>
      <c r="M38" s="127" t="s">
        <v>144</v>
      </c>
      <c r="N38" s="336">
        <v>6.0831565943468884E-2</v>
      </c>
      <c r="Q38" s="128"/>
      <c r="R38" s="127" t="s">
        <v>144</v>
      </c>
      <c r="S38" s="336">
        <v>6.0831565943468884E-2</v>
      </c>
      <c r="V38" s="128"/>
      <c r="W38" s="127" t="s">
        <v>144</v>
      </c>
      <c r="X38" s="336">
        <v>6.0831565943468884E-2</v>
      </c>
      <c r="AA38" s="128"/>
      <c r="AB38" s="127" t="s">
        <v>144</v>
      </c>
      <c r="AC38" s="336">
        <v>6.0831565943468884E-2</v>
      </c>
      <c r="AF38" s="128"/>
      <c r="AG38" s="127" t="s">
        <v>144</v>
      </c>
      <c r="AH38" s="336">
        <v>6.0831565943468884E-2</v>
      </c>
      <c r="AK38" s="128"/>
      <c r="AL38" s="127" t="s">
        <v>144</v>
      </c>
      <c r="AM38" s="336">
        <v>6.0831565943468884E-2</v>
      </c>
      <c r="AP38" s="128"/>
      <c r="AQ38" s="127" t="s">
        <v>144</v>
      </c>
      <c r="AR38" s="336">
        <v>6.0831565943468884E-2</v>
      </c>
      <c r="AU38" s="128"/>
      <c r="AV38" s="127" t="s">
        <v>144</v>
      </c>
      <c r="AW38" s="336">
        <v>6.0831565943468884E-2</v>
      </c>
      <c r="AZ38" s="128"/>
      <c r="BA38" s="127" t="s">
        <v>144</v>
      </c>
      <c r="BB38" s="336">
        <v>6.0831565943468884E-2</v>
      </c>
      <c r="BE38" s="128"/>
      <c r="BF38" s="127" t="s">
        <v>144</v>
      </c>
      <c r="BG38" s="336">
        <v>6.0831565943468884E-2</v>
      </c>
      <c r="BJ38" s="128"/>
      <c r="BK38" s="127" t="s">
        <v>144</v>
      </c>
      <c r="BL38" s="336">
        <v>6.0831565943468884E-2</v>
      </c>
    </row>
    <row r="39" spans="2:65" ht="41.25" customHeight="1">
      <c r="B39" s="392" t="s">
        <v>157</v>
      </c>
      <c r="C39" s="393"/>
      <c r="D39" s="337">
        <f>D37*1000000*D38/(D36*1000)</f>
        <v>58.544856686682266</v>
      </c>
      <c r="G39" s="392" t="s">
        <v>148</v>
      </c>
      <c r="H39" s="393"/>
      <c r="I39" s="337">
        <f>I37*1000000*I38/(I36*1000)</f>
        <v>13.177008391297024</v>
      </c>
      <c r="L39" s="392" t="s">
        <v>160</v>
      </c>
      <c r="M39" s="393"/>
      <c r="N39" s="337">
        <f>N37*1000000*N38/(N36*1000)</f>
        <v>39.181880716207971</v>
      </c>
      <c r="Q39" s="393" t="s">
        <v>149</v>
      </c>
      <c r="R39" s="393"/>
      <c r="S39" s="337">
        <f>S37*1000000*S38/(S36*1000)</f>
        <v>0</v>
      </c>
      <c r="V39" s="393" t="s">
        <v>164</v>
      </c>
      <c r="W39" s="393"/>
      <c r="X39" s="337">
        <f>X37*1000000*X38/(X36*1000)</f>
        <v>17.574036807534558</v>
      </c>
      <c r="AA39" s="393" t="s">
        <v>167</v>
      </c>
      <c r="AB39" s="393"/>
      <c r="AC39" s="337">
        <f>AC37*1000000*AC38/(AC36*1000)</f>
        <v>54.441007169221002</v>
      </c>
      <c r="AF39" s="393" t="s">
        <v>149</v>
      </c>
      <c r="AG39" s="393"/>
      <c r="AH39" s="337">
        <f>AH37*1000000*AH38/(AH36*1000)</f>
        <v>31.427114949217941</v>
      </c>
      <c r="AK39" s="393" t="s">
        <v>167</v>
      </c>
      <c r="AL39" s="393"/>
      <c r="AM39" s="337">
        <f>AM37*1000000*AM38/(AM36*1000)</f>
        <v>24.740174248339812</v>
      </c>
      <c r="AP39" s="393" t="s">
        <v>169</v>
      </c>
      <c r="AQ39" s="393"/>
      <c r="AR39" s="337">
        <f>AR37*1000000*AR38/(AR36*1000)</f>
        <v>9.0939944302083777</v>
      </c>
      <c r="AU39" s="393" t="s">
        <v>170</v>
      </c>
      <c r="AV39" s="393"/>
      <c r="AW39" s="337">
        <f>AW37*1000000*AW38/(AW36*1000)</f>
        <v>12.45513744317196</v>
      </c>
      <c r="AZ39" s="393" t="s">
        <v>142</v>
      </c>
      <c r="BA39" s="393"/>
      <c r="BB39" s="337">
        <f>BB37*1000000*BB38/(BB36*1000)</f>
        <v>578.93401308399336</v>
      </c>
      <c r="BE39" s="393" t="s">
        <v>167</v>
      </c>
      <c r="BF39" s="393"/>
      <c r="BG39" s="337">
        <f>BG37*1000000*BG38/(BG36*1000)</f>
        <v>2.5355612781817829</v>
      </c>
      <c r="BJ39" s="392" t="s">
        <v>213</v>
      </c>
      <c r="BK39" s="393"/>
      <c r="BL39" s="337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>
      <c r="D42" s="152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61"/>
      <c r="BL48" s="161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61"/>
      <c r="BL49" s="161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61"/>
      <c r="BL50" s="161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61"/>
      <c r="BL51" s="161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7"/>
      <c r="N5" s="197"/>
      <c r="P5" s="197"/>
      <c r="R5" s="259"/>
      <c r="S5" s="118"/>
      <c r="T5" s="118"/>
      <c r="U5" s="118"/>
      <c r="V5" s="118"/>
      <c r="W5" s="118"/>
      <c r="X5" s="118"/>
      <c r="Y5" s="345"/>
      <c r="Z5" s="345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73"/>
      <c r="Q14" s="374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75"/>
      <c r="P15" s="373"/>
      <c r="Q15" s="374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69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49"/>
      <c r="AB18" s="263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69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82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82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76"/>
      <c r="D55" s="116" t="s">
        <v>65</v>
      </c>
      <c r="O55" s="262">
        <v>600</v>
      </c>
      <c r="P55" s="116" t="s">
        <v>32</v>
      </c>
    </row>
    <row r="56" spans="2:25">
      <c r="B56" s="85" t="s">
        <v>156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197"/>
    </row>
    <row r="58" spans="2:25">
      <c r="B58" s="85" t="s">
        <v>156</v>
      </c>
      <c r="C58" s="146"/>
      <c r="D58" s="116" t="s">
        <v>69</v>
      </c>
      <c r="K58" s="118"/>
      <c r="L58" s="37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78" t="s">
        <v>90</v>
      </c>
      <c r="L59" s="37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3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379"/>
      <c r="L60" s="379"/>
      <c r="M60" s="37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3"/>
      <c r="K61" s="379"/>
      <c r="L61" s="379"/>
      <c r="M61" s="379"/>
      <c r="N61" s="161"/>
      <c r="O61" s="379"/>
      <c r="R61" s="118"/>
      <c r="T61" s="118"/>
      <c r="U61" s="118"/>
      <c r="V61" s="118"/>
      <c r="W61" s="118"/>
      <c r="X61" s="118"/>
      <c r="Y61" s="118"/>
    </row>
    <row r="62" spans="2:25">
      <c r="C62" s="380">
        <v>5.4187805657582425E-2</v>
      </c>
      <c r="D62" s="116" t="s">
        <v>36</v>
      </c>
      <c r="E62" s="354"/>
      <c r="K62" s="272"/>
      <c r="L62" s="154"/>
      <c r="M62" s="154"/>
      <c r="O62" s="155"/>
    </row>
    <row r="63" spans="2:25">
      <c r="C63" s="381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7"/>
      <c r="N5" s="197"/>
      <c r="P5" s="197"/>
      <c r="R5" s="259"/>
      <c r="S5" s="118"/>
      <c r="T5" s="118"/>
      <c r="U5" s="118"/>
      <c r="V5" s="118"/>
      <c r="W5" s="118"/>
      <c r="X5" s="118"/>
      <c r="Y5" s="345"/>
      <c r="Z5" s="345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73"/>
      <c r="Q14" s="374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75"/>
      <c r="P15" s="373"/>
      <c r="Q15" s="374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4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49"/>
      <c r="AB18" s="263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>
        <v>1006.571</v>
      </c>
      <c r="D23" s="127">
        <f>C23*$C$62</f>
        <v>87.328316133532738</v>
      </c>
      <c r="E23" s="127">
        <f>12018.7080000009/549</f>
        <v>21.892000000001637</v>
      </c>
      <c r="F23" s="182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82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0.0867582278185371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135">
        <v>1006.571</v>
      </c>
      <c r="D55" s="116" t="s">
        <v>65</v>
      </c>
      <c r="O55" s="262">
        <v>549</v>
      </c>
      <c r="P55" s="116" t="s">
        <v>32</v>
      </c>
    </row>
    <row r="56" spans="2:25">
      <c r="B56" s="85" t="s">
        <v>200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197"/>
    </row>
    <row r="58" spans="2:25">
      <c r="B58" s="85" t="s">
        <v>200</v>
      </c>
      <c r="C58" s="146"/>
      <c r="D58" s="116" t="s">
        <v>69</v>
      </c>
      <c r="K58" s="118"/>
      <c r="L58" s="37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78" t="s">
        <v>90</v>
      </c>
      <c r="L59" s="37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3">
        <v>0</v>
      </c>
      <c r="C60" s="151"/>
      <c r="D60" s="116" t="s">
        <v>150</v>
      </c>
      <c r="K60" s="379"/>
      <c r="L60" s="379"/>
      <c r="M60" s="37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3"/>
      <c r="K61" s="379"/>
      <c r="L61" s="379"/>
      <c r="M61" s="379"/>
      <c r="N61" s="161"/>
      <c r="O61" s="379"/>
      <c r="R61" s="118"/>
      <c r="T61" s="118"/>
      <c r="U61" s="118"/>
      <c r="V61" s="118"/>
      <c r="W61" s="118"/>
      <c r="X61" s="118"/>
      <c r="Y61" s="118"/>
    </row>
    <row r="62" spans="2:25">
      <c r="C62" s="380">
        <v>8.6758227818537134E-2</v>
      </c>
      <c r="D62" s="116" t="s">
        <v>36</v>
      </c>
      <c r="E62" s="354"/>
      <c r="K62" s="272"/>
      <c r="L62" s="154"/>
      <c r="M62" s="154"/>
      <c r="O62" s="155"/>
    </row>
    <row r="63" spans="2:25">
      <c r="C63" s="381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197"/>
      <c r="O5" s="197"/>
      <c r="Q5" s="197"/>
      <c r="S5" s="259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0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73"/>
      <c r="R14" s="374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75"/>
      <c r="Q15" s="373"/>
      <c r="R15" s="374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55"/>
      <c r="G18" s="129"/>
      <c r="H18" s="127"/>
      <c r="I18" s="127"/>
      <c r="J18" s="129"/>
      <c r="K18" s="129"/>
      <c r="L18" s="127"/>
      <c r="M18" s="118"/>
      <c r="O18" s="116"/>
      <c r="Q18" s="36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55"/>
      <c r="G19" s="129"/>
      <c r="H19" s="127"/>
      <c r="I19" s="127"/>
      <c r="J19" s="129"/>
      <c r="K19" s="129"/>
      <c r="L19" s="127"/>
      <c r="M19" s="118"/>
      <c r="O19" s="116"/>
      <c r="Q19" s="369"/>
      <c r="R19" s="354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1417.9949999999999</v>
      </c>
      <c r="D20" s="127">
        <f>C20*$C$62</f>
        <v>98.965825152287621</v>
      </c>
      <c r="E20" s="146">
        <f>C56</f>
        <v>67.885445280087083</v>
      </c>
      <c r="F20" s="182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P23" s="116">
        <v>60.865259183673459</v>
      </c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P24" s="116">
        <v>65.265259183673464</v>
      </c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P25" s="116">
        <v>69.755259183673473</v>
      </c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P26" s="116">
        <v>74.345259183673477</v>
      </c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P27" s="116">
        <v>79.035259183673446</v>
      </c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P28" s="116">
        <v>83.835259183673458</v>
      </c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P29" s="116">
        <v>88.725259183673444</v>
      </c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P30" s="116">
        <v>93.725259183673472</v>
      </c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P31" s="116">
        <v>98.835259183673458</v>
      </c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P32" s="116">
        <v>104.05525918367346</v>
      </c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P33" s="116">
        <v>109.38525918367344</v>
      </c>
      <c r="Q33" s="129"/>
    </row>
    <row r="34" spans="2:17">
      <c r="B34" s="134">
        <f t="shared" si="0"/>
        <v>2040</v>
      </c>
      <c r="C34" s="135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P34" s="116">
        <v>114.8252591836735</v>
      </c>
      <c r="Q34" s="129"/>
    </row>
    <row r="35" spans="2:17">
      <c r="B35" s="134">
        <f t="shared" si="0"/>
        <v>2041</v>
      </c>
      <c r="C35" s="135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P35" s="116">
        <v>120.38525918367344</v>
      </c>
      <c r="Q35" s="129"/>
    </row>
    <row r="36" spans="2:17">
      <c r="B36" s="134">
        <f t="shared" si="0"/>
        <v>2042</v>
      </c>
      <c r="C36" s="135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P36" s="116">
        <v>126.06525918367345</v>
      </c>
      <c r="Q36" s="129"/>
    </row>
    <row r="37" spans="2:17">
      <c r="B37" s="134">
        <f t="shared" si="0"/>
        <v>2043</v>
      </c>
      <c r="C37" s="135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P37" s="116">
        <v>131.87525918367345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82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2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43" t="s">
        <v>177</v>
      </c>
      <c r="C55" s="376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43" t="s">
        <v>177</v>
      </c>
      <c r="C56" s="146">
        <f>8825.10788641132/130</f>
        <v>67.885445280087083</v>
      </c>
      <c r="D56" s="116" t="s">
        <v>68</v>
      </c>
    </row>
    <row r="57" spans="2:28" ht="24" customHeight="1">
      <c r="B57" s="85"/>
      <c r="C57" s="151"/>
      <c r="D57" s="116" t="s">
        <v>99</v>
      </c>
      <c r="R57" s="197"/>
    </row>
    <row r="58" spans="2:28">
      <c r="B58" s="343"/>
      <c r="C58" s="146"/>
      <c r="D58" s="116" t="s">
        <v>69</v>
      </c>
      <c r="L58" s="118"/>
      <c r="M58" s="37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78" t="s">
        <v>90</v>
      </c>
      <c r="M59" s="37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3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379"/>
      <c r="M60" s="379"/>
      <c r="N60" s="37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3"/>
      <c r="L61" s="379"/>
      <c r="M61" s="379"/>
      <c r="N61" s="379"/>
      <c r="O61" s="161"/>
      <c r="P61" s="379"/>
      <c r="S61" s="118"/>
      <c r="U61" s="118"/>
      <c r="V61" s="118"/>
      <c r="W61" s="118"/>
      <c r="X61" s="118"/>
      <c r="Y61" s="118"/>
      <c r="Z61" s="118"/>
    </row>
    <row r="62" spans="2:28">
      <c r="C62" s="380">
        <v>6.9792788516382376E-2</v>
      </c>
      <c r="D62" s="116" t="s">
        <v>36</v>
      </c>
      <c r="L62" s="272"/>
      <c r="M62" s="154"/>
      <c r="N62" s="154"/>
      <c r="P62" s="155"/>
    </row>
    <row r="63" spans="2:28">
      <c r="C63" s="381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35</vt:i4>
      </vt:variant>
    </vt:vector>
  </HeadingPairs>
  <TitlesOfParts>
    <vt:vector size="57" baseType="lpstr"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2022-11-11T00:57:04Z</dcterms:modified>
</cp:coreProperties>
</file>