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Websites\Pscweb\utilities\electric\23docs\2303515\"/>
    </mc:Choice>
  </mc:AlternateContent>
  <bookViews>
    <workbookView xWindow="-120" yWindow="-120" windowWidth="29040" windowHeight="15840" firstSheet="1" activeTab="1"/>
  </bookViews>
  <sheets>
    <sheet name="Index" sheetId="1" r:id="rId1"/>
    <sheet name="RMP_(SEM-1)" sheetId="2" r:id="rId2"/>
    <sheet name="RMP_(SEM-2)" sheetId="3" r:id="rId3"/>
    <sheet name="Page 2.1" sheetId="4" r:id="rId4"/>
    <sheet name="Page 2.2" sheetId="5" r:id="rId5"/>
  </sheets>
  <externalReferences>
    <externalReference r:id="rId6"/>
    <externalReference r:id="rId7"/>
    <externalReference r:id="rId8"/>
    <externalReference r:id="rId9"/>
    <externalReference r:id="rId10"/>
    <externalReference r:id="rId11"/>
    <externalReference r:id="rId12"/>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localSheetId="0" hidden="1">{"PRINT",#N/A,TRUE,"APPA";"PRINT",#N/A,TRUE,"APS";"PRINT",#N/A,TRUE,"BHPL";"PRINT",#N/A,TRUE,"BHPL2";"PRINT",#N/A,TRUE,"CDWR";"PRINT",#N/A,TRUE,"EWEB";"PRINT",#N/A,TRUE,"LADWP";"PRINT",#N/A,TRUE,"NEVBASE"}</definedName>
    <definedName name="___j1" localSheetId="3"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0"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0"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0"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0"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0" hidden="1">{#N/A,#N/A,FALSE,"Summary";#N/A,#N/A,FALSE,"SmPlants";#N/A,#N/A,FALSE,"Utah";#N/A,#N/A,FALSE,"Idaho";#N/A,#N/A,FALSE,"Lewis River";#N/A,#N/A,FALSE,"NrthUmpq";#N/A,#N/A,FALSE,"KlamRog"}</definedName>
    <definedName name="___OM1" localSheetId="3"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0" hidden="1">[1]Inputs!#REF!</definedName>
    <definedName name="__123Graph_A" localSheetId="3" hidden="1">[2]Inputs!#REF!</definedName>
    <definedName name="__123Graph_A" localSheetId="1" hidden="1">[2]Inputs!#REF!</definedName>
    <definedName name="__123Graph_A" localSheetId="2" hidden="1">[2]Inputs!#REF!</definedName>
    <definedName name="__123Graph_A" hidden="1">[2]Inputs!#REF!</definedName>
    <definedName name="__123Graph_B" localSheetId="0" hidden="1">[1]Inputs!#REF!</definedName>
    <definedName name="__123Graph_B" localSheetId="3" hidden="1">[2]Inputs!#REF!</definedName>
    <definedName name="__123Graph_B" localSheetId="1" hidden="1">[2]Inputs!#REF!</definedName>
    <definedName name="__123Graph_B" localSheetId="2" hidden="1">[2]Inputs!#REF!</definedName>
    <definedName name="__123Graph_B" hidden="1">[2]Inputs!#REF!</definedName>
    <definedName name="__123Graph_D" localSheetId="0" hidden="1">[1]Inputs!#REF!</definedName>
    <definedName name="__123Graph_D" localSheetId="3" hidden="1">[2]Inputs!#REF!</definedName>
    <definedName name="__123Graph_D" localSheetId="1" hidden="1">[2]Inputs!#REF!</definedName>
    <definedName name="__123Graph_D" localSheetId="2" hidden="1">[2]Inputs!#REF!</definedName>
    <definedName name="__123Graph_D" hidden="1">[2]Inputs!#REF!</definedName>
    <definedName name="__123Graph_E" localSheetId="0" hidden="1">[3]Input!$E$22:$E$37</definedName>
    <definedName name="__123Graph_E" hidden="1">[4]Input!$E$22:$E$37</definedName>
    <definedName name="__123Graph_F" localSheetId="0" hidden="1">[3]Input!$D$22:$D$37</definedName>
    <definedName name="__123Graph_F" hidden="1">[4]Input!$D$22:$D$37</definedName>
    <definedName name="__j1" localSheetId="0" hidden="1">{"PRINT",#N/A,TRUE,"APPA";"PRINT",#N/A,TRUE,"APS";"PRINT",#N/A,TRUE,"BHPL";"PRINT",#N/A,TRUE,"BHPL2";"PRINT",#N/A,TRUE,"CDWR";"PRINT",#N/A,TRUE,"EWEB";"PRINT",#N/A,TRUE,"LADWP";"PRINT",#N/A,TRUE,"NEVBASE"}</definedName>
    <definedName name="__j1" localSheetId="3"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localSheetId="0" hidden="1">#REF!</definedName>
    <definedName name="_Fill" localSheetId="3" hidden="1">#REF!</definedName>
    <definedName name="_Fill" localSheetId="1" hidden="1">#REF!</definedName>
    <definedName name="_Fill" localSheetId="2" hidden="1">#REF!</definedName>
    <definedName name="_Fill" hidden="1">#REF!</definedName>
    <definedName name="_xlnm._FilterDatabase" localSheetId="0" hidden="1">#REF!</definedName>
    <definedName name="_xlnm._FilterDatabase" localSheetId="3" hidden="1">#REF!</definedName>
    <definedName name="_xlnm._FilterDatabase" localSheetId="1" hidden="1">#REF!</definedName>
    <definedName name="_xlnm._FilterDatabase" localSheetId="2" hidden="1">#REF!</definedName>
    <definedName name="_xlnm._FilterDatabase" hidden="1">#REF!</definedName>
    <definedName name="_j1" localSheetId="0" hidden="1">{"PRINT",#N/A,TRUE,"APPA";"PRINT",#N/A,TRUE,"APS";"PRINT",#N/A,TRUE,"BHPL";"PRINT",#N/A,TRUE,"BHPL2";"PRINT",#N/A,TRUE,"CDWR";"PRINT",#N/A,TRUE,"EWEB";"PRINT",#N/A,TRUE,"LADWP";"PRINT",#N/A,TRUE,"NEVBASE"}</definedName>
    <definedName name="_j1" localSheetId="3"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localSheetId="3" hidden="1">#REF!</definedName>
    <definedName name="_Key1" localSheetId="1" hidden="1">#REF!</definedName>
    <definedName name="_Key1" localSheetId="2" hidden="1">#REF!</definedName>
    <definedName name="_Key1" hidden="1">#REF!</definedName>
    <definedName name="_Key2" localSheetId="0" hidden="1">#REF!</definedName>
    <definedName name="_Key2" localSheetId="3" hidden="1">#REF!</definedName>
    <definedName name="_Key2" localSheetId="1" hidden="1">#REF!</definedName>
    <definedName name="_Key2" localSheetId="2" hidden="1">#REF!</definedName>
    <definedName name="_Key2" hidden="1">#REF!</definedName>
    <definedName name="_OM1" localSheetId="0" hidden="1">{#N/A,#N/A,FALSE,"Summary";#N/A,#N/A,FALSE,"SmPlants";#N/A,#N/A,FALSE,"Utah";#N/A,#N/A,FALSE,"Idaho";#N/A,#N/A,FALSE,"Lewis River";#N/A,#N/A,FALSE,"NrthUmpq";#N/A,#N/A,FALSE,"KlamRog"}</definedName>
    <definedName name="_OM1" localSheetId="3"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localSheetId="0" hidden="1">0</definedName>
    <definedName name="_Order2" hidden="1">0</definedName>
    <definedName name="_Sort" localSheetId="0" hidden="1">#REF!</definedName>
    <definedName name="_Sort" localSheetId="3" hidden="1">#REF!</definedName>
    <definedName name="_Sort" localSheetId="1" hidden="1">#REF!</definedName>
    <definedName name="_Sort" localSheetId="2" hidden="1">#REF!</definedName>
    <definedName name="_Sort" hidden="1">#REF!</definedName>
    <definedName name="a" localSheetId="0" hidden="1">#REF!</definedName>
    <definedName name="Access_Button1" hidden="1">"Headcount_Workbook_Schedules_List"</definedName>
    <definedName name="AccessDatabase" hidden="1">"P:\HR\SharonPlummer\Headcount Workbook.mdb"</definedName>
    <definedName name="anscount" hidden="1">1</definedName>
    <definedName name="asa" localSheetId="0" hidden="1">{"Factors Pages 1-2",#N/A,FALSE,"Factors";"Factors Page 3",#N/A,FALSE,"Factors";"Factors Page 4",#N/A,FALSE,"Factors";"Factors Page 5",#N/A,FALSE,"Factors";"Factors Pages 8-27",#N/A,FALSE,"Factors"}</definedName>
    <definedName name="asa" localSheetId="3"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3"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hidden="1">{#N/A,#N/A,FALSE,"Summary";#N/A,#N/A,FALSE,"SmPlants";#N/A,#N/A,FALSE,"Utah";#N/A,#N/A,FALSE,"Idaho";#N/A,#N/A,FALSE,"Lewis River";#N/A,#N/A,FALSE,"NrthUmpq";#N/A,#N/A,FALSE,"KlamRog"}</definedName>
    <definedName name="cgf" localSheetId="0" hidden="1">{"PRINT",#N/A,TRUE,"APPA";"PRINT",#N/A,TRUE,"APS";"PRINT",#N/A,TRUE,"BHPL";"PRINT",#N/A,TRUE,"BHPL2";"PRINT",#N/A,TRUE,"CDWR";"PRINT",#N/A,TRUE,"EWEB";"PRINT",#N/A,TRUE,"LADWP";"PRINT",#N/A,TRUE,"NEVBASE"}</definedName>
    <definedName name="cgf" localSheetId="3"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0" hidden="1">{"YTD-Total",#N/A,TRUE,"Provision";"YTD-Utility",#N/A,TRUE,"Prov Utility";"YTD-NonUtility",#N/A,TRUE,"Prov NonUtility"}</definedName>
    <definedName name="combined1" localSheetId="3" hidden="1">{"YTD-Total",#N/A,TRUE,"Provision";"YTD-Utility",#N/A,TRUE,"Prov Utility";"YTD-NonUtility",#N/A,TRUE,"Prov NonUtility"}</definedName>
    <definedName name="combined1" hidden="1">{"YTD-Total",#N/A,TRUE,"Provision";"YTD-Utility",#N/A,TRUE,"Prov Utility";"YTD-NonUtility",#N/A,TRUE,"Prov NonUtility"}</definedName>
    <definedName name="DUDE" localSheetId="0" hidden="1">#REF!</definedName>
    <definedName name="DUDE" localSheetId="3" hidden="1">#REF!</definedName>
    <definedName name="DUDE" localSheetId="1" hidden="1">#REF!</definedName>
    <definedName name="DUDE" localSheetId="2" hidden="1">#REF!</definedName>
    <definedName name="DUDE" hidden="1">#REF!</definedName>
    <definedName name="enrgy" localSheetId="0"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3"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hidden="1">{#N/A,#N/A,FALSE,"Loans";#N/A,#N/A,FALSE,"Program Costs";#N/A,#N/A,FALSE,"Measures";#N/A,#N/A,FALSE,"Net Lost Rev";#N/A,#N/A,FALSE,"Incentive"}</definedName>
    <definedName name="foo" localSheetId="0" hidden="1">{#N/A,#N/A,FALSE,"Bgt";#N/A,#N/A,FALSE,"Act";#N/A,#N/A,FALSE,"Chrt Data";#N/A,#N/A,FALSE,"Bus Result";#N/A,#N/A,FALSE,"Main Charts";#N/A,#N/A,FALSE,"P&amp;L Ttl";#N/A,#N/A,FALSE,"P&amp;L C_Ttl";#N/A,#N/A,FALSE,"P&amp;L C_Oct";#N/A,#N/A,FALSE,"P&amp;L C_Sep";#N/A,#N/A,FALSE,"1996";#N/A,#N/A,FALSE,"Data"}</definedName>
    <definedName name="foo" localSheetId="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0" hidden="1">{"PRINT",#N/A,TRUE,"APPA";"PRINT",#N/A,TRUE,"APS";"PRINT",#N/A,TRUE,"BHPL";"PRINT",#N/A,TRUE,"BHPL2";"PRINT",#N/A,TRUE,"CDWR";"PRINT",#N/A,TRUE,"EWEB";"PRINT",#N/A,TRUE,"LADWP";"PRINT",#N/A,TRUE,"NEVBASE"}</definedName>
    <definedName name="friend" localSheetId="3"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0" hidden="1">{#N/A,#N/A,FALSE,"Summary";#N/A,#N/A,FALSE,"SmPlants";#N/A,#N/A,FALSE,"Utah";#N/A,#N/A,FALSE,"Idaho";#N/A,#N/A,FALSE,"Lewis River";#N/A,#N/A,FALSE,"NrthUmpq";#N/A,#N/A,FALSE,"KlamRog"}</definedName>
    <definedName name="HROptim" localSheetId="3"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0"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0" hidden="1">{"PRINT",#N/A,TRUE,"APPA";"PRINT",#N/A,TRUE,"APS";"PRINT",#N/A,TRUE,"BHPL";"PRINT",#N/A,TRUE,"BHPL2";"PRINT",#N/A,TRUE,"CDWR";"PRINT",#N/A,TRUE,"EWEB";"PRINT",#N/A,TRUE,"LADWP";"PRINT",#N/A,TRUE,"NEVBASE"}</definedName>
    <definedName name="junk" localSheetId="3"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0" hidden="1">{#N/A,#N/A,FALSE,"Actual";#N/A,#N/A,FALSE,"Normalized";#N/A,#N/A,FALSE,"Electric Actual";#N/A,#N/A,FALSE,"Electric Normalized"}</definedName>
    <definedName name="Master" localSheetId="3" hidden="1">{#N/A,#N/A,FALSE,"Actual";#N/A,#N/A,FALSE,"Normalized";#N/A,#N/A,FALSE,"Electric Actual";#N/A,#N/A,FALSE,"Electric Normalized"}</definedName>
    <definedName name="Master" hidden="1">{#N/A,#N/A,FALSE,"Actual";#N/A,#N/A,FALSE,"Normalized";#N/A,#N/A,FALSE,"Electric Actual";#N/A,#N/A,FALSE,"Electric Normalized"}</definedName>
    <definedName name="mmm" localSheetId="0" hidden="1">{"PRINT",#N/A,TRUE,"APPA";"PRINT",#N/A,TRUE,"APS";"PRINT",#N/A,TRUE,"BHPL";"PRINT",#N/A,TRUE,"BHPL2";"PRINT",#N/A,TRUE,"CDWR";"PRINT",#N/A,TRUE,"EWEB";"PRINT",#N/A,TRUE,"LADWP";"PRINT",#N/A,TRUE,"NEVBASE"}</definedName>
    <definedName name="mmm" localSheetId="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0" hidden="1">{#N/A,#N/A,TRUE,"Section6";#N/A,#N/A,TRUE,"OHcycles";#N/A,#N/A,TRUE,"OHtiming";#N/A,#N/A,TRUE,"OHcosts";#N/A,#N/A,TRUE,"GTdegradation";#N/A,#N/A,TRUE,"GTperformance";#N/A,#N/A,TRUE,"GraphEquip"}</definedName>
    <definedName name="new" localSheetId="3"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OHSch10YR" localSheetId="0" hidden="1">{#N/A,#N/A,FALSE,"Summary";#N/A,#N/A,FALSE,"SmPlants";#N/A,#N/A,FALSE,"Utah";#N/A,#N/A,FALSE,"Idaho";#N/A,#N/A,FALSE,"Lewis River";#N/A,#N/A,FALSE,"NrthUmpq";#N/A,#N/A,FALSE,"KlamRog"}</definedName>
    <definedName name="OHSch10YR" localSheetId="3"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0"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0" hidden="1">{"Factors Pages 1-2",#N/A,FALSE,"Factors";"Factors Page 3",#N/A,FALSE,"Factors";"Factors Page 4",#N/A,FALSE,"Factors";"Factors Page 5",#N/A,FALSE,"Factors";"Factors Pages 8-27",#N/A,FALSE,"Factors"}</definedName>
    <definedName name="others" localSheetId="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0" hidden="1">{#N/A,#N/A,FALSE,"Bgt";#N/A,#N/A,FALSE,"Act";#N/A,#N/A,FALSE,"Chrt Data";#N/A,#N/A,FALSE,"Bus Result";#N/A,#N/A,FALSE,"Main Charts";#N/A,#N/A,FALSE,"P&amp;L Ttl";#N/A,#N/A,FALSE,"P&amp;L C_Ttl";#N/A,#N/A,FALSE,"P&amp;L C_Oct";#N/A,#N/A,FALSE,"P&amp;L C_Sep";#N/A,#N/A,FALSE,"1996";#N/A,#N/A,FALSE,"Data"}</definedName>
    <definedName name="pete" localSheetId="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[5]Inputs!#REF!</definedName>
    <definedName name="PricingInfo" localSheetId="3" hidden="1">[1]Inputs!#REF!</definedName>
    <definedName name="PricingInfo" localSheetId="1" hidden="1">[1]Inputs!#REF!</definedName>
    <definedName name="PricingInfo" localSheetId="2" hidden="1">[1]Inputs!#REF!</definedName>
    <definedName name="PricingInfo" hidden="1">[1]Inputs!#REF!</definedName>
    <definedName name="_xlnm.Print_Area" localSheetId="3">'Page 2.1'!$A$1:$M$67</definedName>
    <definedName name="_xlnm.Print_Area" localSheetId="1">'RMP_(SEM-1)'!$A$1:$G$22</definedName>
    <definedName name="_xlnm.Print_Area" localSheetId="2">'RMP_(SEM-2)'!$A$1:$P$82</definedName>
    <definedName name="retail" localSheetId="0"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0" hidden="1">{"PRINT",#N/A,TRUE,"APPA";"PRINT",#N/A,TRUE,"APS";"PRINT",#N/A,TRUE,"BHPL";"PRINT",#N/A,TRUE,"BHPL2";"PRINT",#N/A,TRUE,"CDWR";"PRINT",#N/A,TRUE,"EWEB";"PRINT",#N/A,TRUE,"LADWP";"PRINT",#N/A,TRUE,"NEVBASE"}</definedName>
    <definedName name="rrr" localSheetId="3"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0"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localSheetId="0" hidden="1">{#N/A,#N/A,FALSE,"Actual";#N/A,#N/A,FALSE,"Normalized";#N/A,#N/A,FALSE,"Electric Actual";#N/A,#N/A,FALSE,"Electric Normalized"}</definedName>
    <definedName name="spippw" localSheetId="3" hidden="1">{#N/A,#N/A,FALSE,"Actual";#N/A,#N/A,FALSE,"Normalized";#N/A,#N/A,FALSE,"Electric Actual";#N/A,#N/A,FALSE,"Electric Normalized"}</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localSheetId="0" hidden="1">{"YTD-Total",#N/A,FALSE,"Provision"}</definedName>
    <definedName name="standard1" localSheetId="3"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0" hidden="1">[6]Inputs!#REF!</definedName>
    <definedName name="w" localSheetId="3" hidden="1">[7]Inputs!#REF!</definedName>
    <definedName name="w" localSheetId="1" hidden="1">[7]Inputs!#REF!</definedName>
    <definedName name="w" localSheetId="2" hidden="1">[7]Inputs!#REF!</definedName>
    <definedName name="w" hidden="1">[7]Inputs!#REF!</definedName>
    <definedName name="wrn.1996._.Hydro._.5._.Year._.Forecast._.Budget." localSheetId="0" hidden="1">{#N/A,#N/A,FALSE,"Summary";#N/A,#N/A,FALSE,"SmPlants";#N/A,#N/A,FALSE,"Utah";#N/A,#N/A,FALSE,"Idaho";#N/A,#N/A,FALSE,"Lewis River";#N/A,#N/A,FALSE,"NrthUmpq";#N/A,#N/A,FALSE,"KlamRog"}</definedName>
    <definedName name="wrn.1996._.Hydro._.5._.Year._.Forecast._.Budget." localSheetId="3"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0" hidden="1">{"Page 3.4.1",#N/A,FALSE,"Totals";"Page 3.4.2",#N/A,FALSE,"Totals"}</definedName>
    <definedName name="wrn.Adj._.Back_Up." localSheetId="3"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localSheetId="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localSheetId="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Sheet";#N/A,#N/A,FALSE,"T-Accounts";#N/A,#N/A,FALSE,"Expense Detail 10 01 to 3  02";#N/A,#N/A,FALSE,"Expense Detail 4 01 to 9 01";#N/A,#N/A,FALSE,"Three Factor % 3  2002"}</definedName>
    <definedName name="wrn.All._.Pages." localSheetId="3"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BUS._.RPT." localSheetId="0" hidden="1">{#N/A,#N/A,FALSE,"P&amp;L Ttl";#N/A,#N/A,FALSE,"P&amp;L C_Ttl New";#N/A,#N/A,FALSE,"Bus Res";#N/A,#N/A,FALSE,"Chrts";#N/A,#N/A,FALSE,"pcf";#N/A,#N/A,FALSE,"pcr ";#N/A,#N/A,FALSE,"Exp Stmt ";#N/A,#N/A,FALSE,"Exp Stmt BU";#N/A,#N/A,FALSE,"Cap";#N/A,#N/A,FALSE,"IT Ytd"}</definedName>
    <definedName name="wrn.BUS._.RPT." localSheetId="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localSheetId="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localSheetId="3"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0" hidden="1">{#N/A,#N/A,TRUE,"Cover";#N/A,#N/A,TRUE,"Contents"}</definedName>
    <definedName name="wrn.Cover." localSheetId="3" hidden="1">{#N/A,#N/A,TRUE,"Cover";#N/A,#N/A,TRUE,"Contents"}</definedName>
    <definedName name="wrn.Cover." hidden="1">{#N/A,#N/A,TRUE,"Cover";#N/A,#N/A,TRUE,"Contents"}</definedName>
    <definedName name="wrn.CoverContents." localSheetId="0" hidden="1">{#N/A,#N/A,FALSE,"Cover";#N/A,#N/A,FALSE,"Contents"}</definedName>
    <definedName name="wrn.CoverContents." localSheetId="3" hidden="1">{#N/A,#N/A,FALSE,"Cover";#N/A,#N/A,FALSE,"Contents"}</definedName>
    <definedName name="wrn.CoverContents." hidden="1">{#N/A,#N/A,FALSE,"Cover";#N/A,#N/A,FALSE,"Contents"}</definedName>
    <definedName name="wrn.El._.Paso._.Offshore." localSheetId="0" hidden="1">{#N/A,#N/A,TRUE,"EPEsum";#N/A,#N/A,TRUE,"Approve1";#N/A,#N/A,TRUE,"Approve2";#N/A,#N/A,TRUE,"Approve3";#N/A,#N/A,TRUE,"EPE1";#N/A,#N/A,TRUE,"EPE2";#N/A,#N/A,TRUE,"CashCompare";#N/A,#N/A,TRUE,"XIRR";#N/A,#N/A,TRUE,"EPEloan";#N/A,#N/A,TRUE,"GraphEPE";#N/A,#N/A,TRUE,"OrgChart";#N/A,#N/A,TRUE,"SA08B"}</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0" hidden="1">{"FullView",#N/A,FALSE,"Consltd-For contngcy"}</definedName>
    <definedName name="wrn.Full._.View." localSheetId="3"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0" hidden="1">{"Open issues Only",#N/A,FALSE,"TIMELINE"}</definedName>
    <definedName name="wrn.Open._.Issues._.Only." localSheetId="3"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0" hidden="1">{#N/A,#N/A,FALSE,"Consltd-For contngcy";"PaymentView",#N/A,FALSE,"Consltd-For contngcy"}</definedName>
    <definedName name="wrn.Payment._.View." localSheetId="3"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localSheetId="3" hidden="1">{"PFS recon view",#N/A,FALSE,"Hyperion Proof"}</definedName>
    <definedName name="wrn.PFSreconview." hidden="1">{"PFS recon view",#N/A,FALSE,"Hyperion Proof"}</definedName>
    <definedName name="wrn.PGHCreconview." localSheetId="0" hidden="1">{"PGHC recon view",#N/A,FALSE,"Hyperion Proof"}</definedName>
    <definedName name="wrn.PGHCreconview." localSheetId="3"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localSheetId="3" hidden="1">{#N/A,#N/A,FALSE,"PHI MTD";#N/A,#N/A,FALSE,"PHI YTD"}</definedName>
    <definedName name="wrn.PHI._.all._.other._.months." hidden="1">{#N/A,#N/A,FALSE,"PHI MTD";#N/A,#N/A,FALSE,"PHI YTD"}</definedName>
    <definedName name="wrn.PHI._.only." localSheetId="0" hidden="1">{#N/A,#N/A,FALSE,"PHI"}</definedName>
    <definedName name="wrn.PHI._.only." localSheetId="3" hidden="1">{#N/A,#N/A,FALSE,"PHI"}</definedName>
    <definedName name="wrn.PHI._.only." hidden="1">{#N/A,#N/A,FALSE,"PHI"}</definedName>
    <definedName name="wrn.PHI._.Sept._.Dec._.March." localSheetId="0" hidden="1">{#N/A,#N/A,FALSE,"PHI MTD";#N/A,#N/A,FALSE,"PHI QTD";#N/A,#N/A,FALSE,"PHI YTD"}</definedName>
    <definedName name="wrn.PHI._.Sept._.Dec._.March." localSheetId="3"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localSheetId="3" hidden="1">{"PPM Co Code View",#N/A,FALSE,"Comp Codes"}</definedName>
    <definedName name="wrn.PPMCoCodeView." hidden="1">{"PPM Co Code View",#N/A,FALSE,"Comp Codes"}</definedName>
    <definedName name="wrn.PPMreconview." localSheetId="0" hidden="1">{"PPM Recon View",#N/A,FALSE,"Hyperion Proof"}</definedName>
    <definedName name="wrn.PPMreconview." localSheetId="3" hidden="1">{"PPM Recon View",#N/A,FALSE,"Hyperion Proof"}</definedName>
    <definedName name="wrn.PPMreconview." hidden="1">{"PPM Recon View",#N/A,FALSE,"Hyperion Proof"}</definedName>
    <definedName name="wrn.PRINT._.SOURCE._.DATA." localSheetId="3" hidden="1">{"DATA_SET",#N/A,FALSE,"HOURLY SPREAD"}</definedName>
    <definedName name="wrn.PRINT._.SOURCE._.DATA." hidden="1">{"DATA_SET",#N/A,FALSE,"HOURLY SPREAD"}</definedName>
    <definedName name="wrn.PrintHistory." localSheetId="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0" hidden="1">{#N/A,#N/A,FALSE,"Cover";#N/A,#N/A,FALSE,"ProjectSelector";#N/A,#N/A,FALSE,"ProjectTable";#N/A,#N/A,FALSE,"SanGorgonio";#N/A,#N/A,FALSE,"Tehachapi";#N/A,#N/A,FALSE,"Results";#N/A,#N/A,FALSE,"ReplaceForecast"}</definedName>
    <definedName name="wrn.PrintOther." localSheetId="3"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0" hidden="1">{"Electric Only",#N/A,FALSE,"Hyperion Proof"}</definedName>
    <definedName name="wrn.ProofElectricOnly." localSheetId="3" hidden="1">{"Electric Only",#N/A,FALSE,"Hyperion Proof"}</definedName>
    <definedName name="wrn.ProofElectricOnly." hidden="1">{"Electric Only",#N/A,FALSE,"Hyperion Proof"}</definedName>
    <definedName name="wrn.ProofTotal." localSheetId="0" hidden="1">{"Proof Total",#N/A,FALSE,"Hyperion Proof"}</definedName>
    <definedName name="wrn.ProofTotal." localSheetId="3" hidden="1">{"Proof Total",#N/A,FALSE,"Hyperion Proof"}</definedName>
    <definedName name="wrn.ProofTotal." hidden="1">{"Proof Total",#N/A,FALSE,"Hyperion Proof"}</definedName>
    <definedName name="wrn.Reformat._.only." localSheetId="0" hidden="1">{#N/A,#N/A,FALSE,"Dec 1999 mapping"}</definedName>
    <definedName name="wrn.Reformat._.only." localSheetId="3"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0" hidden="1">{#N/A,#N/A,TRUE,"Section1";"SavingsTop",#N/A,TRUE,"SumSavings";#N/A,#N/A,TRUE,"GraphSum";"SavingsAll",#N/A,TRUE,"SumSavings";#N/A,#N/A,TRUE,"Inputs";#N/A,#N/A,TRUE,"Scenarios";#N/A,#N/A,TRUE,"LineLoss";#N/A,#N/A,TRUE,"Summary";#N/A,#N/A,TRUE,"TermSummary";#N/A,#N/A,TRUE,"NetRates";#N/A,#N/A,TRUE,"PPAtypes"}</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0" hidden="1">{#N/A,#N/A,TRUE,"Section1";#N/A,#N/A,TRUE,"SumF";#N/A,#N/A,TRUE,"FigExchange";#N/A,#N/A,TRUE,"Escalation";#N/A,#N/A,TRUE,"GraphEscalate";#N/A,#N/A,TRUE,"Scenarios"}</definedName>
    <definedName name="wrn.Section1Summaries." localSheetId="3"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0" hidden="1">{#N/A,#N/A,TRUE,"Section2";#N/A,#N/A,TRUE,"OverPymt";#N/A,#N/A,TRUE,"Energy";#N/A,#N/A,TRUE,"EnergyDiff1";#N/A,#N/A,TRUE,"EnergyDiff2";#N/A,#N/A,TRUE,"CapPerformance";#N/A,#N/A,TRUE,"BonusPerformance";#N/A,#N/A,TRUE,"BonusFormula";#N/A,#N/A,TRUE,"GraphPymt"}</definedName>
    <definedName name="wrn.Section2." localSheetId="3"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0" hidden="1">{#N/A,#N/A,TRUE,"Section2";#N/A,#N/A,TRUE,"TPCestimate";#N/A,#N/A,TRUE,"SumTPC";#N/A,#N/A,TRUE,"ConstrLoan";#N/A,#N/A,TRUE,"FigBalance";#N/A,#N/A,TRUE,"DEV27air";#N/A,#N/A,TRUE,"Graph27air";#N/A,#N/A,TRUE,"PreOp"}</definedName>
    <definedName name="wrn.Section2TotalProjectCost." localSheetId="3"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0" hidden="1">{#N/A,#N/A,TRUE,"Section3";#N/A,#N/A,TRUE,"BaseYear";#N/A,#N/A,TRUE,"GenHistory";#N/A,#N/A,TRUE,"GenGraph";#N/A,#N/A,TRUE,"MonthCompare";#N/A,#N/A,TRUE,"HourHistory";#N/A,#N/A,TRUE,"PayHistory";#N/A,#N/A,TRUE,"PayGraphs";#N/A,#N/A,TRUE,"ReplaceForecast";#N/A,#N/A,TRUE,"PPAforecast";#N/A,#N/A,TRUE,"OLSier"}</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0" hidden="1">{#N/A,#N/A,TRUE,"Section3";#N/A,#N/A,TRUE,"Tax";#N/A,#N/A,TRUE,"Dividend";#N/A,#N/A,TRUE,"Depreciation";#N/A,#N/A,TRUE,"Balance";#N/A,#N/A,TRUE,"SaleGain";#N/A,#N/A,TRUE,"RevExp";#N/A,#N/A,TRUE,"PIG";#N/A,#N/A,TRUE,"GraphPlant"}</definedName>
    <definedName name="wrn.Section3PowerPlantCompany." localSheetId="3"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0" hidden="1">{#N/A,#N/A,TRUE,"Section4";#N/A,#N/A,TRUE,"Tariffwksht";#N/A,#N/A,TRUE,"TariffINFO";#N/A,#N/A,TRUE,"Generation";#N/A,#N/A,TRUE,"PPAsum";#N/A,#N/A,TRUE,"PPApayments";#N/A,#N/A,TRUE,"RevExp";#N/A,#N/A,TRUE,"GraphRevenue";#N/A,#N/A,TRUE,"GraphRevExp"}</definedName>
    <definedName name="wrn.Section4." localSheetId="3"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0" hidden="1">{#N/A,#N/A,TRUE,"Section4";#N/A,#N/A,TRUE,"PPAtable";#N/A,#N/A,TRUE,"RFPtable";#N/A,#N/A,TRUE,"RevCap";#N/A,#N/A,TRUE,"RevOther";#N/A,#N/A,TRUE,"RevGas";#N/A,#N/A,TRUE,"GraphRev"}</definedName>
    <definedName name="wrn.Section4Revenue." localSheetId="3"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0" hidden="1">{#N/A,#N/A,TRUE,"Section5";#N/A,#N/A,TRUE,"Coal";#N/A,#N/A,TRUE,"Fuel";#N/A,#N/A,TRUE,"OMwksht";#N/A,#N/A,TRUE,"VOM";#N/A,#N/A,TRUE,"FOM";#N/A,#N/A,TRUE,"Debt";#N/A,#N/A,TRUE,"LoanSchedules";#N/A,#N/A,TRUE,"GraphExp";#N/A,#N/A,TRUE,"Conversions"}</definedName>
    <definedName name="wrn.Section5." localSheetId="3"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0" hidden="1">{#N/A,#N/A,TRUE,"Section6";#N/A,#N/A,TRUE,"OHcycles";#N/A,#N/A,TRUE,"OHtiming";#N/A,#N/A,TRUE,"OHcosts";#N/A,#N/A,TRUE,"GTdegradation";#N/A,#N/A,TRUE,"GTperformance";#N/A,#N/A,TRUE,"GraphEquip"}</definedName>
    <definedName name="wrn.Section6Equipment." localSheetId="3"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0" hidden="1">{#N/A,#N/A,TRUE,"Section7";#N/A,#N/A,TRUE,"DebtService";#N/A,#N/A,TRUE,"LoanSchedules";#N/A,#N/A,TRUE,"GraphDebt"}</definedName>
    <definedName name="wrn.Section7DebtService." localSheetId="3" hidden="1">{#N/A,#N/A,TRUE,"Section7";#N/A,#N/A,TRUE,"DebtService";#N/A,#N/A,TRUE,"LoanSchedules";#N/A,#N/A,TRUE,"GraphDebt"}</definedName>
    <definedName name="wrn.Section7DebtService." hidden="1">{#N/A,#N/A,TRUE,"Section7";#N/A,#N/A,TRUE,"DebtService";#N/A,#N/A,TRUE,"LoanSchedules";#N/A,#N/A,TRUE,"GraphDebt"}</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0" hidden="1">{#N/A,#N/A,TRUE,"Cover";#N/A,#N/A,TRUE,"Contents";#N/A,#N/A,TRUE,"Organization";#N/A,#N/A,TRUE,"SumSponsor";#N/A,#N/A,TRUE,"Plant1";#N/A,#N/A,TRUE,"Plant2";#N/A,#N/A,TRUE,"Sponsors";#N/A,#N/A,TRUE,"ElPaso1";#N/A,#N/A,TRUE,"GraphSponsor"}</definedName>
    <definedName name="wrn.SponsorSection." localSheetId="3"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0" hidden="1">{"YTD-Total",#N/A,FALSE,"Provision"}</definedName>
    <definedName name="wrn.Standard." localSheetId="3" hidden="1">{"YTD-Total",#N/A,FALSE,"Provision"}</definedName>
    <definedName name="wrn.Standard." hidden="1">{"YTD-Total",#N/A,FALSE,"Provision"}</definedName>
    <definedName name="wrn.Standard._.NonUtility._.Only." localSheetId="0" hidden="1">{"YTD-NonUtility",#N/A,FALSE,"Prov NonUtility"}</definedName>
    <definedName name="wrn.Standard._.NonUtility._.Only." localSheetId="3"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localSheetId="3" hidden="1">{"YTD-Utility",#N/A,FALSE,"Prov Utility"}</definedName>
    <definedName name="wrn.Standard._.Utility._.Only." hidden="1">{"YTD-Utility",#N/A,FALSE,"Prov Utility"}</definedName>
    <definedName name="wrn.Summary." localSheetId="0" hidden="1">{"Table A",#N/A,FALSE,"Summary";"Table D",#N/A,FALSE,"Summary";"Table E",#N/A,FALSE,"Summary"}</definedName>
    <definedName name="wrn.Summary." localSheetId="3" hidden="1">{"Table A",#N/A,FALSE,"Summary";"Table D",#N/A,FALSE,"Summary";"Table E",#N/A,FALSE,"Summary"}</definedName>
    <definedName name="wrn.Summary." hidden="1">{"Table A",#N/A,FALSE,"Summary";"Table D",#N/A,FALSE,"Summary";"Table E",#N/A,FALSE,"Summary"}</definedName>
    <definedName name="wrn.Summary._.View." localSheetId="0" hidden="1">{#N/A,#N/A,FALSE,"Consltd-For contngcy"}</definedName>
    <definedName name="wrn.Summary._.View." localSheetId="3" hidden="1">{#N/A,#N/A,FALSE,"Consltd-For contngcy"}</definedName>
    <definedName name="wrn.Summary._.View." hidden="1">{#N/A,#N/A,FALSE,"Consltd-For contngcy"}</definedName>
    <definedName name="wrn.Total._.Summary." localSheetId="0" hidden="1">{"Total Summary",#N/A,FALSE,"Summary"}</definedName>
    <definedName name="wrn.Total._.Summary." localSheetId="3" hidden="1">{"Total Summary",#N/A,FALSE,"Summary"}</definedName>
    <definedName name="wrn.Total._.Summary." hidden="1">{"Total Summary",#N/A,FALSE,"Summary"}</definedName>
    <definedName name="wrn.UK._.Conversion._.Only." localSheetId="0" hidden="1">{#N/A,#N/A,FALSE,"Dec 1999 UK Continuing Ops"}</definedName>
    <definedName name="wrn.UK._.Conversion._.Only." localSheetId="3"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localSheetId="0" hidden="1">#REF!</definedName>
    <definedName name="y" hidden="1">'[2]DSM Output'!$B$21:$B$23</definedName>
    <definedName name="z" localSheetId="0" hidden="1">#REF!</definedName>
    <definedName name="z" hidden="1">'[2]DSM Output'!$G$21:$G$23</definedName>
    <definedName name="Z_01844156_6462_4A28_9785_1A86F4D0C834_.wvu.PrintTitles" localSheetId="0" hidden="1">#REF!</definedName>
    <definedName name="Z_01844156_6462_4A28_9785_1A86F4D0C834_.wvu.PrintTitles" localSheetId="3" hidden="1">#REF!</definedName>
    <definedName name="Z_01844156_6462_4A28_9785_1A86F4D0C834_.wvu.PrintTitles" localSheetId="1" hidden="1">#REF!</definedName>
    <definedName name="Z_01844156_6462_4A28_9785_1A86F4D0C834_.wvu.PrintTitles" localSheetId="2" hidden="1">#REF!</definedName>
    <definedName name="Z_01844156_6462_4A28_9785_1A86F4D0C834_.wvu.PrintTitles"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2" l="1"/>
  <c r="F18" i="2"/>
  <c r="F12" i="2"/>
  <c r="K40" i="5"/>
  <c r="J40" i="5"/>
  <c r="I40" i="5"/>
  <c r="H40" i="5"/>
  <c r="H42" i="5" s="1"/>
  <c r="H43" i="5" s="1"/>
  <c r="D59" i="4" s="1"/>
  <c r="G40" i="5"/>
  <c r="F40" i="5"/>
  <c r="E40" i="5"/>
  <c r="L39" i="5"/>
  <c r="L38" i="5"/>
  <c r="L37" i="5"/>
  <c r="L36" i="5"/>
  <c r="L35" i="5"/>
  <c r="L34" i="5"/>
  <c r="L33" i="5"/>
  <c r="L32" i="5"/>
  <c r="L31" i="5"/>
  <c r="L30" i="5"/>
  <c r="L29" i="5"/>
  <c r="L28" i="5"/>
  <c r="L40" i="5" s="1"/>
  <c r="K21" i="5"/>
  <c r="K23" i="5" s="1"/>
  <c r="J21" i="5"/>
  <c r="I21" i="5"/>
  <c r="H21" i="5"/>
  <c r="H23" i="5" s="1"/>
  <c r="G21" i="5"/>
  <c r="F21" i="5"/>
  <c r="E21" i="5"/>
  <c r="E23" i="5" s="1"/>
  <c r="L20" i="5"/>
  <c r="L19" i="5"/>
  <c r="L18" i="5"/>
  <c r="L17" i="5"/>
  <c r="L16" i="5"/>
  <c r="L15" i="5"/>
  <c r="L14" i="5"/>
  <c r="L13" i="5"/>
  <c r="L12" i="5"/>
  <c r="L11" i="5"/>
  <c r="L10" i="5"/>
  <c r="L9" i="5"/>
  <c r="L21" i="5" s="1"/>
  <c r="A5" i="5"/>
  <c r="A2" i="5"/>
  <c r="A1" i="5"/>
  <c r="B109" i="4"/>
  <c r="B110" i="4" s="1"/>
  <c r="B111" i="4" s="1"/>
  <c r="B112" i="4" s="1"/>
  <c r="B113" i="4" s="1"/>
  <c r="B114" i="4" s="1"/>
  <c r="B115" i="4" s="1"/>
  <c r="B116" i="4" s="1"/>
  <c r="B117" i="4" s="1"/>
  <c r="B118" i="4" s="1"/>
  <c r="B119" i="4" s="1"/>
  <c r="B120" i="4" s="1"/>
  <c r="E47" i="4"/>
  <c r="A47" i="4"/>
  <c r="M45" i="4"/>
  <c r="L45" i="4"/>
  <c r="K45" i="4"/>
  <c r="J45" i="4"/>
  <c r="I45" i="4"/>
  <c r="M44" i="4"/>
  <c r="M39" i="4"/>
  <c r="A29" i="4"/>
  <c r="A27" i="4"/>
  <c r="A18" i="4"/>
  <c r="E36" i="4"/>
  <c r="E29" i="4"/>
  <c r="A10" i="4"/>
  <c r="E22" i="4"/>
  <c r="A49" i="4"/>
  <c r="E56" i="3"/>
  <c r="D56" i="3"/>
  <c r="F53" i="3"/>
  <c r="D42" i="3"/>
  <c r="K32" i="3"/>
  <c r="J32" i="3"/>
  <c r="I32" i="3"/>
  <c r="H32" i="3"/>
  <c r="I31" i="3"/>
  <c r="O31" i="3"/>
  <c r="G31" i="3"/>
  <c r="K28" i="3"/>
  <c r="J28" i="3"/>
  <c r="J29" i="3" s="1"/>
  <c r="I28" i="3"/>
  <c r="H28" i="3"/>
  <c r="H29" i="3" s="1"/>
  <c r="A12" i="3"/>
  <c r="B109" i="2"/>
  <c r="B110" i="2" s="1"/>
  <c r="B111" i="2" s="1"/>
  <c r="B112" i="2" s="1"/>
  <c r="B113" i="2" s="1"/>
  <c r="B114" i="2" s="1"/>
  <c r="B115" i="2" s="1"/>
  <c r="B116" i="2" s="1"/>
  <c r="B117" i="2" s="1"/>
  <c r="B118" i="2" s="1"/>
  <c r="B119" i="2" s="1"/>
  <c r="B120" i="2" s="1"/>
  <c r="B21" i="2"/>
  <c r="B18" i="2"/>
  <c r="A13" i="2"/>
  <c r="A14" i="2" s="1"/>
  <c r="A15" i="2" s="1"/>
  <c r="A16" i="2" s="1"/>
  <c r="A17" i="2" s="1"/>
  <c r="A18" i="2" s="1"/>
  <c r="A19" i="2" s="1"/>
  <c r="A20" i="2" s="1"/>
  <c r="A21" i="2" s="1"/>
  <c r="A22" i="2" s="1"/>
  <c r="A10" i="2"/>
  <c r="A11" i="2" s="1"/>
  <c r="A12" i="2" s="1"/>
  <c r="B8" i="2"/>
  <c r="B16" i="2"/>
  <c r="A5" i="3" l="1"/>
  <c r="B42" i="3"/>
  <c r="B20" i="3"/>
  <c r="B22" i="3"/>
  <c r="B45" i="3"/>
  <c r="A7" i="3"/>
  <c r="I29" i="4"/>
  <c r="G23" i="5"/>
  <c r="I23" i="5"/>
  <c r="F42" i="5"/>
  <c r="F43" i="5" s="1"/>
  <c r="G20" i="4" s="1"/>
  <c r="G29" i="4" s="1"/>
  <c r="G36" i="4"/>
  <c r="I36" i="4"/>
  <c r="E42" i="5"/>
  <c r="K29" i="3"/>
  <c r="K30" i="3" s="1"/>
  <c r="K33" i="3" s="1"/>
  <c r="D16" i="4"/>
  <c r="J23" i="5"/>
  <c r="G42" i="5"/>
  <c r="G43" i="5" s="1"/>
  <c r="H20" i="4" s="1"/>
  <c r="H36" i="4" s="1"/>
  <c r="J20" i="4"/>
  <c r="J29" i="4" s="1"/>
  <c r="E59" i="4"/>
  <c r="I42" i="5"/>
  <c r="I43" i="5" s="1"/>
  <c r="K20" i="4" s="1"/>
  <c r="K36" i="4" s="1"/>
  <c r="A14" i="3"/>
  <c r="A16" i="3"/>
  <c r="F56" i="3"/>
  <c r="G53" i="3"/>
  <c r="J22" i="4"/>
  <c r="H22" i="4"/>
  <c r="L22" i="4"/>
  <c r="L23" i="5"/>
  <c r="J42" i="5"/>
  <c r="J43" i="5" s="1"/>
  <c r="I20" i="4" s="1"/>
  <c r="I22" i="4" s="1"/>
  <c r="I29" i="3"/>
  <c r="I30" i="3" s="1"/>
  <c r="I33" i="3" s="1"/>
  <c r="F23" i="5"/>
  <c r="K42" i="5"/>
  <c r="K43" i="5" s="1"/>
  <c r="L20" i="4" s="1"/>
  <c r="L47" i="4" s="1"/>
  <c r="B22" i="2"/>
  <c r="D28" i="3"/>
  <c r="L28" i="3"/>
  <c r="H30" i="3"/>
  <c r="H33" i="3" s="1"/>
  <c r="J31" i="3"/>
  <c r="D32" i="3"/>
  <c r="L32" i="3"/>
  <c r="A12" i="4"/>
  <c r="A22" i="4"/>
  <c r="A41" i="4"/>
  <c r="G47" i="4"/>
  <c r="A9" i="5"/>
  <c r="A13" i="5"/>
  <c r="A17" i="5"/>
  <c r="A28" i="5"/>
  <c r="A32" i="5"/>
  <c r="A36" i="5"/>
  <c r="E28" i="3"/>
  <c r="M28" i="3"/>
  <c r="K31" i="3"/>
  <c r="E32" i="3"/>
  <c r="M32" i="3"/>
  <c r="H47" i="4"/>
  <c r="A53" i="4"/>
  <c r="B17" i="2"/>
  <c r="B20" i="2"/>
  <c r="F28" i="3"/>
  <c r="N28" i="3"/>
  <c r="J30" i="3"/>
  <c r="J33" i="3" s="1"/>
  <c r="D31" i="3"/>
  <c r="L31" i="3"/>
  <c r="F32" i="3"/>
  <c r="N32" i="3"/>
  <c r="A14" i="4"/>
  <c r="A34" i="4"/>
  <c r="A44" i="4"/>
  <c r="I47" i="4"/>
  <c r="A10" i="5"/>
  <c r="A14" i="5"/>
  <c r="A18" i="5"/>
  <c r="A29" i="5"/>
  <c r="A33" i="5"/>
  <c r="A37" i="5"/>
  <c r="E9" i="3"/>
  <c r="G28" i="3"/>
  <c r="O28" i="3"/>
  <c r="E31" i="3"/>
  <c r="M31" i="3"/>
  <c r="G32" i="3"/>
  <c r="O32" i="3"/>
  <c r="A5" i="4"/>
  <c r="A36" i="4"/>
  <c r="J47" i="4"/>
  <c r="A54" i="4"/>
  <c r="H31" i="3"/>
  <c r="B15" i="2"/>
  <c r="F31" i="3"/>
  <c r="N31" i="3"/>
  <c r="A8" i="4"/>
  <c r="A16" i="4"/>
  <c r="A11" i="5"/>
  <c r="A15" i="5"/>
  <c r="A19" i="5"/>
  <c r="A30" i="5"/>
  <c r="A34" i="5"/>
  <c r="A38" i="5"/>
  <c r="M47" i="4"/>
  <c r="A12" i="5"/>
  <c r="A16" i="5"/>
  <c r="A20" i="5"/>
  <c r="A31" i="5"/>
  <c r="A35" i="5"/>
  <c r="A39" i="5"/>
  <c r="B13" i="2"/>
  <c r="B20" i="4"/>
  <c r="E29" i="3" l="1"/>
  <c r="E30" i="3"/>
  <c r="E33" i="3" s="1"/>
  <c r="D29" i="3"/>
  <c r="D30" i="3"/>
  <c r="A17" i="3"/>
  <c r="L42" i="5"/>
  <c r="E43" i="5"/>
  <c r="H29" i="4"/>
  <c r="F30" i="3"/>
  <c r="F33" i="3" s="1"/>
  <c r="F29" i="3"/>
  <c r="M29" i="3"/>
  <c r="M30" i="3"/>
  <c r="M33" i="3" s="1"/>
  <c r="J36" i="4"/>
  <c r="L29" i="3"/>
  <c r="L30" i="3" s="1"/>
  <c r="L33" i="3" s="1"/>
  <c r="K47" i="4"/>
  <c r="O30" i="3"/>
  <c r="O33" i="3" s="1"/>
  <c r="O29" i="3"/>
  <c r="K22" i="4"/>
  <c r="G29" i="3"/>
  <c r="G30" i="3" s="1"/>
  <c r="G33" i="3" s="1"/>
  <c r="H53" i="3"/>
  <c r="G56" i="3"/>
  <c r="K29" i="4"/>
  <c r="L29" i="4"/>
  <c r="F9" i="3"/>
  <c r="E37" i="3"/>
  <c r="N30" i="3"/>
  <c r="N33" i="3" s="1"/>
  <c r="N29" i="3"/>
  <c r="L36" i="4"/>
  <c r="G22" i="4"/>
  <c r="A18" i="3"/>
  <c r="A20" i="3" l="1"/>
  <c r="D33" i="3"/>
  <c r="P30" i="3"/>
  <c r="A22" i="3"/>
  <c r="A24" i="3" s="1"/>
  <c r="L43" i="5"/>
  <c r="F20" i="4"/>
  <c r="P29" i="3"/>
  <c r="F37" i="3"/>
  <c r="G9" i="3"/>
  <c r="H56" i="3"/>
  <c r="I53" i="3"/>
  <c r="P33" i="3" l="1"/>
  <c r="F17" i="2" s="1"/>
  <c r="D37" i="3"/>
  <c r="A28" i="3"/>
  <c r="A29" i="3" s="1"/>
  <c r="G37" i="3"/>
  <c r="H9" i="3"/>
  <c r="I56" i="3"/>
  <c r="J56" i="3" s="1"/>
  <c r="J53" i="3"/>
  <c r="F19" i="2" s="1"/>
  <c r="E20" i="4"/>
  <c r="F47" i="4"/>
  <c r="F29" i="4"/>
  <c r="E31" i="4"/>
  <c r="E24" i="4"/>
  <c r="E38" i="4"/>
  <c r="F36" i="4"/>
  <c r="F22" i="4"/>
  <c r="G38" i="4" l="1"/>
  <c r="G41" i="4" s="1"/>
  <c r="F38" i="4"/>
  <c r="F39" i="4" s="1"/>
  <c r="L38" i="4"/>
  <c r="L41" i="4" s="1"/>
  <c r="K38" i="4"/>
  <c r="K41" i="4" s="1"/>
  <c r="J38" i="4"/>
  <c r="J41" i="4" s="1"/>
  <c r="I38" i="4"/>
  <c r="I41" i="4" s="1"/>
  <c r="H38" i="4"/>
  <c r="H41" i="4" s="1"/>
  <c r="E39" i="4"/>
  <c r="E41" i="4"/>
  <c r="K24" i="4"/>
  <c r="K27" i="4" s="1"/>
  <c r="J24" i="4"/>
  <c r="J27" i="4" s="1"/>
  <c r="H24" i="4"/>
  <c r="G24" i="4"/>
  <c r="F24" i="4"/>
  <c r="E25" i="4"/>
  <c r="L24" i="4"/>
  <c r="L27" i="4" s="1"/>
  <c r="I24" i="4"/>
  <c r="I27" i="4" s="1"/>
  <c r="E27" i="4"/>
  <c r="E32" i="4"/>
  <c r="E45" i="4" s="1"/>
  <c r="L31" i="4"/>
  <c r="J31" i="4"/>
  <c r="E44" i="4"/>
  <c r="I31" i="4"/>
  <c r="H31" i="4"/>
  <c r="G31" i="4"/>
  <c r="F31" i="4"/>
  <c r="F44" i="4" s="1"/>
  <c r="K31" i="4"/>
  <c r="E34" i="4"/>
  <c r="I9" i="3"/>
  <c r="H37" i="3"/>
  <c r="F25" i="4"/>
  <c r="F27" i="4" s="1"/>
  <c r="A30" i="3"/>
  <c r="A31" i="3" s="1"/>
  <c r="A32" i="3" l="1"/>
  <c r="A33" i="3" s="1"/>
  <c r="A35" i="3" s="1"/>
  <c r="A37" i="3" s="1"/>
  <c r="A39" i="3" s="1"/>
  <c r="A42" i="3" s="1"/>
  <c r="A43" i="3" s="1"/>
  <c r="A44" i="3" s="1"/>
  <c r="A45" i="3" s="1"/>
  <c r="A53" i="3" s="1"/>
  <c r="A55" i="3" s="1"/>
  <c r="A56" i="3" s="1"/>
  <c r="A57" i="3" s="1"/>
  <c r="A58" i="3" s="1"/>
  <c r="A62" i="3" s="1"/>
  <c r="A63" i="3" s="1"/>
  <c r="A64" i="3" s="1"/>
  <c r="M36" i="4"/>
  <c r="M41" i="4" s="1"/>
  <c r="M49" i="4" s="1"/>
  <c r="E49" i="4"/>
  <c r="H25" i="4"/>
  <c r="H45" i="4" s="1"/>
  <c r="H27" i="4"/>
  <c r="L44" i="4"/>
  <c r="L34" i="4"/>
  <c r="L49" i="4" s="1"/>
  <c r="K44" i="4"/>
  <c r="K34" i="4"/>
  <c r="K49" i="4" s="1"/>
  <c r="G44" i="4"/>
  <c r="G32" i="4"/>
  <c r="G34" i="4"/>
  <c r="H44" i="4"/>
  <c r="H34" i="4"/>
  <c r="F41" i="4"/>
  <c r="I37" i="3"/>
  <c r="J9" i="3"/>
  <c r="I44" i="4"/>
  <c r="I34" i="4"/>
  <c r="I49" i="4" s="1"/>
  <c r="F32" i="4"/>
  <c r="F45" i="4" s="1"/>
  <c r="J44" i="4"/>
  <c r="J34" i="4"/>
  <c r="J49" i="4" s="1"/>
  <c r="E53" i="4" s="1"/>
  <c r="G25" i="4"/>
  <c r="G27" i="4" s="1"/>
  <c r="N14" i="3" l="1"/>
  <c r="F14" i="3"/>
  <c r="F16" i="3" s="1"/>
  <c r="E54" i="4"/>
  <c r="K14" i="3"/>
  <c r="J14" i="3"/>
  <c r="I14" i="3"/>
  <c r="H14" i="3"/>
  <c r="H16" i="3" s="1"/>
  <c r="O14" i="3"/>
  <c r="G14" i="3"/>
  <c r="G16" i="3" s="1"/>
  <c r="M14" i="3"/>
  <c r="L14" i="3"/>
  <c r="E14" i="3"/>
  <c r="E16" i="3" s="1"/>
  <c r="D14" i="3"/>
  <c r="D16" i="3" s="1"/>
  <c r="G49" i="4"/>
  <c r="G45" i="4"/>
  <c r="F34" i="4"/>
  <c r="F49" i="4" s="1"/>
  <c r="J37" i="3"/>
  <c r="K9" i="3"/>
  <c r="J16" i="3"/>
  <c r="I16" i="3"/>
  <c r="H49" i="4"/>
  <c r="H17" i="3" l="1"/>
  <c r="H18" i="3"/>
  <c r="H24" i="3" s="1"/>
  <c r="H39" i="3" s="1"/>
  <c r="H43" i="3" s="1"/>
  <c r="K37" i="3"/>
  <c r="L9" i="3"/>
  <c r="K16" i="3"/>
  <c r="D17" i="3"/>
  <c r="D18" i="3"/>
  <c r="J17" i="3"/>
  <c r="J18" i="3" s="1"/>
  <c r="J24" i="3" s="1"/>
  <c r="J39" i="3" s="1"/>
  <c r="J43" i="3" s="1"/>
  <c r="E17" i="3"/>
  <c r="E18" i="3" s="1"/>
  <c r="E24" i="3" s="1"/>
  <c r="E39" i="3" s="1"/>
  <c r="E43" i="3" s="1"/>
  <c r="F17" i="3"/>
  <c r="F18" i="3" s="1"/>
  <c r="F24" i="3" s="1"/>
  <c r="F39" i="3" s="1"/>
  <c r="F43" i="3" s="1"/>
  <c r="I17" i="3"/>
  <c r="I18" i="3" s="1"/>
  <c r="I24" i="3" s="1"/>
  <c r="I39" i="3" s="1"/>
  <c r="I43" i="3" s="1"/>
  <c r="G17" i="3"/>
  <c r="G18" i="3"/>
  <c r="G24" i="3" s="1"/>
  <c r="G39" i="3" s="1"/>
  <c r="G43" i="3" s="1"/>
  <c r="L16" i="3" l="1"/>
  <c r="L37" i="3"/>
  <c r="M9" i="3"/>
  <c r="K17" i="3"/>
  <c r="K18" i="3"/>
  <c r="K24" i="3" s="1"/>
  <c r="K39" i="3" s="1"/>
  <c r="K43" i="3" s="1"/>
  <c r="D24" i="3"/>
  <c r="N9" i="3" l="1"/>
  <c r="M16" i="3"/>
  <c r="M37" i="3"/>
  <c r="D39" i="3"/>
  <c r="L17" i="3"/>
  <c r="L18" i="3"/>
  <c r="L24" i="3" s="1"/>
  <c r="L39" i="3" s="1"/>
  <c r="L43" i="3" s="1"/>
  <c r="D43" i="3" l="1"/>
  <c r="M17" i="3"/>
  <c r="M18" i="3" s="1"/>
  <c r="N16" i="3"/>
  <c r="N37" i="3"/>
  <c r="O9" i="3"/>
  <c r="M24" i="3" l="1"/>
  <c r="P22" i="3"/>
  <c r="F16" i="2" s="1"/>
  <c r="P20" i="3"/>
  <c r="F15" i="2" s="1"/>
  <c r="D51" i="3"/>
  <c r="E51" i="3" s="1"/>
  <c r="F51" i="3" s="1"/>
  <c r="G51" i="3" s="1"/>
  <c r="H51" i="3" s="1"/>
  <c r="I51" i="3" s="1"/>
  <c r="D44" i="3"/>
  <c r="D45" i="3"/>
  <c r="E42" i="3" s="1"/>
  <c r="N17" i="3"/>
  <c r="N18" i="3"/>
  <c r="N24" i="3" s="1"/>
  <c r="N39" i="3" s="1"/>
  <c r="N43" i="3" s="1"/>
  <c r="O16" i="3" l="1"/>
  <c r="P12" i="3"/>
  <c r="O37" i="3"/>
  <c r="P37" i="3" s="1"/>
  <c r="P35" i="3"/>
  <c r="E44" i="3"/>
  <c r="E45" i="3" s="1"/>
  <c r="F42" i="3" s="1"/>
  <c r="M39" i="3"/>
  <c r="F44" i="3" l="1"/>
  <c r="F45" i="3"/>
  <c r="G42" i="3" s="1"/>
  <c r="M43" i="3"/>
  <c r="O17" i="3"/>
  <c r="P17" i="3" s="1"/>
  <c r="F14" i="2" s="1"/>
  <c r="O18" i="3"/>
  <c r="P16" i="3"/>
  <c r="F13" i="2" s="1"/>
  <c r="O24" i="3" l="1"/>
  <c r="P18" i="3"/>
  <c r="G44" i="3"/>
  <c r="G45" i="3" s="1"/>
  <c r="H42" i="3" s="1"/>
  <c r="H44" i="3" l="1"/>
  <c r="H45" i="3"/>
  <c r="I42" i="3" s="1"/>
  <c r="O39" i="3"/>
  <c r="P24" i="3"/>
  <c r="O43" i="3" l="1"/>
  <c r="P43" i="3" s="1"/>
  <c r="P39" i="3"/>
  <c r="I44" i="3"/>
  <c r="I45" i="3"/>
  <c r="J42" i="3" s="1"/>
  <c r="J44" i="3" l="1"/>
  <c r="J45" i="3" s="1"/>
  <c r="K42" i="3" s="1"/>
  <c r="K44" i="3" l="1"/>
  <c r="K45" i="3"/>
  <c r="L42" i="3" s="1"/>
  <c r="L44" i="3" l="1"/>
  <c r="L45" i="3"/>
  <c r="M42" i="3" s="1"/>
  <c r="M44" i="3" l="1"/>
  <c r="M45" i="3"/>
  <c r="N42" i="3" s="1"/>
  <c r="N44" i="3" l="1"/>
  <c r="N45" i="3"/>
  <c r="O42" i="3" s="1"/>
  <c r="O44" i="3" l="1"/>
  <c r="P44" i="3" s="1"/>
  <c r="F20" i="2" s="1"/>
  <c r="O45" i="3" l="1"/>
  <c r="D55" i="3" s="1"/>
  <c r="D57" i="3" l="1"/>
  <c r="D58" i="3"/>
  <c r="E55" i="3" s="1"/>
  <c r="E57" i="3" l="1"/>
  <c r="E58" i="3"/>
  <c r="F55" i="3" s="1"/>
  <c r="F57" i="3" l="1"/>
  <c r="F58" i="3"/>
  <c r="G55" i="3" s="1"/>
  <c r="G57" i="3" l="1"/>
  <c r="G58" i="3" s="1"/>
  <c r="H55" i="3" s="1"/>
  <c r="H57" i="3" l="1"/>
  <c r="J57" i="3" s="1"/>
  <c r="F21" i="2" s="1"/>
  <c r="H58" i="3"/>
  <c r="I55" i="3" s="1"/>
  <c r="I58" i="3" s="1"/>
</calcChain>
</file>

<file path=xl/sharedStrings.xml><?xml version="1.0" encoding="utf-8"?>
<sst xmlns="http://schemas.openxmlformats.org/spreadsheetml/2006/main" count="179" uniqueCount="124">
  <si>
    <t>Exhibit Index</t>
  </si>
  <si>
    <t>Description:</t>
  </si>
  <si>
    <t>REC Balancing Account (Schedule 98) Filing March 14, 2023</t>
  </si>
  <si>
    <t>Deferral Period:</t>
  </si>
  <si>
    <t>January 1, 2022 - December 31, 2022</t>
  </si>
  <si>
    <t>RMP__(SEM-1)</t>
  </si>
  <si>
    <t>Summary of Utah REC Balancing Account</t>
  </si>
  <si>
    <t>RMP__(SEM-2)</t>
  </si>
  <si>
    <t>Calculation of REC Revenue Deferred Balance - Calendar Year 2022</t>
  </si>
  <si>
    <t>Page 2.1</t>
  </si>
  <si>
    <t>Calculation of Utah Allocated Actual REC Revenue for CY 2022</t>
  </si>
  <si>
    <t>Page 2.2</t>
  </si>
  <si>
    <t>Calculation of Utah CY 2022 Actual Allocation Factors</t>
  </si>
  <si>
    <t>Rocky Mountain Power</t>
  </si>
  <si>
    <t>Utah REC Balancing Account</t>
  </si>
  <si>
    <t>Summary of REC Balancing Account (Schedule 98)</t>
  </si>
  <si>
    <t>Line No.</t>
  </si>
  <si>
    <t>Reference</t>
  </si>
  <si>
    <t>2022 REC Revenue Deferred Balance @ December 31, 2021</t>
  </si>
  <si>
    <t>Docket No. 22-035-07, RMP_(JBF-2), line 24</t>
  </si>
  <si>
    <t>True Up for using actual resource allocations for Nov-Dec 2021</t>
  </si>
  <si>
    <t>SEM-2, Footnote 3</t>
  </si>
  <si>
    <t>Correction for OCS 2.4</t>
  </si>
  <si>
    <t>REC Revenue Deferred Balance @ December 31, 2021 in this RBA filing</t>
  </si>
  <si>
    <t>SEM-2, Line 18</t>
  </si>
  <si>
    <t>SEM-2, Line 3</t>
  </si>
  <si>
    <t xml:space="preserve">10% retention incentive on incremental REC sales </t>
  </si>
  <si>
    <t>SEM-2, Line 4</t>
  </si>
  <si>
    <t>SEM-2, Line 6</t>
  </si>
  <si>
    <t>SEM-2, Line 7</t>
  </si>
  <si>
    <t>SEM-2, Line 14</t>
  </si>
  <si>
    <t>SEM-2, Line 15</t>
  </si>
  <si>
    <t>Estimated Schedule 98 Surcharge/(Surcredit) January 2023 to May 2023</t>
  </si>
  <si>
    <t>SEM-2, Line 22</t>
  </si>
  <si>
    <t>SEM-2, Line 20</t>
  </si>
  <si>
    <t>SEM-2, Line 25</t>
  </si>
  <si>
    <t>2023 RBA - Deferral Period</t>
  </si>
  <si>
    <t>Total</t>
  </si>
  <si>
    <t>Actual REC Revenue</t>
  </si>
  <si>
    <t>Total Company REC Revenue</t>
  </si>
  <si>
    <t>SAP Actuals</t>
  </si>
  <si>
    <t>Allocation Rate</t>
  </si>
  <si>
    <t>Utah Allocated</t>
  </si>
  <si>
    <t>Line 1 * Line 2</t>
  </si>
  <si>
    <t xml:space="preserve"> 10% incentive </t>
  </si>
  <si>
    <t>Line 3 * 10%, Footnote 1</t>
  </si>
  <si>
    <t>Net Utah Allocated REC Revenue</t>
  </si>
  <si>
    <t>Line 3 - Line 4</t>
  </si>
  <si>
    <t>Total Utah Allocated REC Revenue</t>
  </si>
  <si>
    <t>Line 5 + Line 6 + Line 7+ Line 8</t>
  </si>
  <si>
    <t>REC Revenue in Rates</t>
  </si>
  <si>
    <t>Docket No. 20-035-04 UT Allocated</t>
  </si>
  <si>
    <t>Footnote 2</t>
  </si>
  <si>
    <t>Line 10 *10%, Footnote 1</t>
  </si>
  <si>
    <t>Utah Allocated REC Revenue less incentive</t>
  </si>
  <si>
    <t>Line 10- Line 11</t>
  </si>
  <si>
    <t xml:space="preserve"> Pryor Mountain REC Revenue</t>
  </si>
  <si>
    <t xml:space="preserve"> Kennecott REC Revenue</t>
  </si>
  <si>
    <t xml:space="preserve">Schedule 98 Surcredits/(Surcharges) </t>
  </si>
  <si>
    <t>Actual Surcredits/(Surcharges) Billed</t>
  </si>
  <si>
    <t>Total in Rates</t>
  </si>
  <si>
    <t>Line 15 + Line 16</t>
  </si>
  <si>
    <t>Monthly Deferral Amount</t>
  </si>
  <si>
    <t>Line 9 - Line 17</t>
  </si>
  <si>
    <t>Footnote 3</t>
  </si>
  <si>
    <t>Monthly Deferral</t>
  </si>
  <si>
    <t>Line 18</t>
  </si>
  <si>
    <t>Carrying Charge</t>
  </si>
  <si>
    <t>Footnotes 4 and 5</t>
  </si>
  <si>
    <t>Line 19 + Line 20 + Line 21</t>
  </si>
  <si>
    <t>Interim Period - Jan - June 2023</t>
  </si>
  <si>
    <t>Beginning Deferral Balance</t>
  </si>
  <si>
    <t>Line 22</t>
  </si>
  <si>
    <t>Monthly Deferral Balance</t>
  </si>
  <si>
    <t>Line 23</t>
  </si>
  <si>
    <t>Footnote 5 &amp; 6</t>
  </si>
  <si>
    <t>Ending Deferral Balance -</t>
  </si>
  <si>
    <t>Line 24 + Line 25 + Line 26</t>
  </si>
  <si>
    <t>Carrying Charge Rates</t>
  </si>
  <si>
    <t>Carrying Charge Rate (Apr 2021- Mar 2022)</t>
  </si>
  <si>
    <t>Footnote 4</t>
  </si>
  <si>
    <t>Carrying Charge Rate (Apr 2022- Mar 2023)</t>
  </si>
  <si>
    <t>Footnote 5</t>
  </si>
  <si>
    <t>Carrying Charge Rate (Apr 2023- Mar 2024)</t>
  </si>
  <si>
    <t>Footnote 6</t>
  </si>
  <si>
    <t>FOOTNOTES:
1) The Stipulation in Docket No. 11-035-200, paragraph 39 permits the Company to retain 10% of Utah-allocated REC revenue received after May 31, 2013, incremental to certain contracts executed before July 1, 2012.  The excludable contracts listed in Exhibit B to the 2012 GRC stipulation terminated during 2012, all REC revenue booked January 1,2022 through December 31, 2022 is eligible for the 10% incentive.    
2) The REC revenue in rates for January 1, 2022 through December 31, 2022 is consistent with Docket No. 20-035-04.
3) The beginning balance shown for January 2022 of $1,980,324 represents the $13,352 for the true-up for the November 2021 and December 2021 amounts from Docket No. 22-035-07 and the $34,261 from OCS 2.4.
4) The carrying charge of 3.04 percent applied to January 2022 through March 2022 represents the carrying charge determinded in Docket No. 21-035-T01 with an effective April 1, 2021 thorugh March 31, 2022.
5) The carrying charge of 3.05 percent applied to April 2022 through March 2023 represents the carrying charge determinded in Docket No. 22-035-T03 with an effective April 1, 2022 thorugh March 31, 2023.
6) The carrying charge of 4.57 percent applied to April 2023 through June 2023 represents the carrying charge determinded in Docket No. 23-035-T02 with an effective April 1, 2023 thorugh March 31, 2024.
 </t>
  </si>
  <si>
    <t xml:space="preserve"> </t>
  </si>
  <si>
    <t>Factor</t>
  </si>
  <si>
    <t>California</t>
  </si>
  <si>
    <t>Oregon</t>
  </si>
  <si>
    <t>Washington</t>
  </si>
  <si>
    <t>Wyoming</t>
  </si>
  <si>
    <t>Utah</t>
  </si>
  <si>
    <t>Idaho</t>
  </si>
  <si>
    <t>FERC</t>
  </si>
  <si>
    <t>Other</t>
  </si>
  <si>
    <t>SG</t>
  </si>
  <si>
    <t>Adjustment for RPS/Commission Order</t>
  </si>
  <si>
    <t>Situs</t>
  </si>
  <si>
    <t>(A)</t>
  </si>
  <si>
    <t>(B)</t>
  </si>
  <si>
    <t>C = B / A</t>
  </si>
  <si>
    <t>D = C * A</t>
  </si>
  <si>
    <t>SG Factor</t>
  </si>
  <si>
    <t>Leaning Juniper and Pryor Mountain - amounts booked in SAP</t>
  </si>
  <si>
    <t xml:space="preserve">Utah allocated Leaning Juniper Revenue </t>
  </si>
  <si>
    <t>Coincident Peaks:</t>
  </si>
  <si>
    <t>Year</t>
  </si>
  <si>
    <t>Month</t>
  </si>
  <si>
    <t>Day</t>
  </si>
  <si>
    <t>hour</t>
  </si>
  <si>
    <t>CA</t>
  </si>
  <si>
    <t>OR</t>
  </si>
  <si>
    <t>WA</t>
  </si>
  <si>
    <t>UT</t>
  </si>
  <si>
    <t>ID</t>
  </si>
  <si>
    <t>WY</t>
  </si>
  <si>
    <t>Total 12 CP</t>
  </si>
  <si>
    <t>System Capacity Factor</t>
  </si>
  <si>
    <t>Energy:</t>
  </si>
  <si>
    <t>Total Energy</t>
  </si>
  <si>
    <t>System Energy Factor</t>
  </si>
  <si>
    <t>System Generation Factor</t>
  </si>
  <si>
    <t>March 15,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</si>
</sst>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_(* #,##0.0000_);_(* \(#,##0.0000\);_(* &quot;-&quot;??_);_(@_)"/>
    <numFmt numFmtId="168" formatCode="[$-409]mmm\-yy;@"/>
    <numFmt numFmtId="169" formatCode="0.000%"/>
    <numFmt numFmtId="170" formatCode="[$-409]mmmm\ d\,\ yyyy;@"/>
    <numFmt numFmtId="171" formatCode="#,##0.0"/>
    <numFmt numFmtId="172" formatCode="_(* #,##0.0_);_(* \(#,##0.0\);_(* &quot;-&quot;?_);_(@_)"/>
    <numFmt numFmtId="173" formatCode="0.0000%"/>
  </numFmts>
  <fonts count="20" x14ac:knownFonts="1">
    <font>
      <sz val="11"/>
      <color theme="1"/>
      <name val="Calibri"/>
      <family val="2"/>
      <scheme val="minor"/>
    </font>
    <font>
      <sz val="11"/>
      <color theme="1"/>
      <name val="Calibri"/>
      <family val="2"/>
      <scheme val="minor"/>
    </font>
    <font>
      <sz val="10"/>
      <name val="Arial"/>
      <family val="2"/>
    </font>
    <font>
      <b/>
      <sz val="10"/>
      <name val="Arial"/>
      <family val="2"/>
    </font>
    <font>
      <b/>
      <sz val="10"/>
      <name val="Arial Black"/>
      <family val="2"/>
    </font>
    <font>
      <b/>
      <sz val="10"/>
      <color theme="1"/>
      <name val="Arial"/>
      <family val="2"/>
    </font>
    <font>
      <sz val="10"/>
      <color theme="1"/>
      <name val="Arial"/>
      <family val="2"/>
    </font>
    <font>
      <i/>
      <sz val="10"/>
      <color theme="1"/>
      <name val="Arial"/>
      <family val="2"/>
    </font>
    <font>
      <sz val="10"/>
      <color rgb="FF0000FF"/>
      <name val="Arial"/>
      <family val="2"/>
    </font>
    <font>
      <sz val="10"/>
      <color rgb="FFFF0000"/>
      <name val="Arial"/>
      <family val="2"/>
    </font>
    <font>
      <i/>
      <sz val="10"/>
      <name val="Arial"/>
      <family val="2"/>
    </font>
    <font>
      <b/>
      <sz val="10"/>
      <color rgb="FFFF0000"/>
      <name val="Arial"/>
      <family val="2"/>
    </font>
    <font>
      <b/>
      <sz val="10"/>
      <color rgb="FF0000FF"/>
      <name val="Arial"/>
      <family val="2"/>
    </font>
    <font>
      <b/>
      <sz val="8"/>
      <name val="Arial"/>
      <family val="2"/>
    </font>
    <font>
      <sz val="8"/>
      <name val="Arial"/>
      <family val="2"/>
    </font>
    <font>
      <sz val="8"/>
      <name val="Arial"/>
      <family val="2"/>
    </font>
    <font>
      <sz val="12"/>
      <color theme="1"/>
      <name val="Times New Roman"/>
      <family val="1"/>
    </font>
    <font>
      <u/>
      <sz val="10"/>
      <name val="Arial"/>
      <family val="2"/>
    </font>
    <font>
      <sz val="10"/>
      <name val="Arial"/>
      <family val="2"/>
    </font>
    <font>
      <u/>
      <sz val="10"/>
      <name val="Arial"/>
      <family val="2"/>
    </font>
  </fonts>
  <fills count="2">
    <fill>
      <patternFill patternType="none"/>
    </fill>
    <fill>
      <patternFill patternType="gray125"/>
    </fill>
  </fills>
  <borders count="3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212">
    <xf numFmtId="0" fontId="0" fillId="0" borderId="0" xfId="0"/>
    <xf numFmtId="0" fontId="3" fillId="0" borderId="0" xfId="4" applyFont="1" applyAlignment="1">
      <alignment horizontal="centerContinuous"/>
    </xf>
    <xf numFmtId="0" fontId="2" fillId="0" borderId="0" xfId="4" applyAlignment="1">
      <alignment horizontal="centerContinuous"/>
    </xf>
    <xf numFmtId="0" fontId="2" fillId="0" borderId="0" xfId="4"/>
    <xf numFmtId="0" fontId="3" fillId="0" borderId="0" xfId="4" applyFont="1" applyAlignment="1">
      <alignment horizontal="left" wrapText="1"/>
    </xf>
    <xf numFmtId="0" fontId="3" fillId="0" borderId="0" xfId="4" applyFont="1"/>
    <xf numFmtId="0" fontId="2" fillId="0" borderId="0" xfId="4" applyAlignment="1">
      <alignment horizontal="center" wrapText="1"/>
    </xf>
    <xf numFmtId="0" fontId="2" fillId="0" borderId="0" xfId="4" applyAlignment="1">
      <alignment horizontal="left"/>
    </xf>
    <xf numFmtId="0" fontId="3" fillId="0" borderId="0" xfId="4" applyFont="1" applyAlignment="1">
      <alignment horizontal="center" wrapText="1"/>
    </xf>
    <xf numFmtId="0" fontId="3" fillId="0" borderId="0" xfId="4" applyFont="1" applyAlignment="1">
      <alignment horizontal="left"/>
    </xf>
    <xf numFmtId="0" fontId="2" fillId="0" borderId="0" xfId="4" applyAlignment="1">
      <alignment horizontal="center"/>
    </xf>
    <xf numFmtId="0" fontId="4" fillId="0" borderId="0" xfId="4" applyFont="1" applyAlignment="1">
      <alignment horizontal="center" wrapText="1"/>
    </xf>
    <xf numFmtId="0" fontId="4" fillId="0" borderId="0" xfId="4" applyFont="1" applyAlignment="1">
      <alignment horizontal="left"/>
    </xf>
    <xf numFmtId="0" fontId="5" fillId="0" borderId="0" xfId="0" applyFont="1"/>
    <xf numFmtId="0" fontId="6" fillId="0" borderId="0" xfId="0" applyFont="1"/>
    <xf numFmtId="15" fontId="6" fillId="0" borderId="0" xfId="0" quotePrefix="1" applyNumberFormat="1" applyFont="1"/>
    <xf numFmtId="0" fontId="7" fillId="0" borderId="0" xfId="0" applyFont="1"/>
    <xf numFmtId="0" fontId="6" fillId="0" borderId="0" xfId="0" applyFont="1" applyAlignment="1">
      <alignment horizontal="center"/>
    </xf>
    <xf numFmtId="0" fontId="6" fillId="0" borderId="0" xfId="0" applyFont="1" applyAlignment="1">
      <alignment horizontal="left" indent="1"/>
    </xf>
    <xf numFmtId="164" fontId="2" fillId="0" borderId="0" xfId="2" applyNumberFormat="1" applyFont="1" applyFill="1"/>
    <xf numFmtId="165" fontId="6" fillId="0" borderId="0" xfId="1" applyNumberFormat="1" applyFont="1" applyFill="1"/>
    <xf numFmtId="165" fontId="6" fillId="0" borderId="1" xfId="1" applyNumberFormat="1" applyFont="1" applyFill="1" applyBorder="1"/>
    <xf numFmtId="166" fontId="6" fillId="0" borderId="0" xfId="0" applyNumberFormat="1" applyFont="1"/>
    <xf numFmtId="164" fontId="5" fillId="0" borderId="2" xfId="2" applyNumberFormat="1" applyFont="1" applyFill="1" applyBorder="1"/>
    <xf numFmtId="44" fontId="6" fillId="0" borderId="0" xfId="0" applyNumberFormat="1" applyFont="1"/>
    <xf numFmtId="43" fontId="0" fillId="0" borderId="0" xfId="1" applyFont="1"/>
    <xf numFmtId="43" fontId="6" fillId="0" borderId="0" xfId="1" applyFont="1" applyFill="1" applyBorder="1"/>
    <xf numFmtId="0" fontId="5" fillId="0" borderId="0" xfId="0" applyFont="1" applyAlignment="1">
      <alignment horizontal="center" wrapText="1"/>
    </xf>
    <xf numFmtId="0" fontId="5" fillId="0" borderId="0" xfId="0" applyFont="1" applyAlignment="1">
      <alignment horizontal="center"/>
    </xf>
    <xf numFmtId="165" fontId="8" fillId="0" borderId="0" xfId="1" applyNumberFormat="1" applyFont="1" applyFill="1" applyBorder="1"/>
    <xf numFmtId="165" fontId="6" fillId="0" borderId="0" xfId="1" applyNumberFormat="1" applyFont="1" applyFill="1" applyBorder="1"/>
    <xf numFmtId="165" fontId="6" fillId="0" borderId="0" xfId="0" applyNumberFormat="1" applyFont="1"/>
    <xf numFmtId="0" fontId="3" fillId="0" borderId="0" xfId="0" applyFont="1"/>
    <xf numFmtId="0" fontId="2" fillId="0" borderId="0" xfId="0" applyFont="1"/>
    <xf numFmtId="0" fontId="9" fillId="0" borderId="0" xfId="0" applyFont="1"/>
    <xf numFmtId="15" fontId="2" fillId="0" borderId="0" xfId="0" quotePrefix="1" applyNumberFormat="1" applyFont="1"/>
    <xf numFmtId="0" fontId="10" fillId="0" borderId="0" xfId="0" applyFont="1"/>
    <xf numFmtId="165" fontId="6" fillId="0" borderId="6" xfId="1" applyNumberFormat="1" applyFont="1" applyFill="1" applyBorder="1"/>
    <xf numFmtId="0" fontId="6" fillId="0" borderId="7" xfId="0" applyFont="1" applyBorder="1"/>
    <xf numFmtId="168" fontId="3" fillId="0" borderId="1" xfId="0" applyNumberFormat="1" applyFont="1" applyBorder="1" applyAlignment="1">
      <alignment horizontal="center"/>
    </xf>
    <xf numFmtId="168" fontId="3" fillId="0" borderId="1" xfId="0" applyNumberFormat="1" applyFont="1" applyBorder="1" applyAlignment="1">
      <alignment horizontal="left"/>
    </xf>
    <xf numFmtId="168" fontId="5" fillId="0" borderId="8" xfId="0" applyNumberFormat="1" applyFont="1" applyBorder="1" applyAlignment="1">
      <alignment horizontal="center"/>
    </xf>
    <xf numFmtId="168" fontId="5" fillId="0" borderId="1" xfId="0" applyNumberFormat="1" applyFont="1" applyBorder="1" applyAlignment="1">
      <alignment horizontal="center"/>
    </xf>
    <xf numFmtId="168" fontId="5" fillId="0" borderId="9" xfId="0" applyNumberFormat="1" applyFont="1" applyBorder="1" applyAlignment="1">
      <alignment horizontal="center"/>
    </xf>
    <xf numFmtId="0" fontId="5" fillId="0" borderId="1" xfId="0" applyFont="1" applyBorder="1" applyAlignment="1">
      <alignment horizontal="center"/>
    </xf>
    <xf numFmtId="0" fontId="6" fillId="0" borderId="6" xfId="0" applyFont="1" applyBorder="1"/>
    <xf numFmtId="0" fontId="2" fillId="0" borderId="0" xfId="0" applyFont="1" applyAlignment="1">
      <alignment horizontal="center"/>
    </xf>
    <xf numFmtId="165" fontId="6" fillId="0" borderId="7" xfId="1" applyNumberFormat="1" applyFont="1" applyFill="1" applyBorder="1"/>
    <xf numFmtId="43" fontId="2" fillId="0" borderId="0" xfId="1" applyFont="1" applyFill="1" applyAlignment="1"/>
    <xf numFmtId="0" fontId="2" fillId="0" borderId="0" xfId="0" applyFont="1" applyAlignment="1">
      <alignment horizontal="left"/>
    </xf>
    <xf numFmtId="165" fontId="6" fillId="0" borderId="6" xfId="0" applyNumberFormat="1" applyFont="1" applyBorder="1"/>
    <xf numFmtId="165" fontId="6" fillId="0" borderId="7" xfId="0" applyNumberFormat="1" applyFont="1" applyBorder="1"/>
    <xf numFmtId="165" fontId="9" fillId="0" borderId="0" xfId="0" applyNumberFormat="1" applyFont="1"/>
    <xf numFmtId="10" fontId="6" fillId="0" borderId="6" xfId="0" applyNumberFormat="1" applyFont="1" applyBorder="1"/>
    <xf numFmtId="10" fontId="6" fillId="0" borderId="0" xfId="0" applyNumberFormat="1" applyFont="1"/>
    <xf numFmtId="10" fontId="6" fillId="0" borderId="7" xfId="0" applyNumberFormat="1" applyFont="1" applyBorder="1"/>
    <xf numFmtId="43" fontId="6" fillId="0" borderId="0" xfId="0" applyNumberFormat="1" applyFont="1"/>
    <xf numFmtId="43" fontId="2" fillId="0" borderId="0" xfId="1" applyFont="1" applyFill="1" applyAlignment="1">
      <alignment horizontal="left"/>
    </xf>
    <xf numFmtId="165" fontId="2" fillId="0" borderId="6" xfId="1" applyNumberFormat="1" applyFont="1" applyFill="1" applyBorder="1"/>
    <xf numFmtId="165" fontId="2" fillId="0" borderId="0" xfId="1" applyNumberFormat="1" applyFont="1" applyFill="1" applyBorder="1"/>
    <xf numFmtId="165" fontId="2" fillId="0" borderId="7" xfId="1" applyNumberFormat="1" applyFont="1" applyFill="1" applyBorder="1"/>
    <xf numFmtId="165" fontId="2" fillId="0" borderId="6" xfId="0" applyNumberFormat="1" applyFont="1" applyBorder="1"/>
    <xf numFmtId="43" fontId="3" fillId="0" borderId="0" xfId="1" applyFont="1" applyFill="1" applyAlignment="1"/>
    <xf numFmtId="165" fontId="6" fillId="0" borderId="8" xfId="0" applyNumberFormat="1" applyFont="1" applyBorder="1"/>
    <xf numFmtId="165" fontId="6" fillId="0" borderId="1" xfId="0" applyNumberFormat="1" applyFont="1" applyBorder="1"/>
    <xf numFmtId="165" fontId="6" fillId="0" borderId="9" xfId="0" applyNumberFormat="1" applyFont="1" applyBorder="1"/>
    <xf numFmtId="0" fontId="9" fillId="0" borderId="0" xfId="0" applyFont="1" applyAlignment="1">
      <alignment horizontal="right"/>
    </xf>
    <xf numFmtId="0" fontId="5" fillId="0" borderId="0" xfId="0" applyFont="1" applyAlignment="1">
      <alignment horizontal="left"/>
    </xf>
    <xf numFmtId="167" fontId="5" fillId="0" borderId="0" xfId="1" applyNumberFormat="1" applyFont="1" applyFill="1" applyBorder="1" applyAlignment="1">
      <alignment horizontal="center"/>
    </xf>
    <xf numFmtId="167" fontId="5" fillId="0" borderId="0" xfId="1" applyNumberFormat="1" applyFont="1" applyFill="1" applyBorder="1" applyAlignment="1"/>
    <xf numFmtId="165" fontId="2" fillId="0" borderId="0" xfId="0" applyNumberFormat="1" applyFont="1"/>
    <xf numFmtId="0" fontId="2" fillId="0" borderId="0" xfId="0" applyFont="1" applyAlignment="1">
      <alignment horizontal="left" indent="1"/>
    </xf>
    <xf numFmtId="0" fontId="3" fillId="0" borderId="0" xfId="0" applyFont="1" applyAlignment="1">
      <alignment horizontal="left"/>
    </xf>
    <xf numFmtId="165" fontId="5" fillId="0" borderId="10" xfId="0" applyNumberFormat="1" applyFont="1" applyBorder="1"/>
    <xf numFmtId="10" fontId="8" fillId="0" borderId="0" xfId="3" applyNumberFormat="1" applyFont="1" applyFill="1" applyBorder="1"/>
    <xf numFmtId="0" fontId="3" fillId="0" borderId="1" xfId="0" applyFont="1" applyBorder="1" applyAlignment="1">
      <alignment horizontal="left"/>
    </xf>
    <xf numFmtId="0" fontId="2" fillId="0" borderId="1" xfId="0" applyFont="1" applyBorder="1"/>
    <xf numFmtId="0" fontId="2" fillId="0" borderId="1" xfId="0" applyFont="1" applyBorder="1" applyAlignment="1">
      <alignment horizontal="left"/>
    </xf>
    <xf numFmtId="0" fontId="11" fillId="0" borderId="0" xfId="0" applyFont="1"/>
    <xf numFmtId="10" fontId="2" fillId="0" borderId="0" xfId="3" applyNumberFormat="1" applyFont="1" applyFill="1"/>
    <xf numFmtId="165" fontId="12" fillId="0" borderId="0" xfId="3" applyNumberFormat="1" applyFont="1" applyFill="1"/>
    <xf numFmtId="10" fontId="8" fillId="0" borderId="0" xfId="3" applyNumberFormat="1" applyFont="1" applyFill="1"/>
    <xf numFmtId="0" fontId="3" fillId="0" borderId="0" xfId="5" applyFont="1"/>
    <xf numFmtId="0" fontId="2" fillId="0" borderId="0" xfId="6"/>
    <xf numFmtId="0" fontId="2" fillId="0" borderId="0" xfId="7" quotePrefix="1"/>
    <xf numFmtId="0" fontId="6" fillId="0" borderId="0" xfId="6" applyFont="1"/>
    <xf numFmtId="0" fontId="10" fillId="0" borderId="0" xfId="4" applyFont="1" applyAlignment="1">
      <alignment horizontal="left"/>
    </xf>
    <xf numFmtId="0" fontId="9" fillId="0" borderId="0" xfId="6" applyFont="1"/>
    <xf numFmtId="0" fontId="2" fillId="0" borderId="0" xfId="5"/>
    <xf numFmtId="0" fontId="9" fillId="0" borderId="0" xfId="5" applyFont="1"/>
    <xf numFmtId="169" fontId="2" fillId="0" borderId="0" xfId="8" applyNumberFormat="1" applyFont="1" applyFill="1"/>
    <xf numFmtId="43" fontId="2" fillId="0" borderId="0" xfId="5" applyNumberFormat="1"/>
    <xf numFmtId="164" fontId="2" fillId="0" borderId="4" xfId="5" applyNumberFormat="1" applyBorder="1"/>
    <xf numFmtId="44" fontId="2" fillId="0" borderId="0" xfId="5" applyNumberFormat="1"/>
    <xf numFmtId="0" fontId="2" fillId="0" borderId="0" xfId="7"/>
    <xf numFmtId="164" fontId="2" fillId="0" borderId="4" xfId="9" applyNumberFormat="1" applyFont="1" applyFill="1" applyBorder="1"/>
    <xf numFmtId="165" fontId="2" fillId="0" borderId="0" xfId="10" applyNumberFormat="1" applyFont="1" applyFill="1" applyBorder="1"/>
    <xf numFmtId="0" fontId="13" fillId="0" borderId="0" xfId="5" applyFont="1" applyAlignment="1">
      <alignment horizontal="left"/>
    </xf>
    <xf numFmtId="0" fontId="2" fillId="0" borderId="0" xfId="5" applyAlignment="1">
      <alignment horizontal="right"/>
    </xf>
    <xf numFmtId="165" fontId="2" fillId="0" borderId="0" xfId="10" applyNumberFormat="1" applyFont="1" applyFill="1"/>
    <xf numFmtId="4" fontId="2" fillId="0" borderId="0" xfId="6" applyNumberFormat="1"/>
    <xf numFmtId="164" fontId="3" fillId="0" borderId="0" xfId="9" applyNumberFormat="1" applyFont="1" applyFill="1" applyBorder="1"/>
    <xf numFmtId="164" fontId="2" fillId="0" borderId="0" xfId="9" applyNumberFormat="1" applyFont="1" applyFill="1" applyBorder="1"/>
    <xf numFmtId="164" fontId="2" fillId="0" borderId="0" xfId="6" applyNumberFormat="1"/>
    <xf numFmtId="164" fontId="3" fillId="0" borderId="4" xfId="6" applyNumberFormat="1" applyFont="1" applyBorder="1"/>
    <xf numFmtId="0" fontId="13" fillId="0" borderId="0" xfId="6" applyFont="1" applyAlignment="1">
      <alignment horizontal="center"/>
    </xf>
    <xf numFmtId="0" fontId="2" fillId="0" borderId="0" xfId="6" applyAlignment="1">
      <alignment horizontal="center"/>
    </xf>
    <xf numFmtId="0" fontId="3" fillId="0" borderId="1" xfId="5" applyFont="1" applyBorder="1" applyAlignment="1">
      <alignment horizontal="center"/>
    </xf>
    <xf numFmtId="165" fontId="3" fillId="0" borderId="1" xfId="11" applyNumberFormat="1" applyFont="1" applyFill="1" applyBorder="1"/>
    <xf numFmtId="0" fontId="2" fillId="0" borderId="0" xfId="5" applyAlignment="1">
      <alignment horizontal="center"/>
    </xf>
    <xf numFmtId="169" fontId="2" fillId="0" borderId="0" xfId="5" applyNumberFormat="1" applyAlignment="1">
      <alignment horizontal="center"/>
    </xf>
    <xf numFmtId="169" fontId="2" fillId="0" borderId="0" xfId="6" applyNumberFormat="1"/>
    <xf numFmtId="165" fontId="2" fillId="0" borderId="11" xfId="10" applyNumberFormat="1" applyFont="1" applyFill="1" applyBorder="1" applyAlignment="1">
      <alignment horizontal="center"/>
    </xf>
    <xf numFmtId="165" fontId="2" fillId="0" borderId="12" xfId="10" applyNumberFormat="1" applyFont="1" applyFill="1" applyBorder="1" applyAlignment="1">
      <alignment horizontal="center"/>
    </xf>
    <xf numFmtId="165" fontId="2" fillId="0" borderId="13" xfId="10" applyNumberFormat="1" applyFont="1" applyFill="1" applyBorder="1" applyAlignment="1">
      <alignment horizontal="center"/>
    </xf>
    <xf numFmtId="165" fontId="2" fillId="0" borderId="2" xfId="10" applyNumberFormat="1" applyFont="1" applyFill="1" applyBorder="1" applyAlignment="1">
      <alignment horizontal="center"/>
    </xf>
    <xf numFmtId="165" fontId="2" fillId="0" borderId="14" xfId="10" applyNumberFormat="1" applyFont="1" applyFill="1" applyBorder="1" applyAlignment="1">
      <alignment horizontal="center"/>
    </xf>
    <xf numFmtId="0" fontId="14" fillId="0" borderId="15" xfId="5" applyFont="1" applyBorder="1" applyAlignment="1">
      <alignment horizontal="center"/>
    </xf>
    <xf numFmtId="165" fontId="2" fillId="0" borderId="0" xfId="10" applyNumberFormat="1" applyFont="1" applyFill="1" applyBorder="1" applyAlignment="1">
      <alignment horizontal="center"/>
    </xf>
    <xf numFmtId="165" fontId="2" fillId="0" borderId="16" xfId="10" applyNumberFormat="1" applyFont="1" applyFill="1" applyBorder="1" applyAlignment="1">
      <alignment horizontal="center"/>
    </xf>
    <xf numFmtId="165" fontId="2" fillId="0" borderId="7" xfId="10" applyNumberFormat="1" applyFont="1" applyFill="1" applyBorder="1" applyAlignment="1">
      <alignment horizontal="center"/>
    </xf>
    <xf numFmtId="165" fontId="2" fillId="0" borderId="15" xfId="10" applyNumberFormat="1" applyFont="1" applyFill="1" applyBorder="1"/>
    <xf numFmtId="165" fontId="2" fillId="0" borderId="17" xfId="10" applyNumberFormat="1" applyFont="1" applyFill="1" applyBorder="1"/>
    <xf numFmtId="165" fontId="2" fillId="0" borderId="1" xfId="10" applyNumberFormat="1" applyFont="1" applyFill="1" applyBorder="1" applyAlignment="1">
      <alignment horizontal="center"/>
    </xf>
    <xf numFmtId="165" fontId="2" fillId="0" borderId="18" xfId="10" applyNumberFormat="1" applyFont="1" applyFill="1" applyBorder="1" applyAlignment="1">
      <alignment horizontal="center"/>
    </xf>
    <xf numFmtId="165" fontId="2" fillId="0" borderId="1" xfId="10" applyNumberFormat="1" applyFont="1" applyFill="1" applyBorder="1"/>
    <xf numFmtId="165" fontId="2" fillId="0" borderId="9" xfId="10" applyNumberFormat="1" applyFont="1" applyFill="1" applyBorder="1"/>
    <xf numFmtId="0" fontId="14" fillId="0" borderId="0" xfId="5" applyFont="1" applyAlignment="1">
      <alignment horizontal="center"/>
    </xf>
    <xf numFmtId="0" fontId="14" fillId="0" borderId="16" xfId="5" applyFont="1" applyBorder="1" applyAlignment="1">
      <alignment horizontal="center"/>
    </xf>
    <xf numFmtId="165" fontId="2" fillId="0" borderId="7" xfId="10" applyNumberFormat="1" applyFont="1" applyFill="1" applyBorder="1"/>
    <xf numFmtId="165" fontId="2" fillId="0" borderId="19" xfId="10" applyNumberFormat="1" applyFont="1" applyFill="1" applyBorder="1"/>
    <xf numFmtId="165" fontId="2" fillId="0" borderId="20" xfId="10" applyNumberFormat="1" applyFont="1" applyFill="1" applyBorder="1"/>
    <xf numFmtId="165" fontId="2" fillId="0" borderId="21" xfId="10" applyNumberFormat="1" applyFont="1" applyFill="1" applyBorder="1"/>
    <xf numFmtId="165" fontId="14" fillId="0" borderId="0" xfId="10" applyNumberFormat="1" applyFont="1" applyFill="1" applyBorder="1" applyAlignment="1">
      <alignment horizontal="center"/>
    </xf>
    <xf numFmtId="165" fontId="2" fillId="0" borderId="11" xfId="11" applyNumberFormat="1" applyFont="1" applyFill="1" applyBorder="1" applyAlignment="1">
      <alignment horizontal="center"/>
    </xf>
    <xf numFmtId="165" fontId="2" fillId="0" borderId="13" xfId="11" applyNumberFormat="1" applyFont="1" applyFill="1" applyBorder="1" applyAlignment="1">
      <alignment horizontal="center"/>
    </xf>
    <xf numFmtId="165" fontId="2" fillId="0" borderId="22" xfId="11" applyNumberFormat="1" applyFont="1" applyFill="1" applyBorder="1" applyAlignment="1">
      <alignment horizontal="center"/>
    </xf>
    <xf numFmtId="165" fontId="2" fillId="0" borderId="16" xfId="11" applyNumberFormat="1" applyFont="1" applyFill="1" applyBorder="1" applyAlignment="1">
      <alignment horizontal="center"/>
    </xf>
    <xf numFmtId="165" fontId="2" fillId="0" borderId="0" xfId="11" applyNumberFormat="1" applyFont="1" applyFill="1" applyBorder="1" applyAlignment="1">
      <alignment horizontal="center"/>
    </xf>
    <xf numFmtId="165" fontId="2" fillId="0" borderId="23" xfId="11" applyNumberFormat="1" applyFont="1" applyFill="1" applyBorder="1" applyAlignment="1">
      <alignment horizontal="center"/>
    </xf>
    <xf numFmtId="165" fontId="2" fillId="0" borderId="15" xfId="11" applyNumberFormat="1" applyFont="1" applyFill="1" applyBorder="1"/>
    <xf numFmtId="165" fontId="2" fillId="0" borderId="17" xfId="11" applyNumberFormat="1" applyFont="1" applyFill="1" applyBorder="1"/>
    <xf numFmtId="165" fontId="2" fillId="0" borderId="18" xfId="11" applyNumberFormat="1" applyFont="1" applyFill="1" applyBorder="1" applyAlignment="1">
      <alignment horizontal="center"/>
    </xf>
    <xf numFmtId="165" fontId="2" fillId="0" borderId="1" xfId="11" applyNumberFormat="1" applyFont="1" applyFill="1" applyBorder="1" applyAlignment="1">
      <alignment horizontal="center"/>
    </xf>
    <xf numFmtId="165" fontId="2" fillId="0" borderId="1" xfId="11" applyNumberFormat="1" applyFont="1" applyFill="1" applyBorder="1"/>
    <xf numFmtId="165" fontId="2" fillId="0" borderId="24" xfId="11" applyNumberFormat="1" applyFont="1" applyFill="1" applyBorder="1"/>
    <xf numFmtId="165" fontId="2" fillId="0" borderId="0" xfId="11" applyNumberFormat="1" applyFont="1" applyFill="1" applyBorder="1"/>
    <xf numFmtId="165" fontId="2" fillId="0" borderId="23" xfId="11" applyNumberFormat="1" applyFont="1" applyFill="1" applyBorder="1"/>
    <xf numFmtId="165" fontId="2" fillId="0" borderId="19" xfId="11" applyNumberFormat="1" applyFont="1" applyFill="1" applyBorder="1"/>
    <xf numFmtId="165" fontId="2" fillId="0" borderId="21" xfId="11" applyNumberFormat="1" applyFont="1" applyFill="1" applyBorder="1"/>
    <xf numFmtId="165" fontId="14" fillId="0" borderId="0" xfId="11" applyNumberFormat="1" applyFont="1" applyFill="1" applyBorder="1" applyAlignment="1">
      <alignment horizontal="center"/>
    </xf>
    <xf numFmtId="165" fontId="14" fillId="0" borderId="25" xfId="11" applyNumberFormat="1" applyFont="1" applyFill="1" applyBorder="1" applyAlignment="1">
      <alignment horizontal="center"/>
    </xf>
    <xf numFmtId="165" fontId="15" fillId="0" borderId="25" xfId="11" applyNumberFormat="1" applyFont="1" applyBorder="1" applyAlignment="1">
      <alignment horizontal="center"/>
    </xf>
    <xf numFmtId="165" fontId="2" fillId="0" borderId="6" xfId="6" applyNumberFormat="1" applyBorder="1"/>
    <xf numFmtId="165" fontId="2" fillId="0" borderId="0" xfId="6" applyNumberFormat="1"/>
    <xf numFmtId="165" fontId="2" fillId="0" borderId="7" xfId="6" applyNumberFormat="1" applyBorder="1"/>
    <xf numFmtId="165" fontId="2" fillId="0" borderId="26" xfId="6" applyNumberFormat="1" applyBorder="1"/>
    <xf numFmtId="165" fontId="2" fillId="0" borderId="25" xfId="6" applyNumberFormat="1" applyBorder="1"/>
    <xf numFmtId="165" fontId="2" fillId="0" borderId="27" xfId="6" applyNumberFormat="1" applyBorder="1"/>
    <xf numFmtId="165" fontId="2" fillId="0" borderId="3" xfId="6" applyNumberFormat="1" applyBorder="1"/>
    <xf numFmtId="165" fontId="2" fillId="0" borderId="4" xfId="6" applyNumberFormat="1" applyBorder="1"/>
    <xf numFmtId="165" fontId="2" fillId="0" borderId="5" xfId="6" applyNumberFormat="1" applyBorder="1"/>
    <xf numFmtId="0" fontId="3" fillId="0" borderId="4" xfId="5" applyFont="1" applyBorder="1"/>
    <xf numFmtId="0" fontId="2" fillId="0" borderId="4" xfId="6" applyBorder="1"/>
    <xf numFmtId="165" fontId="3" fillId="0" borderId="28" xfId="6" applyNumberFormat="1" applyFont="1" applyBorder="1"/>
    <xf numFmtId="165" fontId="3" fillId="0" borderId="29" xfId="6" applyNumberFormat="1" applyFont="1" applyBorder="1"/>
    <xf numFmtId="165" fontId="3" fillId="0" borderId="30" xfId="6" applyNumberFormat="1" applyFont="1" applyBorder="1"/>
    <xf numFmtId="165" fontId="3" fillId="0" borderId="0" xfId="4" applyNumberFormat="1" applyFont="1" applyAlignment="1">
      <alignment horizontal="center"/>
    </xf>
    <xf numFmtId="165" fontId="2" fillId="0" borderId="0" xfId="4" applyNumberFormat="1" applyAlignment="1">
      <alignment horizontal="center"/>
    </xf>
    <xf numFmtId="0" fontId="13" fillId="0" borderId="0" xfId="5" applyFont="1" applyAlignment="1">
      <alignment horizontal="center"/>
    </xf>
    <xf numFmtId="0" fontId="9" fillId="0" borderId="0" xfId="6" applyFont="1" applyAlignment="1">
      <alignment horizontal="right"/>
    </xf>
    <xf numFmtId="169" fontId="9" fillId="0" borderId="0" xfId="8" applyNumberFormat="1" applyFont="1" applyFill="1"/>
    <xf numFmtId="0" fontId="3" fillId="0" borderId="0" xfId="7" applyFont="1" applyAlignment="1">
      <alignment horizontal="center"/>
    </xf>
    <xf numFmtId="165" fontId="3" fillId="0" borderId="1" xfId="4" applyNumberFormat="1" applyFont="1" applyBorder="1"/>
    <xf numFmtId="166" fontId="2" fillId="0" borderId="0" xfId="6" applyNumberFormat="1"/>
    <xf numFmtId="10" fontId="6" fillId="0" borderId="0" xfId="8" applyNumberFormat="1" applyFont="1"/>
    <xf numFmtId="165" fontId="2" fillId="0" borderId="0" xfId="4" quotePrefix="1" applyNumberFormat="1" applyAlignment="1">
      <alignment horizontal="left"/>
    </xf>
    <xf numFmtId="165" fontId="6" fillId="0" borderId="0" xfId="1" applyNumberFormat="1" applyFont="1"/>
    <xf numFmtId="165" fontId="5" fillId="0" borderId="0" xfId="1" quotePrefix="1" applyNumberFormat="1" applyFont="1" applyBorder="1" applyAlignment="1">
      <alignment horizontal="center"/>
    </xf>
    <xf numFmtId="165" fontId="5" fillId="0" borderId="1" xfId="1" quotePrefix="1" applyNumberFormat="1" applyFont="1" applyBorder="1" applyAlignment="1">
      <alignment horizontal="center"/>
    </xf>
    <xf numFmtId="10" fontId="6" fillId="0" borderId="0" xfId="3" applyNumberFormat="1" applyFont="1" applyAlignment="1">
      <alignment horizontal="center"/>
    </xf>
    <xf numFmtId="165" fontId="3" fillId="0" borderId="0" xfId="6" applyNumberFormat="1" applyFont="1"/>
    <xf numFmtId="4" fontId="16" fillId="0" borderId="0" xfId="0" applyNumberFormat="1" applyFont="1"/>
    <xf numFmtId="165" fontId="2" fillId="0" borderId="0" xfId="1" applyNumberFormat="1" applyFont="1"/>
    <xf numFmtId="170" fontId="2" fillId="0" borderId="0" xfId="0" applyNumberFormat="1" applyFont="1" applyAlignment="1">
      <alignment horizontal="left"/>
    </xf>
    <xf numFmtId="0" fontId="3" fillId="0" borderId="0" xfId="0" quotePrefix="1" applyFont="1" applyAlignment="1">
      <alignment horizontal="center"/>
    </xf>
    <xf numFmtId="0" fontId="17" fillId="0" borderId="0" xfId="0" applyFont="1" applyAlignment="1">
      <alignment horizontal="center"/>
    </xf>
    <xf numFmtId="0" fontId="17" fillId="0" borderId="0" xfId="4" applyFont="1" applyAlignment="1">
      <alignment horizontal="center"/>
    </xf>
    <xf numFmtId="171" fontId="2" fillId="0" borderId="0" xfId="0" applyNumberFormat="1" applyFont="1"/>
    <xf numFmtId="0" fontId="18" fillId="0" borderId="0" xfId="0" applyFont="1"/>
    <xf numFmtId="165" fontId="18" fillId="0" borderId="0" xfId="0" applyNumberFormat="1" applyFont="1" applyAlignment="1" applyProtection="1">
      <alignment horizontal="center"/>
      <protection locked="0"/>
    </xf>
    <xf numFmtId="171" fontId="18" fillId="0" borderId="0" xfId="0" applyNumberFormat="1" applyFont="1"/>
    <xf numFmtId="166" fontId="2" fillId="0" borderId="0" xfId="0" applyNumberFormat="1" applyFont="1"/>
    <xf numFmtId="172" fontId="2" fillId="0" borderId="0" xfId="0" applyNumberFormat="1" applyFont="1"/>
    <xf numFmtId="43" fontId="2" fillId="0" borderId="0" xfId="0" applyNumberFormat="1" applyFont="1"/>
    <xf numFmtId="165" fontId="2" fillId="0" borderId="31" xfId="1" applyNumberFormat="1" applyFont="1" applyBorder="1"/>
    <xf numFmtId="165" fontId="18" fillId="0" borderId="0" xfId="1" applyNumberFormat="1" applyFont="1" applyBorder="1"/>
    <xf numFmtId="165" fontId="18" fillId="0" borderId="0" xfId="0" applyNumberFormat="1" applyFont="1"/>
    <xf numFmtId="173" fontId="2" fillId="0" borderId="0" xfId="8" applyNumberFormat="1" applyFont="1"/>
    <xf numFmtId="43" fontId="2" fillId="0" borderId="0" xfId="1" applyFont="1"/>
    <xf numFmtId="165" fontId="2" fillId="0" borderId="0" xfId="10" applyNumberFormat="1" applyFont="1"/>
    <xf numFmtId="0" fontId="19" fillId="0" borderId="0" xfId="4" applyFont="1" applyAlignment="1">
      <alignment horizontal="center"/>
    </xf>
    <xf numFmtId="165" fontId="2" fillId="0" borderId="31" xfId="0" applyNumberFormat="1" applyFont="1" applyBorder="1"/>
    <xf numFmtId="173" fontId="3" fillId="0" borderId="32" xfId="8" applyNumberFormat="1" applyFont="1" applyBorder="1"/>
    <xf numFmtId="169" fontId="2" fillId="0" borderId="0" xfId="8" applyNumberFormat="1" applyFont="1"/>
    <xf numFmtId="173" fontId="3" fillId="0" borderId="33" xfId="8" applyNumberFormat="1" applyFont="1" applyBorder="1"/>
    <xf numFmtId="173" fontId="2" fillId="0" borderId="0" xfId="0" applyNumberFormat="1" applyFont="1"/>
    <xf numFmtId="173" fontId="2" fillId="0" borderId="0" xfId="1" applyNumberFormat="1" applyFont="1"/>
    <xf numFmtId="167" fontId="5" fillId="0" borderId="3" xfId="1" applyNumberFormat="1" applyFont="1" applyFill="1" applyBorder="1" applyAlignment="1">
      <alignment horizontal="center"/>
    </xf>
    <xf numFmtId="167" fontId="5" fillId="0" borderId="4" xfId="1" applyNumberFormat="1" applyFont="1" applyFill="1" applyBorder="1" applyAlignment="1">
      <alignment horizontal="center"/>
    </xf>
    <xf numFmtId="167" fontId="5" fillId="0" borderId="5" xfId="1" applyNumberFormat="1" applyFont="1" applyFill="1" applyBorder="1" applyAlignment="1">
      <alignment horizontal="center"/>
    </xf>
    <xf numFmtId="0" fontId="2" fillId="0" borderId="0" xfId="0" applyFont="1" applyAlignment="1">
      <alignment horizontal="left" wrapText="1" indent="2"/>
    </xf>
  </cellXfs>
  <cellStyles count="12">
    <cellStyle name="Comma" xfId="1" builtinId="3"/>
    <cellStyle name="Comma 10" xfId="10"/>
    <cellStyle name="Comma 2 2 2" xfId="11"/>
    <cellStyle name="Currency" xfId="2" builtinId="4"/>
    <cellStyle name="Currency 2 2 2" xfId="9"/>
    <cellStyle name="Normal" xfId="0" builtinId="0"/>
    <cellStyle name="Normal 11 2" xfId="4"/>
    <cellStyle name="Normal 19" xfId="6"/>
    <cellStyle name="Normal 2 2" xfId="5"/>
    <cellStyle name="Normal 2 2 2" xfId="7"/>
    <cellStyle name="Percent" xfId="3" builtinId="5"/>
    <cellStyle name="Percent 2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62</xdr:row>
      <xdr:rowOff>95250</xdr:rowOff>
    </xdr:from>
    <xdr:to>
      <xdr:col>13</xdr:col>
      <xdr:colOff>3176</xdr:colOff>
      <xdr:row>66</xdr:row>
      <xdr:rowOff>3175</xdr:rowOff>
    </xdr:to>
    <xdr:sp macro="" textlink="">
      <xdr:nvSpPr>
        <xdr:cNvPr id="2" name="TextBox 1">
          <a:extLst>
            <a:ext uri="{FF2B5EF4-FFF2-40B4-BE49-F238E27FC236}">
              <a16:creationId xmlns:a16="http://schemas.microsoft.com/office/drawing/2014/main" xmlns="" id="{A2D71D25-27A4-4275-8114-D54E63AF71AE}"/>
            </a:ext>
          </a:extLst>
        </xdr:cNvPr>
        <xdr:cNvSpPr txBox="1"/>
      </xdr:nvSpPr>
      <xdr:spPr>
        <a:xfrm>
          <a:off x="0" y="10191750"/>
          <a:ext cx="14119226"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1) </a:t>
          </a:r>
          <a:r>
            <a:rPr lang="en-US" sz="1000" baseline="0">
              <a:solidFill>
                <a:schemeClr val="dk1"/>
              </a:solidFill>
              <a:latin typeface="Arial" pitchFamily="34" charset="0"/>
              <a:ea typeface="+mn-ea"/>
              <a:cs typeface="Arial" pitchFamily="34" charset="0"/>
            </a:rPr>
            <a:t>Exhibit RMP__(MRH-1) provides the actual 2022 REC sales by vintage and resource. </a:t>
          </a:r>
          <a:endParaRPr lang="en-US" sz="1000">
            <a:solidFill>
              <a:schemeClr val="dk1"/>
            </a:solidFill>
            <a:latin typeface="Arial" pitchFamily="34" charset="0"/>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rkenergy.sharepoint.com/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rkenergy.sharepoint.com/REGULATN/PA&amp;D/DSMRecov/2001/RECOV01.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brkenergy.sharepoint.com/Documents%20and%20Settings/p71328/Local%20Settings/Temporary%20Internet%20Files/Content.Outlook/6DN9NHMW/Documents%20and%20Settings/p70596/Local%20Settings/Temporary%20Internet%20Files/OLK3B/ORA%20Workpapers.xls?53D9B265" TargetMode="External"/><Relationship Id="rId1" Type="http://schemas.openxmlformats.org/officeDocument/2006/relationships/externalLinkPath" Target="file:///\\53D9B265\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rkenergy.sharepoint.com/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brkenergy.sharepoint.com/Documents%20and%20Settings/p71328/Local%20Settings/Temporary%20Internet%20Files/Content.Outlook/6DN9NHMW/REGULATN/PA&amp;D/CASES/Wy0902/EAST%20Blocking%20902.xls"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https://brkenergy.sharepoint.com/Documents%20and%20Settings/p71328/Local%20Settings/Temporary%20Internet%20Files/Content.Outlook/6DN9NHMW/Documents%20and%20Settings/p04092.000/Local%20Settings/Temporary%20Internet%20Files/OLK1AC/RECOV04.xls?0CD293E8" TargetMode="External"/><Relationship Id="rId1" Type="http://schemas.openxmlformats.org/officeDocument/2006/relationships/externalLinkPath" Target="file:///\\0CD293E8\RECOV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brkenergy.sharepoint.com/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0"/>
  <sheetViews>
    <sheetView workbookViewId="0"/>
  </sheetViews>
  <sheetFormatPr defaultColWidth="9.140625" defaultRowHeight="12.75" x14ac:dyDescent="0.2"/>
  <cols>
    <col min="1" max="1" width="18" style="3" customWidth="1"/>
    <col min="2" max="2" width="75" style="3" customWidth="1"/>
    <col min="3" max="3" width="8.140625" style="3" customWidth="1"/>
    <col min="4" max="16384" width="9.140625" style="3"/>
  </cols>
  <sheetData>
    <row r="2" spans="1:2" x14ac:dyDescent="0.2">
      <c r="A2" s="1" t="s">
        <v>0</v>
      </c>
      <c r="B2" s="2"/>
    </row>
    <row r="3" spans="1:2" x14ac:dyDescent="0.2">
      <c r="A3" s="4" t="s">
        <v>1</v>
      </c>
      <c r="B3" s="5" t="s">
        <v>2</v>
      </c>
    </row>
    <row r="4" spans="1:2" x14ac:dyDescent="0.2">
      <c r="A4" s="4" t="s">
        <v>3</v>
      </c>
      <c r="B4" s="5" t="s">
        <v>4</v>
      </c>
    </row>
    <row r="5" spans="1:2" x14ac:dyDescent="0.2">
      <c r="A5" s="6"/>
      <c r="B5" s="7"/>
    </row>
    <row r="6" spans="1:2" x14ac:dyDescent="0.2">
      <c r="A6" s="6"/>
      <c r="B6" s="7"/>
    </row>
    <row r="7" spans="1:2" x14ac:dyDescent="0.2">
      <c r="A7" s="8" t="s">
        <v>5</v>
      </c>
      <c r="B7" s="9" t="s">
        <v>6</v>
      </c>
    </row>
    <row r="8" spans="1:2" x14ac:dyDescent="0.2">
      <c r="A8" s="8" t="s">
        <v>7</v>
      </c>
      <c r="B8" s="9" t="s">
        <v>8</v>
      </c>
    </row>
    <row r="9" spans="1:2" x14ac:dyDescent="0.2">
      <c r="A9" s="10" t="s">
        <v>9</v>
      </c>
      <c r="B9" s="7" t="s">
        <v>10</v>
      </c>
    </row>
    <row r="10" spans="1:2" x14ac:dyDescent="0.2">
      <c r="A10" s="10" t="s">
        <v>11</v>
      </c>
      <c r="B10" s="7" t="s">
        <v>12</v>
      </c>
    </row>
    <row r="14" spans="1:2" ht="15" x14ac:dyDescent="0.3">
      <c r="A14" s="11"/>
      <c r="B14" s="12"/>
    </row>
    <row r="15" spans="1:2" x14ac:dyDescent="0.2">
      <c r="A15" s="10"/>
    </row>
    <row r="16" spans="1:2" x14ac:dyDescent="0.2">
      <c r="A16" s="10"/>
    </row>
    <row r="17" spans="1:2" x14ac:dyDescent="0.2">
      <c r="A17" s="10"/>
    </row>
    <row r="18" spans="1:2" x14ac:dyDescent="0.2">
      <c r="A18" s="10"/>
    </row>
    <row r="19" spans="1:2" x14ac:dyDescent="0.2">
      <c r="A19" s="10"/>
    </row>
    <row r="21" spans="1:2" ht="15" x14ac:dyDescent="0.3">
      <c r="A21" s="11"/>
      <c r="B21" s="12"/>
    </row>
    <row r="22" spans="1:2" x14ac:dyDescent="0.2">
      <c r="A22" s="10"/>
    </row>
    <row r="23" spans="1:2" x14ac:dyDescent="0.2">
      <c r="A23" s="10"/>
    </row>
    <row r="24" spans="1:2" x14ac:dyDescent="0.2">
      <c r="A24" s="10"/>
    </row>
    <row r="25" spans="1:2" x14ac:dyDescent="0.2">
      <c r="A25" s="10"/>
    </row>
    <row r="28" spans="1:2" ht="15" x14ac:dyDescent="0.3">
      <c r="A28" s="11"/>
      <c r="B28" s="12"/>
    </row>
    <row r="30" spans="1:2" x14ac:dyDescent="0.2">
      <c r="A30" s="10"/>
    </row>
  </sheetData>
  <pageMargins left="1" right="0.25" top="0.75" bottom="0.45" header="0.3" footer="0.1"/>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tabSelected="1" zoomScale="90" zoomScaleNormal="90" workbookViewId="0">
      <selection activeCell="A4" sqref="A4"/>
    </sheetView>
  </sheetViews>
  <sheetFormatPr defaultColWidth="9.140625" defaultRowHeight="12.75" x14ac:dyDescent="0.2"/>
  <cols>
    <col min="1" max="1" width="7.85546875" style="14" customWidth="1"/>
    <col min="2" max="4" width="9.140625" style="14"/>
    <col min="5" max="5" width="57.140625" style="14" customWidth="1"/>
    <col min="6" max="6" width="17" style="14" bestFit="1" customWidth="1"/>
    <col min="7" max="7" width="46.140625" style="14" bestFit="1" customWidth="1"/>
    <col min="8" max="8" width="15.7109375" style="14" customWidth="1"/>
    <col min="9" max="9" width="8" style="14" customWidth="1"/>
    <col min="10" max="10" width="8.42578125" style="14" customWidth="1"/>
    <col min="11" max="16384" width="9.140625" style="14"/>
  </cols>
  <sheetData>
    <row r="1" spans="1:8" x14ac:dyDescent="0.2">
      <c r="A1" s="13" t="s">
        <v>13</v>
      </c>
    </row>
    <row r="2" spans="1:8" x14ac:dyDescent="0.2">
      <c r="A2" s="13" t="s">
        <v>14</v>
      </c>
    </row>
    <row r="3" spans="1:8" x14ac:dyDescent="0.2">
      <c r="A3" s="15" t="s">
        <v>123</v>
      </c>
    </row>
    <row r="5" spans="1:8" x14ac:dyDescent="0.2">
      <c r="A5" s="16" t="s">
        <v>15</v>
      </c>
    </row>
    <row r="6" spans="1:8" x14ac:dyDescent="0.2">
      <c r="A6" s="16"/>
    </row>
    <row r="7" spans="1:8" x14ac:dyDescent="0.2">
      <c r="A7" s="13" t="s">
        <v>16</v>
      </c>
      <c r="G7" s="13" t="s">
        <v>17</v>
      </c>
    </row>
    <row r="8" spans="1:8" x14ac:dyDescent="0.2">
      <c r="A8" s="17"/>
      <c r="B8" s="13" t="str">
        <f>YEAR(A3)&amp;" RBA Deferral Balance Calculation:"</f>
        <v>2023 RBA Deferral Balance Calculation:</v>
      </c>
    </row>
    <row r="9" spans="1:8" x14ac:dyDescent="0.2">
      <c r="A9" s="17">
        <v>1</v>
      </c>
      <c r="B9" s="18" t="s">
        <v>18</v>
      </c>
      <c r="F9" s="19">
        <v>1932710.6792261279</v>
      </c>
      <c r="G9" s="14" t="s">
        <v>19</v>
      </c>
    </row>
    <row r="10" spans="1:8" x14ac:dyDescent="0.2">
      <c r="A10" s="17">
        <f>+A9+1</f>
        <v>2</v>
      </c>
      <c r="B10" s="18" t="s">
        <v>20</v>
      </c>
      <c r="F10" s="20">
        <v>13352</v>
      </c>
      <c r="G10" s="14" t="s">
        <v>21</v>
      </c>
    </row>
    <row r="11" spans="1:8" x14ac:dyDescent="0.2">
      <c r="A11" s="17">
        <f t="shared" ref="A11:A12" si="0">+A10+1</f>
        <v>3</v>
      </c>
      <c r="B11" s="18" t="s">
        <v>22</v>
      </c>
      <c r="F11" s="21">
        <v>34261</v>
      </c>
      <c r="G11" s="14" t="s">
        <v>21</v>
      </c>
    </row>
    <row r="12" spans="1:8" x14ac:dyDescent="0.2">
      <c r="A12" s="17">
        <f t="shared" si="0"/>
        <v>4</v>
      </c>
      <c r="B12" s="18" t="s">
        <v>23</v>
      </c>
      <c r="F12" s="20">
        <f>SUM(F9:F11)</f>
        <v>1980323.6792261279</v>
      </c>
      <c r="G12" s="14" t="s">
        <v>24</v>
      </c>
    </row>
    <row r="13" spans="1:8" x14ac:dyDescent="0.2">
      <c r="A13" s="17">
        <f>+A12+1</f>
        <v>5</v>
      </c>
      <c r="B13" s="18" t="str">
        <f>YEAR(A3)-1&amp;" Actual REC Revenue"</f>
        <v>2022 Actual REC Revenue</v>
      </c>
      <c r="F13" s="20">
        <f>'RMP_(SEM-2)'!P16</f>
        <v>4020070.5572480024</v>
      </c>
      <c r="G13" s="14" t="s">
        <v>25</v>
      </c>
      <c r="H13" s="22"/>
    </row>
    <row r="14" spans="1:8" x14ac:dyDescent="0.2">
      <c r="A14" s="17">
        <f t="shared" ref="A14:A22" si="1">+A13+1</f>
        <v>6</v>
      </c>
      <c r="B14" s="18" t="s">
        <v>26</v>
      </c>
      <c r="F14" s="20">
        <f>-'RMP_(SEM-2)'!P17</f>
        <v>-402007.05572480027</v>
      </c>
      <c r="G14" s="14" t="s">
        <v>27</v>
      </c>
    </row>
    <row r="15" spans="1:8" x14ac:dyDescent="0.2">
      <c r="A15" s="17">
        <f t="shared" si="1"/>
        <v>7</v>
      </c>
      <c r="B15" s="18" t="str">
        <f>YEAR(A3)-1&amp;" Leaning Juniper Wind Wake loss Revenue and Pryor Mountain Revenue"</f>
        <v>2022 Leaning Juniper Wind Wake loss Revenue and Pryor Mountain Revenue</v>
      </c>
      <c r="F15" s="20">
        <f>'RMP_(SEM-2)'!P20</f>
        <v>376816.67194970208</v>
      </c>
      <c r="G15" s="14" t="s">
        <v>28</v>
      </c>
    </row>
    <row r="16" spans="1:8" x14ac:dyDescent="0.2">
      <c r="A16" s="17">
        <f t="shared" si="1"/>
        <v>8</v>
      </c>
      <c r="B16" s="18" t="str">
        <f>YEAR(A3)-1&amp;" Kennecott Contract Revenue"</f>
        <v>2022 Kennecott Contract Revenue</v>
      </c>
      <c r="F16" s="20">
        <f>'RMP_(SEM-2)'!P22</f>
        <v>600000</v>
      </c>
      <c r="G16" s="14" t="s">
        <v>29</v>
      </c>
    </row>
    <row r="17" spans="1:7" x14ac:dyDescent="0.2">
      <c r="A17" s="17">
        <f t="shared" si="1"/>
        <v>9</v>
      </c>
      <c r="B17" s="18" t="str">
        <f>YEAR(A3)-1&amp;" REC Revenues in Base Rates"</f>
        <v>2022 REC Revenues in Base Rates</v>
      </c>
      <c r="F17" s="20">
        <f>-'RMP_(SEM-2)'!P33</f>
        <v>-3571690.847460045</v>
      </c>
      <c r="G17" s="14" t="s">
        <v>30</v>
      </c>
    </row>
    <row r="18" spans="1:7" x14ac:dyDescent="0.2">
      <c r="A18" s="17">
        <f t="shared" si="1"/>
        <v>10</v>
      </c>
      <c r="B18" s="18" t="str">
        <f>YEAR(A3)-1&amp;" Schedule 98 Surcharge/(Surcredit)"</f>
        <v>2022 Schedule 98 Surcharge/(Surcredit)</v>
      </c>
      <c r="F18" s="20">
        <f>-'RMP_(SEM-2)'!P35</f>
        <v>-1429109.09</v>
      </c>
      <c r="G18" s="14" t="s">
        <v>31</v>
      </c>
    </row>
    <row r="19" spans="1:7" x14ac:dyDescent="0.2">
      <c r="A19" s="17">
        <f t="shared" si="1"/>
        <v>11</v>
      </c>
      <c r="B19" s="18" t="s">
        <v>32</v>
      </c>
      <c r="F19" s="20">
        <f>-'RMP_(SEM-2)'!J53</f>
        <v>-580145.42999999993</v>
      </c>
      <c r="G19" s="14" t="s">
        <v>33</v>
      </c>
    </row>
    <row r="20" spans="1:7" x14ac:dyDescent="0.2">
      <c r="A20" s="17">
        <f t="shared" si="1"/>
        <v>12</v>
      </c>
      <c r="B20" s="18" t="str">
        <f>"Carrying Charges for Deferral Period (January - December "&amp;YEAR(A3)-1&amp;")"</f>
        <v>Carrying Charges for Deferral Period (January - December 2022)</v>
      </c>
      <c r="F20" s="20">
        <f>'RMP_(SEM-2)'!P44</f>
        <v>71304.737420587451</v>
      </c>
      <c r="G20" s="14" t="s">
        <v>34</v>
      </c>
    </row>
    <row r="21" spans="1:7" x14ac:dyDescent="0.2">
      <c r="A21" s="17">
        <f t="shared" si="1"/>
        <v>13</v>
      </c>
      <c r="B21" s="18" t="str">
        <f>"Carrying Charges for Interim Period (January "&amp;YEAR(A3)&amp;" - May "&amp;YEAR(A3)&amp;")"</f>
        <v>Carrying Charges for Interim Period (January 2023 - May 2023)</v>
      </c>
      <c r="F21" s="20">
        <f>'RMP_(SEM-2)'!J57</f>
        <v>20605.840576812774</v>
      </c>
      <c r="G21" s="14" t="s">
        <v>35</v>
      </c>
    </row>
    <row r="22" spans="1:7" x14ac:dyDescent="0.2">
      <c r="A22" s="17">
        <f t="shared" si="1"/>
        <v>14</v>
      </c>
      <c r="B22" s="13" t="str">
        <f>"Total "&amp;YEAR(A3)&amp;" RBA Deferral Balance"</f>
        <v>Total 2023 RBA Deferral Balance</v>
      </c>
      <c r="F22" s="23">
        <f>SUM(F12:F21)</f>
        <v>1086169.0632363872</v>
      </c>
    </row>
    <row r="23" spans="1:7" x14ac:dyDescent="0.2">
      <c r="A23" s="17"/>
      <c r="F23" s="24"/>
    </row>
    <row r="24" spans="1:7" customFormat="1" ht="15" x14ac:dyDescent="0.25"/>
    <row r="25" spans="1:7" customFormat="1" ht="15" x14ac:dyDescent="0.25"/>
    <row r="26" spans="1:7" customFormat="1" ht="15" x14ac:dyDescent="0.25"/>
    <row r="27" spans="1:7" customFormat="1" ht="15" x14ac:dyDescent="0.25">
      <c r="F27" s="25"/>
    </row>
    <row r="28" spans="1:7" customFormat="1" ht="15" x14ac:dyDescent="0.25">
      <c r="F28" s="25"/>
    </row>
    <row r="29" spans="1:7" customFormat="1" ht="15" x14ac:dyDescent="0.25">
      <c r="F29" s="25"/>
    </row>
    <row r="30" spans="1:7" customFormat="1" ht="15" x14ac:dyDescent="0.25">
      <c r="F30" s="25"/>
    </row>
    <row r="31" spans="1:7" customFormat="1" ht="15" x14ac:dyDescent="0.25">
      <c r="F31" s="25"/>
    </row>
    <row r="32" spans="1:7" customFormat="1" ht="15" x14ac:dyDescent="0.25">
      <c r="F32" s="25"/>
    </row>
    <row r="33" spans="1:8" customFormat="1" ht="15" x14ac:dyDescent="0.25">
      <c r="F33" s="25"/>
    </row>
    <row r="34" spans="1:8" customFormat="1" ht="13.5" customHeight="1" x14ac:dyDescent="0.25">
      <c r="F34" s="25"/>
    </row>
    <row r="35" spans="1:8" customFormat="1" ht="15" x14ac:dyDescent="0.25">
      <c r="F35" s="25"/>
    </row>
    <row r="36" spans="1:8" customFormat="1" ht="15" x14ac:dyDescent="0.25">
      <c r="F36" s="25"/>
    </row>
    <row r="37" spans="1:8" customFormat="1" ht="15" x14ac:dyDescent="0.25">
      <c r="F37" s="25"/>
    </row>
    <row r="38" spans="1:8" x14ac:dyDescent="0.2">
      <c r="F38" s="26"/>
    </row>
    <row r="39" spans="1:8" x14ac:dyDescent="0.2">
      <c r="F39" s="26"/>
    </row>
    <row r="40" spans="1:8" x14ac:dyDescent="0.2">
      <c r="A40" s="17"/>
      <c r="F40" s="26"/>
    </row>
    <row r="41" spans="1:8" x14ac:dyDescent="0.2">
      <c r="A41" s="17"/>
      <c r="G41" s="17"/>
    </row>
    <row r="42" spans="1:8" x14ac:dyDescent="0.2">
      <c r="A42" s="27"/>
      <c r="B42" s="13"/>
      <c r="C42" s="13"/>
      <c r="D42" s="13"/>
      <c r="E42" s="13"/>
      <c r="F42" s="28"/>
      <c r="G42" s="28"/>
    </row>
    <row r="43" spans="1:8" x14ac:dyDescent="0.2">
      <c r="A43" s="17"/>
      <c r="F43" s="29"/>
      <c r="G43" s="29"/>
      <c r="H43" s="13"/>
    </row>
    <row r="44" spans="1:8" x14ac:dyDescent="0.2">
      <c r="A44" s="17"/>
      <c r="F44" s="29"/>
      <c r="G44" s="29"/>
    </row>
    <row r="45" spans="1:8" x14ac:dyDescent="0.2">
      <c r="A45" s="17"/>
      <c r="F45" s="30"/>
      <c r="G45" s="30"/>
    </row>
    <row r="46" spans="1:8" x14ac:dyDescent="0.2">
      <c r="A46" s="17"/>
      <c r="G46" s="31"/>
    </row>
    <row r="47" spans="1:8" x14ac:dyDescent="0.2">
      <c r="A47" s="17"/>
      <c r="G47" s="31"/>
    </row>
    <row r="48" spans="1:8" x14ac:dyDescent="0.2">
      <c r="A48" s="17"/>
      <c r="G48" s="31"/>
    </row>
    <row r="49" spans="1:9" x14ac:dyDescent="0.2">
      <c r="A49" s="17"/>
      <c r="G49" s="31"/>
    </row>
    <row r="50" spans="1:9" x14ac:dyDescent="0.2">
      <c r="A50" s="17"/>
      <c r="F50" s="31"/>
      <c r="G50" s="31"/>
    </row>
    <row r="51" spans="1:9" x14ac:dyDescent="0.2">
      <c r="A51" s="17"/>
      <c r="F51" s="31"/>
      <c r="G51" s="31"/>
    </row>
    <row r="52" spans="1:9" x14ac:dyDescent="0.2">
      <c r="A52" s="17"/>
      <c r="F52" s="31"/>
      <c r="G52" s="31"/>
    </row>
    <row r="53" spans="1:9" x14ac:dyDescent="0.2">
      <c r="A53" s="17"/>
      <c r="F53" s="31"/>
      <c r="G53" s="31"/>
    </row>
    <row r="54" spans="1:9" x14ac:dyDescent="0.2">
      <c r="A54" s="17"/>
      <c r="F54" s="31"/>
      <c r="G54" s="31"/>
    </row>
    <row r="55" spans="1:9" x14ac:dyDescent="0.2">
      <c r="A55" s="17"/>
      <c r="F55" s="31"/>
      <c r="G55" s="31"/>
    </row>
    <row r="56" spans="1:9" x14ac:dyDescent="0.2">
      <c r="F56" s="31"/>
      <c r="G56" s="31"/>
      <c r="H56" s="31"/>
      <c r="I56" s="31"/>
    </row>
    <row r="109" spans="2:2" x14ac:dyDescent="0.2">
      <c r="B109" s="14">
        <f>EDATE(B106,1)</f>
        <v>31</v>
      </c>
    </row>
    <row r="110" spans="2:2" x14ac:dyDescent="0.2">
      <c r="B110" s="14">
        <f>EDATE(B109,1)</f>
        <v>59</v>
      </c>
    </row>
    <row r="111" spans="2:2" x14ac:dyDescent="0.2">
      <c r="B111" s="14">
        <f t="shared" ref="B111:B120" si="2">EDATE(B110,1)</f>
        <v>88</v>
      </c>
    </row>
    <row r="112" spans="2:2" x14ac:dyDescent="0.2">
      <c r="B112" s="14">
        <f t="shared" si="2"/>
        <v>119</v>
      </c>
    </row>
    <row r="113" spans="2:2" x14ac:dyDescent="0.2">
      <c r="B113" s="14">
        <f t="shared" si="2"/>
        <v>149</v>
      </c>
    </row>
    <row r="114" spans="2:2" x14ac:dyDescent="0.2">
      <c r="B114" s="14">
        <f t="shared" si="2"/>
        <v>180</v>
      </c>
    </row>
    <row r="115" spans="2:2" x14ac:dyDescent="0.2">
      <c r="B115" s="14">
        <f t="shared" si="2"/>
        <v>210</v>
      </c>
    </row>
    <row r="116" spans="2:2" x14ac:dyDescent="0.2">
      <c r="B116" s="14">
        <f t="shared" si="2"/>
        <v>241</v>
      </c>
    </row>
    <row r="117" spans="2:2" x14ac:dyDescent="0.2">
      <c r="B117" s="14">
        <f t="shared" si="2"/>
        <v>272</v>
      </c>
    </row>
    <row r="118" spans="2:2" x14ac:dyDescent="0.2">
      <c r="B118" s="14">
        <f t="shared" si="2"/>
        <v>302</v>
      </c>
    </row>
    <row r="119" spans="2:2" x14ac:dyDescent="0.2">
      <c r="B119" s="14">
        <f t="shared" si="2"/>
        <v>333</v>
      </c>
    </row>
    <row r="120" spans="2:2" x14ac:dyDescent="0.2">
      <c r="B120" s="14">
        <f t="shared" si="2"/>
        <v>363</v>
      </c>
    </row>
  </sheetData>
  <pageMargins left="0.7" right="0.7" top="0.75" bottom="0.75" header="0.3" footer="0.3"/>
  <pageSetup scale="71" orientation="landscape" r:id="rId1"/>
  <headerFooter>
    <oddFooter>&amp;C&amp;"Arial,Regular"&amp;10RMP__(SEM-1)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2"/>
  <sheetViews>
    <sheetView view="pageBreakPreview" zoomScale="70" zoomScaleNormal="100" zoomScaleSheetLayoutView="70" workbookViewId="0">
      <selection activeCell="A4" sqref="A4"/>
    </sheetView>
  </sheetViews>
  <sheetFormatPr defaultColWidth="9.140625" defaultRowHeight="12.75" x14ac:dyDescent="0.2"/>
  <cols>
    <col min="1" max="1" width="9.140625" style="33"/>
    <col min="2" max="2" width="46.42578125" style="33" customWidth="1"/>
    <col min="3" max="3" width="32.28515625" style="33" customWidth="1"/>
    <col min="4" max="4" width="14.85546875" style="14" customWidth="1"/>
    <col min="5" max="8" width="11.28515625" style="14" customWidth="1"/>
    <col min="9" max="9" width="12.42578125" style="14" bestFit="1" customWidth="1"/>
    <col min="10" max="16" width="11.28515625" style="14" customWidth="1"/>
    <col min="17" max="17" width="12.42578125" style="34" bestFit="1" customWidth="1"/>
    <col min="18" max="18" width="14.28515625" style="14" bestFit="1" customWidth="1"/>
    <col min="19" max="16384" width="9.140625" style="14"/>
  </cols>
  <sheetData>
    <row r="1" spans="1:17" x14ac:dyDescent="0.2">
      <c r="A1" s="32" t="s">
        <v>13</v>
      </c>
    </row>
    <row r="2" spans="1:17" x14ac:dyDescent="0.2">
      <c r="A2" s="32" t="s">
        <v>14</v>
      </c>
    </row>
    <row r="3" spans="1:17" x14ac:dyDescent="0.2">
      <c r="A3" s="35" t="s">
        <v>123</v>
      </c>
    </row>
    <row r="4" spans="1:17" x14ac:dyDescent="0.2">
      <c r="D4" s="31"/>
    </row>
    <row r="5" spans="1:17" x14ac:dyDescent="0.2">
      <c r="A5" s="36" t="str">
        <f>"Calendar Year "&amp;YEAR(A3)-1</f>
        <v>Calendar Year 2022</v>
      </c>
    </row>
    <row r="6" spans="1:17" x14ac:dyDescent="0.2">
      <c r="D6" s="31"/>
      <c r="E6" s="31"/>
      <c r="F6" s="31"/>
      <c r="G6" s="31"/>
      <c r="H6" s="31"/>
      <c r="I6" s="31"/>
      <c r="J6" s="31"/>
      <c r="K6" s="31"/>
      <c r="L6" s="31"/>
    </row>
    <row r="7" spans="1:17" x14ac:dyDescent="0.2">
      <c r="A7" s="32" t="str">
        <f>YEAR(A3)&amp;" RBA (Deferral of CY "&amp;YEAR(A3)-1&amp;" REC Revenue)"</f>
        <v>2023 RBA (Deferral of CY 2022 REC Revenue)</v>
      </c>
      <c r="D7" s="208" t="s">
        <v>36</v>
      </c>
      <c r="E7" s="209"/>
      <c r="F7" s="209"/>
      <c r="G7" s="209"/>
      <c r="H7" s="209"/>
      <c r="I7" s="209"/>
      <c r="J7" s="209"/>
      <c r="K7" s="209"/>
      <c r="L7" s="209"/>
      <c r="M7" s="209"/>
      <c r="N7" s="209"/>
      <c r="O7" s="210"/>
    </row>
    <row r="8" spans="1:17" x14ac:dyDescent="0.2">
      <c r="B8" s="32"/>
      <c r="C8" s="32"/>
      <c r="D8" s="37"/>
      <c r="E8" s="30"/>
      <c r="F8" s="30"/>
      <c r="G8" s="30"/>
      <c r="H8" s="30"/>
      <c r="I8" s="30"/>
      <c r="J8" s="30"/>
      <c r="K8" s="30"/>
      <c r="L8" s="30"/>
      <c r="O8" s="38"/>
    </row>
    <row r="9" spans="1:17" x14ac:dyDescent="0.2">
      <c r="A9" s="39" t="s">
        <v>16</v>
      </c>
      <c r="B9" s="39"/>
      <c r="C9" s="40" t="s">
        <v>17</v>
      </c>
      <c r="D9" s="41">
        <v>44562</v>
      </c>
      <c r="E9" s="42">
        <f>EDATE(D9,1)</f>
        <v>44593</v>
      </c>
      <c r="F9" s="42">
        <f t="shared" ref="F9:O9" si="0">EDATE(E9,1)</f>
        <v>44621</v>
      </c>
      <c r="G9" s="42">
        <f t="shared" si="0"/>
        <v>44652</v>
      </c>
      <c r="H9" s="42">
        <f t="shared" si="0"/>
        <v>44682</v>
      </c>
      <c r="I9" s="42">
        <f t="shared" si="0"/>
        <v>44713</v>
      </c>
      <c r="J9" s="42">
        <f t="shared" si="0"/>
        <v>44743</v>
      </c>
      <c r="K9" s="42">
        <f t="shared" si="0"/>
        <v>44774</v>
      </c>
      <c r="L9" s="42">
        <f t="shared" si="0"/>
        <v>44805</v>
      </c>
      <c r="M9" s="42">
        <f t="shared" si="0"/>
        <v>44835</v>
      </c>
      <c r="N9" s="42">
        <f t="shared" si="0"/>
        <v>44866</v>
      </c>
      <c r="O9" s="43">
        <f t="shared" si="0"/>
        <v>44896</v>
      </c>
      <c r="P9" s="44" t="s">
        <v>37</v>
      </c>
    </row>
    <row r="10" spans="1:17" x14ac:dyDescent="0.2">
      <c r="D10" s="45"/>
      <c r="O10" s="38"/>
    </row>
    <row r="11" spans="1:17" x14ac:dyDescent="0.2">
      <c r="A11" s="46"/>
      <c r="B11" s="32" t="s">
        <v>38</v>
      </c>
      <c r="C11" s="32"/>
      <c r="D11" s="37"/>
      <c r="E11" s="30"/>
      <c r="F11" s="30"/>
      <c r="G11" s="30"/>
      <c r="H11" s="30"/>
      <c r="I11" s="30"/>
      <c r="J11" s="30"/>
      <c r="K11" s="30"/>
      <c r="L11" s="30"/>
      <c r="M11" s="30"/>
      <c r="N11" s="30"/>
      <c r="O11" s="47"/>
      <c r="P11" s="31"/>
    </row>
    <row r="12" spans="1:17" x14ac:dyDescent="0.2">
      <c r="A12" s="46">
        <f>MAX($A$10:A11)+1</f>
        <v>1</v>
      </c>
      <c r="B12" s="48" t="s">
        <v>39</v>
      </c>
      <c r="C12" s="49" t="s">
        <v>40</v>
      </c>
      <c r="D12" s="50">
        <v>489076.25</v>
      </c>
      <c r="E12" s="31">
        <v>179538.14</v>
      </c>
      <c r="F12" s="31">
        <v>1692339.7599999998</v>
      </c>
      <c r="G12" s="31">
        <v>1634437</v>
      </c>
      <c r="H12" s="31">
        <v>206809.87999999989</v>
      </c>
      <c r="I12" s="31">
        <v>436166.75</v>
      </c>
      <c r="J12" s="31">
        <v>319762.06</v>
      </c>
      <c r="K12" s="31">
        <v>7827.6199999999953</v>
      </c>
      <c r="L12" s="31">
        <v>-341562.81</v>
      </c>
      <c r="M12" s="31">
        <v>0</v>
      </c>
      <c r="N12" s="31">
        <v>0</v>
      </c>
      <c r="O12" s="51">
        <v>1225000</v>
      </c>
      <c r="P12" s="31">
        <f>SUM(D12:O12)</f>
        <v>5849394.6499999994</v>
      </c>
      <c r="Q12" s="52"/>
    </row>
    <row r="13" spans="1:17" ht="7.5" customHeight="1" x14ac:dyDescent="0.2">
      <c r="A13" s="46"/>
      <c r="B13" s="48"/>
      <c r="C13" s="49"/>
      <c r="D13" s="45"/>
      <c r="O13" s="38"/>
    </row>
    <row r="14" spans="1:17" x14ac:dyDescent="0.2">
      <c r="A14" s="46">
        <f>MAX($A$10:A12)+1</f>
        <v>2</v>
      </c>
      <c r="B14" s="48" t="s">
        <v>41</v>
      </c>
      <c r="C14" s="49" t="s">
        <v>9</v>
      </c>
      <c r="D14" s="53">
        <f>'Page 2.1'!$E$53</f>
        <v>0.6872626652482754</v>
      </c>
      <c r="E14" s="54">
        <f>'Page 2.1'!$E$53</f>
        <v>0.6872626652482754</v>
      </c>
      <c r="F14" s="54">
        <f>'Page 2.1'!$E$53</f>
        <v>0.6872626652482754</v>
      </c>
      <c r="G14" s="54">
        <f>'Page 2.1'!$E$53</f>
        <v>0.6872626652482754</v>
      </c>
      <c r="H14" s="54">
        <f>'Page 2.1'!$E$53</f>
        <v>0.6872626652482754</v>
      </c>
      <c r="I14" s="54">
        <f>'Page 2.1'!$E$53</f>
        <v>0.6872626652482754</v>
      </c>
      <c r="J14" s="54">
        <f>'Page 2.1'!$E$53</f>
        <v>0.6872626652482754</v>
      </c>
      <c r="K14" s="54">
        <f>'Page 2.1'!$E$53</f>
        <v>0.6872626652482754</v>
      </c>
      <c r="L14" s="54">
        <f>'Page 2.1'!$E$53</f>
        <v>0.6872626652482754</v>
      </c>
      <c r="M14" s="54">
        <f>'Page 2.1'!$E$53</f>
        <v>0.6872626652482754</v>
      </c>
      <c r="N14" s="54">
        <f>'Page 2.1'!$E$53</f>
        <v>0.6872626652482754</v>
      </c>
      <c r="O14" s="55">
        <f>'Page 2.1'!$E$53</f>
        <v>0.6872626652482754</v>
      </c>
    </row>
    <row r="15" spans="1:17" ht="7.5" customHeight="1" x14ac:dyDescent="0.2">
      <c r="A15" s="46"/>
      <c r="B15" s="48"/>
      <c r="C15" s="49"/>
      <c r="D15" s="45"/>
      <c r="O15" s="38"/>
    </row>
    <row r="16" spans="1:17" x14ac:dyDescent="0.2">
      <c r="A16" s="46">
        <f>MAX($A$10:A15)+1</f>
        <v>3</v>
      </c>
      <c r="B16" s="48" t="s">
        <v>42</v>
      </c>
      <c r="C16" s="49" t="s">
        <v>43</v>
      </c>
      <c r="D16" s="50">
        <f t="shared" ref="D16:O16" si="1">D12*D14</f>
        <v>336123.84708463185</v>
      </c>
      <c r="E16" s="31">
        <f t="shared" si="1"/>
        <v>123389.86061011802</v>
      </c>
      <c r="F16" s="31">
        <f t="shared" si="1"/>
        <v>1163081.9339632266</v>
      </c>
      <c r="G16" s="31">
        <f t="shared" si="1"/>
        <v>1123287.5288003956</v>
      </c>
      <c r="H16" s="31">
        <f t="shared" si="1"/>
        <v>142132.70932847593</v>
      </c>
      <c r="I16" s="31">
        <f t="shared" si="1"/>
        <v>299761.12309767824</v>
      </c>
      <c r="J16" s="31">
        <f t="shared" si="1"/>
        <v>219760.52560087896</v>
      </c>
      <c r="K16" s="31">
        <f t="shared" si="1"/>
        <v>5379.6309837507024</v>
      </c>
      <c r="L16" s="31">
        <f t="shared" si="1"/>
        <v>-234743.36715029029</v>
      </c>
      <c r="M16" s="31">
        <f t="shared" si="1"/>
        <v>0</v>
      </c>
      <c r="N16" s="31">
        <f t="shared" si="1"/>
        <v>0</v>
      </c>
      <c r="O16" s="51">
        <f t="shared" si="1"/>
        <v>841896.76492913731</v>
      </c>
      <c r="P16" s="31">
        <f>SUM(D16:O16)</f>
        <v>4020070.5572480024</v>
      </c>
      <c r="Q16" s="52"/>
    </row>
    <row r="17" spans="1:18" x14ac:dyDescent="0.2">
      <c r="A17" s="46">
        <f>MAX($A$10:A16)+1</f>
        <v>4</v>
      </c>
      <c r="B17" s="48" t="s">
        <v>44</v>
      </c>
      <c r="C17" s="49" t="s">
        <v>45</v>
      </c>
      <c r="D17" s="50">
        <f>D16*0.1</f>
        <v>33612.384708463185</v>
      </c>
      <c r="E17" s="31">
        <f t="shared" ref="E17:N17" si="2">E16*0.1</f>
        <v>12338.986061011803</v>
      </c>
      <c r="F17" s="31">
        <f t="shared" si="2"/>
        <v>116308.19339632266</v>
      </c>
      <c r="G17" s="31">
        <f t="shared" si="2"/>
        <v>112328.75288003957</v>
      </c>
      <c r="H17" s="31">
        <f t="shared" si="2"/>
        <v>14213.270932847594</v>
      </c>
      <c r="I17" s="31">
        <f t="shared" si="2"/>
        <v>29976.112309767825</v>
      </c>
      <c r="J17" s="31">
        <f t="shared" si="2"/>
        <v>21976.052560087897</v>
      </c>
      <c r="K17" s="31">
        <f t="shared" si="2"/>
        <v>537.96309837507022</v>
      </c>
      <c r="L17" s="31">
        <f t="shared" si="2"/>
        <v>-23474.336715029029</v>
      </c>
      <c r="M17" s="31">
        <f t="shared" si="2"/>
        <v>0</v>
      </c>
      <c r="N17" s="31">
        <f t="shared" si="2"/>
        <v>0</v>
      </c>
      <c r="O17" s="51">
        <f>O16*0.1</f>
        <v>84189.676492913743</v>
      </c>
      <c r="P17" s="31">
        <f>SUM(D17:O17)</f>
        <v>402007.05572480027</v>
      </c>
      <c r="Q17" s="52"/>
    </row>
    <row r="18" spans="1:18" x14ac:dyDescent="0.2">
      <c r="A18" s="46">
        <f>MAX($A$10:A17)+1</f>
        <v>5</v>
      </c>
      <c r="B18" s="48" t="s">
        <v>46</v>
      </c>
      <c r="C18" s="49" t="s">
        <v>47</v>
      </c>
      <c r="D18" s="50">
        <f>D16-D17</f>
        <v>302511.4623761687</v>
      </c>
      <c r="E18" s="31">
        <f t="shared" ref="E18:O18" si="3">E16-E17</f>
        <v>111050.87454910621</v>
      </c>
      <c r="F18" s="31">
        <f t="shared" si="3"/>
        <v>1046773.740566904</v>
      </c>
      <c r="G18" s="31">
        <f t="shared" si="3"/>
        <v>1010958.7759203559</v>
      </c>
      <c r="H18" s="31">
        <f t="shared" si="3"/>
        <v>127919.43839562834</v>
      </c>
      <c r="I18" s="31">
        <f t="shared" si="3"/>
        <v>269785.01078791043</v>
      </c>
      <c r="J18" s="31">
        <f t="shared" si="3"/>
        <v>197784.47304079105</v>
      </c>
      <c r="K18" s="31">
        <f t="shared" si="3"/>
        <v>4841.6678853756321</v>
      </c>
      <c r="L18" s="31">
        <f t="shared" si="3"/>
        <v>-211269.03043526126</v>
      </c>
      <c r="M18" s="31">
        <f t="shared" si="3"/>
        <v>0</v>
      </c>
      <c r="N18" s="31">
        <f t="shared" si="3"/>
        <v>0</v>
      </c>
      <c r="O18" s="51">
        <f t="shared" si="3"/>
        <v>757707.08843622357</v>
      </c>
      <c r="P18" s="31">
        <f>SUM(D18:O18)</f>
        <v>3618063.5015232028</v>
      </c>
      <c r="Q18" s="52"/>
    </row>
    <row r="19" spans="1:18" x14ac:dyDescent="0.2">
      <c r="A19" s="46"/>
      <c r="B19" s="48"/>
      <c r="C19" s="49"/>
      <c r="D19" s="50"/>
      <c r="E19" s="31"/>
      <c r="F19" s="31"/>
      <c r="G19" s="31"/>
      <c r="H19" s="31"/>
      <c r="I19" s="31"/>
      <c r="J19" s="31"/>
      <c r="K19" s="31"/>
      <c r="L19" s="31"/>
      <c r="M19" s="31"/>
      <c r="N19" s="31"/>
      <c r="O19" s="51"/>
      <c r="P19" s="31"/>
      <c r="Q19" s="52"/>
    </row>
    <row r="20" spans="1:18" x14ac:dyDescent="0.2">
      <c r="A20" s="46">
        <f>MAX($A$10:A19)+1</f>
        <v>6</v>
      </c>
      <c r="B20" s="48" t="str">
        <f>"Leaning Juniper &amp; Pryor Mountain Revenue CY "&amp;YEAR(A3)-1</f>
        <v>Leaning Juniper &amp; Pryor Mountain Revenue CY 2022</v>
      </c>
      <c r="C20" s="49" t="s">
        <v>9</v>
      </c>
      <c r="D20" s="50">
        <v>41445.381095215707</v>
      </c>
      <c r="E20" s="31">
        <v>39682.301699691576</v>
      </c>
      <c r="F20" s="31">
        <v>48595.316820292035</v>
      </c>
      <c r="G20" s="31">
        <v>38068.178450942454</v>
      </c>
      <c r="H20" s="31">
        <v>36231.94759799436</v>
      </c>
      <c r="I20" s="31">
        <v>39330.551849951706</v>
      </c>
      <c r="J20" s="31">
        <v>27290.004565412113</v>
      </c>
      <c r="K20" s="31">
        <v>21157.965223208907</v>
      </c>
      <c r="L20" s="31">
        <v>25059.061393444939</v>
      </c>
      <c r="M20" s="31">
        <v>17708.393079132449</v>
      </c>
      <c r="N20" s="31">
        <v>21250.236222458334</v>
      </c>
      <c r="O20" s="51">
        <v>20997.333951957502</v>
      </c>
      <c r="P20" s="31">
        <f>SUM(D20:O20)</f>
        <v>376816.67194970208</v>
      </c>
      <c r="Q20" s="52"/>
      <c r="R20" s="31"/>
    </row>
    <row r="21" spans="1:18" x14ac:dyDescent="0.2">
      <c r="A21" s="46"/>
      <c r="B21" s="48"/>
      <c r="C21" s="49"/>
      <c r="D21" s="50"/>
      <c r="E21" s="31"/>
      <c r="F21" s="31"/>
      <c r="G21" s="31"/>
      <c r="H21" s="31"/>
      <c r="I21" s="31"/>
      <c r="J21" s="31"/>
      <c r="K21" s="31"/>
      <c r="L21" s="31"/>
      <c r="M21" s="31"/>
      <c r="N21" s="31"/>
      <c r="O21" s="51"/>
      <c r="P21" s="31"/>
      <c r="Q21" s="52"/>
      <c r="R21" s="31"/>
    </row>
    <row r="22" spans="1:18" x14ac:dyDescent="0.2">
      <c r="A22" s="46">
        <f>MAX($A$10:A21)+1</f>
        <v>7</v>
      </c>
      <c r="B22" s="48" t="str">
        <f>"Kennecott Revenue CY "&amp;YEAR(A3)-1</f>
        <v>Kennecott Revenue CY 2022</v>
      </c>
      <c r="C22" s="49" t="s">
        <v>40</v>
      </c>
      <c r="D22" s="50">
        <v>50000</v>
      </c>
      <c r="E22" s="31">
        <v>50000</v>
      </c>
      <c r="F22" s="31">
        <v>50000</v>
      </c>
      <c r="G22" s="31">
        <v>50000</v>
      </c>
      <c r="H22" s="31">
        <v>50000</v>
      </c>
      <c r="I22" s="31">
        <v>50000</v>
      </c>
      <c r="J22" s="31">
        <v>50000</v>
      </c>
      <c r="K22" s="31">
        <v>50000</v>
      </c>
      <c r="L22" s="31">
        <v>50000</v>
      </c>
      <c r="M22" s="31">
        <v>50000</v>
      </c>
      <c r="N22" s="31">
        <v>50000</v>
      </c>
      <c r="O22" s="51">
        <v>50000</v>
      </c>
      <c r="P22" s="31">
        <f>SUM(D22:O22)</f>
        <v>600000</v>
      </c>
      <c r="Q22" s="52"/>
      <c r="R22" s="31"/>
    </row>
    <row r="23" spans="1:18" x14ac:dyDescent="0.2">
      <c r="A23" s="46"/>
      <c r="B23" s="48"/>
      <c r="C23" s="49"/>
      <c r="D23" s="50"/>
      <c r="E23" s="31"/>
      <c r="F23" s="31"/>
      <c r="G23" s="31"/>
      <c r="H23" s="31"/>
      <c r="I23" s="31"/>
      <c r="J23" s="31"/>
      <c r="K23" s="31"/>
      <c r="L23" s="31"/>
      <c r="M23" s="31"/>
      <c r="N23" s="31"/>
      <c r="O23" s="51"/>
      <c r="P23" s="31"/>
      <c r="Q23" s="52"/>
      <c r="R23" s="31"/>
    </row>
    <row r="24" spans="1:18" x14ac:dyDescent="0.2">
      <c r="A24" s="46">
        <f>MAX($A$10:A23)+1</f>
        <v>8</v>
      </c>
      <c r="B24" s="48" t="s">
        <v>48</v>
      </c>
      <c r="C24" s="49" t="s">
        <v>49</v>
      </c>
      <c r="D24" s="50">
        <f>D18+D20+D22</f>
        <v>393956.84347138437</v>
      </c>
      <c r="E24" s="31">
        <f t="shared" ref="E24:O24" si="4">E18+E20+E22</f>
        <v>200733.1762487978</v>
      </c>
      <c r="F24" s="31">
        <f t="shared" si="4"/>
        <v>1145369.057387196</v>
      </c>
      <c r="G24" s="31">
        <f t="shared" si="4"/>
        <v>1099026.9543712984</v>
      </c>
      <c r="H24" s="31">
        <f t="shared" si="4"/>
        <v>214151.38599362271</v>
      </c>
      <c r="I24" s="31">
        <f t="shared" si="4"/>
        <v>359115.56263786217</v>
      </c>
      <c r="J24" s="31">
        <f t="shared" si="4"/>
        <v>275074.47760620317</v>
      </c>
      <c r="K24" s="31">
        <f t="shared" si="4"/>
        <v>75999.63310858453</v>
      </c>
      <c r="L24" s="31">
        <f t="shared" si="4"/>
        <v>-136209.96904181631</v>
      </c>
      <c r="M24" s="31">
        <f t="shared" si="4"/>
        <v>67708.393079132453</v>
      </c>
      <c r="N24" s="31">
        <f t="shared" si="4"/>
        <v>71250.236222458334</v>
      </c>
      <c r="O24" s="51">
        <f t="shared" si="4"/>
        <v>828704.42238818109</v>
      </c>
      <c r="P24" s="31">
        <f>SUM(D24:O24)</f>
        <v>4594880.1734729055</v>
      </c>
      <c r="Q24" s="52"/>
      <c r="R24" s="31"/>
    </row>
    <row r="25" spans="1:18" x14ac:dyDescent="0.2">
      <c r="A25" s="46"/>
      <c r="C25" s="49"/>
      <c r="D25" s="45"/>
      <c r="O25" s="38"/>
      <c r="R25" s="31"/>
    </row>
    <row r="26" spans="1:18" x14ac:dyDescent="0.2">
      <c r="A26" s="46"/>
      <c r="B26" s="32" t="s">
        <v>50</v>
      </c>
      <c r="C26" s="49"/>
      <c r="D26" s="45"/>
      <c r="K26" s="56"/>
      <c r="M26" s="56"/>
      <c r="O26" s="38"/>
      <c r="R26" s="31"/>
    </row>
    <row r="27" spans="1:18" x14ac:dyDescent="0.2">
      <c r="A27" s="46"/>
      <c r="B27" s="48"/>
      <c r="C27" s="49"/>
      <c r="D27" s="37"/>
      <c r="E27" s="30"/>
      <c r="F27" s="30"/>
      <c r="G27" s="30"/>
      <c r="H27" s="30"/>
      <c r="I27" s="30"/>
      <c r="J27" s="30"/>
      <c r="K27" s="30"/>
      <c r="L27" s="30"/>
      <c r="M27" s="30"/>
      <c r="N27" s="30"/>
      <c r="O27" s="47"/>
      <c r="P27" s="31"/>
      <c r="Q27" s="52"/>
      <c r="R27" s="31"/>
    </row>
    <row r="28" spans="1:18" x14ac:dyDescent="0.2">
      <c r="A28" s="46">
        <f>MAX($A$10:A26)+1</f>
        <v>9</v>
      </c>
      <c r="B28" s="57" t="s">
        <v>51</v>
      </c>
      <c r="C28" s="49" t="s">
        <v>52</v>
      </c>
      <c r="D28" s="37">
        <f>$P$28/12</f>
        <v>242037.20809815239</v>
      </c>
      <c r="E28" s="30">
        <f t="shared" ref="E28:O28" si="5">$P$28/12</f>
        <v>242037.20809815239</v>
      </c>
      <c r="F28" s="30">
        <f t="shared" si="5"/>
        <v>242037.20809815239</v>
      </c>
      <c r="G28" s="30">
        <f t="shared" si="5"/>
        <v>242037.20809815239</v>
      </c>
      <c r="H28" s="30">
        <f t="shared" si="5"/>
        <v>242037.20809815239</v>
      </c>
      <c r="I28" s="30">
        <f t="shared" si="5"/>
        <v>242037.20809815239</v>
      </c>
      <c r="J28" s="30">
        <f t="shared" si="5"/>
        <v>242037.20809815239</v>
      </c>
      <c r="K28" s="30">
        <f t="shared" si="5"/>
        <v>242037.20809815239</v>
      </c>
      <c r="L28" s="30">
        <f t="shared" si="5"/>
        <v>242037.20809815239</v>
      </c>
      <c r="M28" s="30">
        <f t="shared" si="5"/>
        <v>242037.20809815239</v>
      </c>
      <c r="N28" s="30">
        <f t="shared" si="5"/>
        <v>242037.20809815239</v>
      </c>
      <c r="O28" s="47">
        <f t="shared" si="5"/>
        <v>242037.20809815239</v>
      </c>
      <c r="P28" s="31">
        <v>2904446.4971778286</v>
      </c>
      <c r="Q28" s="52"/>
      <c r="R28" s="31"/>
    </row>
    <row r="29" spans="1:18" x14ac:dyDescent="0.2">
      <c r="A29" s="46">
        <f>MAX($A$10:A28)+1</f>
        <v>10</v>
      </c>
      <c r="B29" s="48" t="s">
        <v>44</v>
      </c>
      <c r="C29" s="49" t="s">
        <v>53</v>
      </c>
      <c r="D29" s="37">
        <f>D28*0.1</f>
        <v>24203.720809815241</v>
      </c>
      <c r="E29" s="30">
        <f t="shared" ref="E29:O29" si="6">E28*0.1</f>
        <v>24203.720809815241</v>
      </c>
      <c r="F29" s="30">
        <f t="shared" si="6"/>
        <v>24203.720809815241</v>
      </c>
      <c r="G29" s="30">
        <f t="shared" si="6"/>
        <v>24203.720809815241</v>
      </c>
      <c r="H29" s="30">
        <f t="shared" si="6"/>
        <v>24203.720809815241</v>
      </c>
      <c r="I29" s="30">
        <f t="shared" si="6"/>
        <v>24203.720809815241</v>
      </c>
      <c r="J29" s="30">
        <f t="shared" si="6"/>
        <v>24203.720809815241</v>
      </c>
      <c r="K29" s="30">
        <f t="shared" si="6"/>
        <v>24203.720809815241</v>
      </c>
      <c r="L29" s="30">
        <f t="shared" si="6"/>
        <v>24203.720809815241</v>
      </c>
      <c r="M29" s="30">
        <f t="shared" si="6"/>
        <v>24203.720809815241</v>
      </c>
      <c r="N29" s="30">
        <f t="shared" si="6"/>
        <v>24203.720809815241</v>
      </c>
      <c r="O29" s="47">
        <f t="shared" si="6"/>
        <v>24203.720809815241</v>
      </c>
      <c r="P29" s="31">
        <f>SUM(D29:O29)</f>
        <v>290444.64971778292</v>
      </c>
      <c r="Q29" s="52"/>
      <c r="R29" s="31"/>
    </row>
    <row r="30" spans="1:18" x14ac:dyDescent="0.2">
      <c r="A30" s="46">
        <f>MAX($A$10:A29)+1</f>
        <v>11</v>
      </c>
      <c r="B30" s="48" t="s">
        <v>54</v>
      </c>
      <c r="C30" s="49" t="s">
        <v>55</v>
      </c>
      <c r="D30" s="37">
        <f>D28-D29</f>
        <v>217833.48728833714</v>
      </c>
      <c r="E30" s="30">
        <f t="shared" ref="E30:O30" si="7">E28-E29</f>
        <v>217833.48728833714</v>
      </c>
      <c r="F30" s="30">
        <f t="shared" si="7"/>
        <v>217833.48728833714</v>
      </c>
      <c r="G30" s="30">
        <f t="shared" si="7"/>
        <v>217833.48728833714</v>
      </c>
      <c r="H30" s="30">
        <f t="shared" si="7"/>
        <v>217833.48728833714</v>
      </c>
      <c r="I30" s="30">
        <f t="shared" si="7"/>
        <v>217833.48728833714</v>
      </c>
      <c r="J30" s="30">
        <f t="shared" si="7"/>
        <v>217833.48728833714</v>
      </c>
      <c r="K30" s="30">
        <f t="shared" si="7"/>
        <v>217833.48728833714</v>
      </c>
      <c r="L30" s="30">
        <f t="shared" si="7"/>
        <v>217833.48728833714</v>
      </c>
      <c r="M30" s="30">
        <f t="shared" si="7"/>
        <v>217833.48728833714</v>
      </c>
      <c r="N30" s="30">
        <f t="shared" si="7"/>
        <v>217833.48728833714</v>
      </c>
      <c r="O30" s="47">
        <f t="shared" si="7"/>
        <v>217833.48728833714</v>
      </c>
      <c r="P30" s="31">
        <f>SUM(D30:O30)</f>
        <v>2614001.8474600459</v>
      </c>
      <c r="Q30" s="52"/>
    </row>
    <row r="31" spans="1:18" x14ac:dyDescent="0.2">
      <c r="A31" s="46">
        <f>MAX($A$10:A30)+1</f>
        <v>12</v>
      </c>
      <c r="B31" s="48" t="s">
        <v>56</v>
      </c>
      <c r="C31" s="49" t="s">
        <v>52</v>
      </c>
      <c r="D31" s="37">
        <f>$P$31/12</f>
        <v>29807.416666666668</v>
      </c>
      <c r="E31" s="30">
        <f t="shared" ref="E31:O31" si="8">$P$31/12</f>
        <v>29807.416666666668</v>
      </c>
      <c r="F31" s="30">
        <f t="shared" si="8"/>
        <v>29807.416666666668</v>
      </c>
      <c r="G31" s="30">
        <f t="shared" si="8"/>
        <v>29807.416666666668</v>
      </c>
      <c r="H31" s="30">
        <f t="shared" si="8"/>
        <v>29807.416666666668</v>
      </c>
      <c r="I31" s="30">
        <f t="shared" si="8"/>
        <v>29807.416666666668</v>
      </c>
      <c r="J31" s="30">
        <f t="shared" si="8"/>
        <v>29807.416666666668</v>
      </c>
      <c r="K31" s="30">
        <f t="shared" si="8"/>
        <v>29807.416666666668</v>
      </c>
      <c r="L31" s="30">
        <f t="shared" si="8"/>
        <v>29807.416666666668</v>
      </c>
      <c r="M31" s="30">
        <f t="shared" si="8"/>
        <v>29807.416666666668</v>
      </c>
      <c r="N31" s="30">
        <f t="shared" si="8"/>
        <v>29807.416666666668</v>
      </c>
      <c r="O31" s="47">
        <f t="shared" si="8"/>
        <v>29807.416666666668</v>
      </c>
      <c r="P31" s="31">
        <v>357689</v>
      </c>
      <c r="Q31" s="52"/>
    </row>
    <row r="32" spans="1:18" x14ac:dyDescent="0.2">
      <c r="A32" s="46">
        <f>MAX($A$10:A31)+1</f>
        <v>13</v>
      </c>
      <c r="B32" s="48" t="s">
        <v>57</v>
      </c>
      <c r="C32" s="49" t="s">
        <v>52</v>
      </c>
      <c r="D32" s="37">
        <f>$P$32/12</f>
        <v>50000</v>
      </c>
      <c r="E32" s="30">
        <f t="shared" ref="E32:O32" si="9">$P$32/12</f>
        <v>50000</v>
      </c>
      <c r="F32" s="30">
        <f t="shared" si="9"/>
        <v>50000</v>
      </c>
      <c r="G32" s="30">
        <f t="shared" si="9"/>
        <v>50000</v>
      </c>
      <c r="H32" s="30">
        <f t="shared" si="9"/>
        <v>50000</v>
      </c>
      <c r="I32" s="30">
        <f t="shared" si="9"/>
        <v>50000</v>
      </c>
      <c r="J32" s="30">
        <f t="shared" si="9"/>
        <v>50000</v>
      </c>
      <c r="K32" s="30">
        <f t="shared" si="9"/>
        <v>50000</v>
      </c>
      <c r="L32" s="30">
        <f t="shared" si="9"/>
        <v>50000</v>
      </c>
      <c r="M32" s="30">
        <f t="shared" si="9"/>
        <v>50000</v>
      </c>
      <c r="N32" s="30">
        <f t="shared" si="9"/>
        <v>50000</v>
      </c>
      <c r="O32" s="47">
        <f t="shared" si="9"/>
        <v>50000</v>
      </c>
      <c r="P32" s="31">
        <v>600000</v>
      </c>
      <c r="Q32" s="52"/>
    </row>
    <row r="33" spans="1:18" x14ac:dyDescent="0.2">
      <c r="A33" s="46">
        <f>MAX($A$10:A32)+1</f>
        <v>14</v>
      </c>
      <c r="B33" s="48" t="s">
        <v>46</v>
      </c>
      <c r="C33" s="49" t="s">
        <v>52</v>
      </c>
      <c r="D33" s="37">
        <f>SUM(D30:D32)</f>
        <v>297640.90395500383</v>
      </c>
      <c r="E33" s="30">
        <f t="shared" ref="E33:O33" si="10">SUM(E30:E32)</f>
        <v>297640.90395500383</v>
      </c>
      <c r="F33" s="30">
        <f t="shared" si="10"/>
        <v>297640.90395500383</v>
      </c>
      <c r="G33" s="30">
        <f t="shared" si="10"/>
        <v>297640.90395500383</v>
      </c>
      <c r="H33" s="30">
        <f t="shared" si="10"/>
        <v>297640.90395500383</v>
      </c>
      <c r="I33" s="30">
        <f t="shared" si="10"/>
        <v>297640.90395500383</v>
      </c>
      <c r="J33" s="30">
        <f t="shared" si="10"/>
        <v>297640.90395500383</v>
      </c>
      <c r="K33" s="30">
        <f t="shared" si="10"/>
        <v>297640.90395500383</v>
      </c>
      <c r="L33" s="30">
        <f t="shared" si="10"/>
        <v>297640.90395500383</v>
      </c>
      <c r="M33" s="30">
        <f t="shared" si="10"/>
        <v>297640.90395500383</v>
      </c>
      <c r="N33" s="30">
        <f t="shared" si="10"/>
        <v>297640.90395500383</v>
      </c>
      <c r="O33" s="47">
        <f t="shared" si="10"/>
        <v>297640.90395500383</v>
      </c>
      <c r="P33" s="31">
        <f>SUM(D33:O33)</f>
        <v>3571690.847460045</v>
      </c>
      <c r="Q33" s="52"/>
    </row>
    <row r="34" spans="1:18" ht="6.75" customHeight="1" x14ac:dyDescent="0.2">
      <c r="A34" s="46"/>
      <c r="B34" s="48"/>
      <c r="C34" s="49"/>
      <c r="D34" s="37"/>
      <c r="E34" s="30"/>
      <c r="F34" s="30"/>
      <c r="G34" s="30"/>
      <c r="H34" s="30"/>
      <c r="I34" s="30"/>
      <c r="J34" s="30"/>
      <c r="K34" s="30"/>
      <c r="L34" s="30"/>
      <c r="M34" s="30"/>
      <c r="N34" s="30"/>
      <c r="O34" s="47"/>
      <c r="P34" s="31"/>
    </row>
    <row r="35" spans="1:18" x14ac:dyDescent="0.2">
      <c r="A35" s="46">
        <f>MAX($A$12:A34)+1</f>
        <v>15</v>
      </c>
      <c r="B35" s="49" t="s">
        <v>58</v>
      </c>
      <c r="C35" s="49" t="s">
        <v>59</v>
      </c>
      <c r="D35" s="58">
        <v>94053.27</v>
      </c>
      <c r="E35" s="59">
        <v>86308.46</v>
      </c>
      <c r="F35" s="59">
        <v>83393.58</v>
      </c>
      <c r="G35" s="59">
        <v>39668.71</v>
      </c>
      <c r="H35" s="59">
        <v>40233.15</v>
      </c>
      <c r="I35" s="59">
        <v>181787.66</v>
      </c>
      <c r="J35" s="59">
        <v>172250.62</v>
      </c>
      <c r="K35" s="59">
        <v>187208.62</v>
      </c>
      <c r="L35" s="59">
        <v>170552.93</v>
      </c>
      <c r="M35" s="59">
        <v>128111.43</v>
      </c>
      <c r="N35" s="59">
        <v>114987.8</v>
      </c>
      <c r="O35" s="60">
        <v>130552.86</v>
      </c>
      <c r="P35" s="31">
        <f>SUM(D35:O35)</f>
        <v>1429109.09</v>
      </c>
      <c r="Q35" s="52"/>
    </row>
    <row r="36" spans="1:18" x14ac:dyDescent="0.2">
      <c r="A36" s="46"/>
      <c r="B36" s="49"/>
      <c r="C36" s="49"/>
      <c r="D36" s="58"/>
      <c r="E36" s="59"/>
      <c r="F36" s="59"/>
      <c r="G36" s="59"/>
      <c r="H36" s="59"/>
      <c r="I36" s="59"/>
      <c r="J36" s="59"/>
      <c r="K36" s="59"/>
      <c r="L36" s="59"/>
      <c r="M36" s="59"/>
      <c r="N36" s="59"/>
      <c r="O36" s="60"/>
      <c r="P36" s="31"/>
    </row>
    <row r="37" spans="1:18" x14ac:dyDescent="0.2">
      <c r="A37" s="46">
        <f>MAX($A$10:A36)+1</f>
        <v>16</v>
      </c>
      <c r="B37" s="48" t="s">
        <v>60</v>
      </c>
      <c r="C37" s="49" t="s">
        <v>61</v>
      </c>
      <c r="D37" s="58">
        <f>D35+D33</f>
        <v>391694.17395500385</v>
      </c>
      <c r="E37" s="59">
        <f t="shared" ref="E37:O37" si="11">E35+E33</f>
        <v>383949.36395500385</v>
      </c>
      <c r="F37" s="59">
        <f t="shared" si="11"/>
        <v>381034.48395500385</v>
      </c>
      <c r="G37" s="59">
        <f t="shared" si="11"/>
        <v>337309.61395500385</v>
      </c>
      <c r="H37" s="59">
        <f t="shared" si="11"/>
        <v>337874.05395500385</v>
      </c>
      <c r="I37" s="59">
        <f t="shared" si="11"/>
        <v>479428.56395500386</v>
      </c>
      <c r="J37" s="59">
        <f t="shared" si="11"/>
        <v>469891.52395500382</v>
      </c>
      <c r="K37" s="59">
        <f t="shared" si="11"/>
        <v>484849.52395500382</v>
      </c>
      <c r="L37" s="59">
        <f t="shared" si="11"/>
        <v>468193.83395500382</v>
      </c>
      <c r="M37" s="59">
        <f t="shared" si="11"/>
        <v>425752.33395500382</v>
      </c>
      <c r="N37" s="59">
        <f t="shared" si="11"/>
        <v>412628.70395500382</v>
      </c>
      <c r="O37" s="60">
        <f t="shared" si="11"/>
        <v>428193.76395500381</v>
      </c>
      <c r="P37" s="31">
        <f>SUM(D37:O37)</f>
        <v>5000799.9374600463</v>
      </c>
      <c r="Q37" s="52"/>
    </row>
    <row r="38" spans="1:18" x14ac:dyDescent="0.2">
      <c r="A38" s="46"/>
      <c r="B38" s="48"/>
      <c r="C38" s="57"/>
      <c r="D38" s="45"/>
      <c r="O38" s="38"/>
      <c r="P38" s="31"/>
    </row>
    <row r="39" spans="1:18" x14ac:dyDescent="0.2">
      <c r="A39" s="46">
        <f>MAX($A$10:A38)+1</f>
        <v>17</v>
      </c>
      <c r="B39" s="48" t="s">
        <v>62</v>
      </c>
      <c r="C39" s="49" t="s">
        <v>63</v>
      </c>
      <c r="D39" s="50">
        <f>D24-D37</f>
        <v>2262.6695163805271</v>
      </c>
      <c r="E39" s="31">
        <f t="shared" ref="E39:O39" si="12">E24-E37</f>
        <v>-183216.18770620605</v>
      </c>
      <c r="F39" s="31">
        <f t="shared" si="12"/>
        <v>764334.57343219221</v>
      </c>
      <c r="G39" s="31">
        <f t="shared" si="12"/>
        <v>761717.34041629452</v>
      </c>
      <c r="H39" s="31">
        <f t="shared" si="12"/>
        <v>-123722.66796138114</v>
      </c>
      <c r="I39" s="31">
        <f t="shared" si="12"/>
        <v>-120313.00131714169</v>
      </c>
      <c r="J39" s="31">
        <f t="shared" si="12"/>
        <v>-194817.04634880065</v>
      </c>
      <c r="K39" s="31">
        <f t="shared" si="12"/>
        <v>-408849.89084641926</v>
      </c>
      <c r="L39" s="31">
        <f t="shared" si="12"/>
        <v>-604403.80299682007</v>
      </c>
      <c r="M39" s="31">
        <f t="shared" si="12"/>
        <v>-358043.94087587134</v>
      </c>
      <c r="N39" s="31">
        <f t="shared" si="12"/>
        <v>-341378.46773254545</v>
      </c>
      <c r="O39" s="51">
        <f t="shared" si="12"/>
        <v>400510.65843317728</v>
      </c>
      <c r="P39" s="31">
        <f>SUM(D39:O39)</f>
        <v>-405919.76398714131</v>
      </c>
      <c r="Q39" s="52"/>
    </row>
    <row r="40" spans="1:18" x14ac:dyDescent="0.2">
      <c r="A40" s="46"/>
      <c r="B40" s="48"/>
      <c r="C40" s="49"/>
      <c r="D40" s="45"/>
      <c r="O40" s="38"/>
    </row>
    <row r="41" spans="1:18" x14ac:dyDescent="0.2">
      <c r="A41" s="46"/>
      <c r="B41" s="48"/>
      <c r="C41" s="49"/>
      <c r="D41" s="45"/>
      <c r="O41" s="38"/>
    </row>
    <row r="42" spans="1:18" x14ac:dyDescent="0.2">
      <c r="A42" s="46">
        <f>MAX($A$10:A41)+1</f>
        <v>18</v>
      </c>
      <c r="B42" s="48" t="str">
        <f>"CY "&amp;YEAR(A3)-1&amp;" Deferral Balance"</f>
        <v>CY 2022 Deferral Balance</v>
      </c>
      <c r="C42" s="49" t="s">
        <v>64</v>
      </c>
      <c r="D42" s="61">
        <f>34261+1946062.83271117</f>
        <v>1980323.83271117</v>
      </c>
      <c r="E42" s="31">
        <f>D45</f>
        <v>1987606.188651806</v>
      </c>
      <c r="F42" s="31">
        <f t="shared" ref="F42:O42" si="13">E45</f>
        <v>1809193.1961190901</v>
      </c>
      <c r="G42" s="31">
        <f t="shared" si="13"/>
        <v>2579079.2161077983</v>
      </c>
      <c r="H42" s="31">
        <f t="shared" si="13"/>
        <v>3348319.7319851457</v>
      </c>
      <c r="I42" s="31">
        <f t="shared" si="13"/>
        <v>3232950.1457853597</v>
      </c>
      <c r="J42" s="31">
        <f t="shared" si="13"/>
        <v>3120701.3283162485</v>
      </c>
      <c r="K42" s="31">
        <f t="shared" si="13"/>
        <v>2933568.4845138504</v>
      </c>
      <c r="L42" s="31">
        <f t="shared" si="13"/>
        <v>2531655.1668292866</v>
      </c>
      <c r="M42" s="31">
        <f t="shared" si="13"/>
        <v>1932917.8908818492</v>
      </c>
      <c r="N42" s="31">
        <f t="shared" si="13"/>
        <v>1579331.7688037727</v>
      </c>
      <c r="O42" s="51">
        <f t="shared" si="13"/>
        <v>1241533.6008475267</v>
      </c>
    </row>
    <row r="43" spans="1:18" x14ac:dyDescent="0.2">
      <c r="A43" s="46">
        <f>MAX($A$10:A42)+1</f>
        <v>19</v>
      </c>
      <c r="B43" s="48" t="s">
        <v>65</v>
      </c>
      <c r="C43" s="49" t="s">
        <v>66</v>
      </c>
      <c r="D43" s="50">
        <f>D39</f>
        <v>2262.6695163805271</v>
      </c>
      <c r="E43" s="31">
        <f>E39</f>
        <v>-183216.18770620605</v>
      </c>
      <c r="F43" s="31">
        <f t="shared" ref="F43:O43" si="14">F39</f>
        <v>764334.57343219221</v>
      </c>
      <c r="G43" s="31">
        <f t="shared" si="14"/>
        <v>761717.34041629452</v>
      </c>
      <c r="H43" s="31">
        <f t="shared" si="14"/>
        <v>-123722.66796138114</v>
      </c>
      <c r="I43" s="31">
        <f t="shared" si="14"/>
        <v>-120313.00131714169</v>
      </c>
      <c r="J43" s="31">
        <f t="shared" si="14"/>
        <v>-194817.04634880065</v>
      </c>
      <c r="K43" s="31">
        <f t="shared" si="14"/>
        <v>-408849.89084641926</v>
      </c>
      <c r="L43" s="31">
        <f t="shared" si="14"/>
        <v>-604403.80299682007</v>
      </c>
      <c r="M43" s="31">
        <f t="shared" si="14"/>
        <v>-358043.94087587134</v>
      </c>
      <c r="N43" s="31">
        <f t="shared" si="14"/>
        <v>-341378.46773254545</v>
      </c>
      <c r="O43" s="51">
        <f t="shared" si="14"/>
        <v>400510.65843317728</v>
      </c>
      <c r="P43" s="31">
        <f>SUM(D43:O43)</f>
        <v>-405919.76398714131</v>
      </c>
      <c r="Q43" s="52"/>
    </row>
    <row r="44" spans="1:18" x14ac:dyDescent="0.2">
      <c r="A44" s="46">
        <f>MAX($A$10:A43)+1</f>
        <v>20</v>
      </c>
      <c r="B44" s="48" t="s">
        <v>67</v>
      </c>
      <c r="C44" s="49" t="s">
        <v>68</v>
      </c>
      <c r="D44" s="37">
        <f>(D42+0.5*D43)*$D$62/12</f>
        <v>5019.6864242557122</v>
      </c>
      <c r="E44" s="30">
        <f>(E42+0.5*E43)*$D$62/12</f>
        <v>4803.1951734900476</v>
      </c>
      <c r="F44" s="30">
        <f>(F42+0.5*F43)*$D$62/12</f>
        <v>5551.4465565158052</v>
      </c>
      <c r="G44" s="30">
        <f>(G42+0.5*G43)*$D$63/12</f>
        <v>7523.1754610530288</v>
      </c>
      <c r="H44" s="30">
        <f t="shared" ref="H44:O44" si="15">(H42+0.5*H43)*$D$63/12</f>
        <v>8353.0817615946562</v>
      </c>
      <c r="I44" s="30">
        <f t="shared" si="15"/>
        <v>8064.1838480305887</v>
      </c>
      <c r="J44" s="30">
        <f t="shared" si="15"/>
        <v>7684.2025464021972</v>
      </c>
      <c r="K44" s="30">
        <f>(K42+0.5*K43)*$D$63/12</f>
        <v>6936.5731618553791</v>
      </c>
      <c r="L44" s="30">
        <f t="shared" si="15"/>
        <v>5666.5270493826456</v>
      </c>
      <c r="M44" s="30">
        <f t="shared" si="15"/>
        <v>4457.8187977949465</v>
      </c>
      <c r="N44" s="30">
        <f t="shared" si="15"/>
        <v>3580.2997762994787</v>
      </c>
      <c r="O44" s="47">
        <f t="shared" si="15"/>
        <v>3664.5468639129595</v>
      </c>
      <c r="P44" s="31">
        <f>SUM(D44:O44)</f>
        <v>71304.737420587451</v>
      </c>
      <c r="Q44" s="52"/>
    </row>
    <row r="45" spans="1:18" x14ac:dyDescent="0.2">
      <c r="A45" s="46">
        <f>MAX($A$10:A44)+1</f>
        <v>21</v>
      </c>
      <c r="B45" s="62" t="str">
        <f>"Ending Deferral Balance - "&amp;YEAR(A3)&amp;" RBA"</f>
        <v>Ending Deferral Balance - 2023 RBA</v>
      </c>
      <c r="C45" s="49" t="s">
        <v>69</v>
      </c>
      <c r="D45" s="63">
        <f>D42+D43+D44</f>
        <v>1987606.188651806</v>
      </c>
      <c r="E45" s="64">
        <f>E42+E43+E44</f>
        <v>1809193.1961190901</v>
      </c>
      <c r="F45" s="64">
        <f t="shared" ref="F45:O45" si="16">F42+F43+F44</f>
        <v>2579079.2161077983</v>
      </c>
      <c r="G45" s="64">
        <f t="shared" si="16"/>
        <v>3348319.7319851457</v>
      </c>
      <c r="H45" s="64">
        <f t="shared" si="16"/>
        <v>3232950.1457853597</v>
      </c>
      <c r="I45" s="64">
        <f t="shared" si="16"/>
        <v>3120701.3283162485</v>
      </c>
      <c r="J45" s="64">
        <f t="shared" si="16"/>
        <v>2933568.4845138504</v>
      </c>
      <c r="K45" s="64">
        <f t="shared" si="16"/>
        <v>2531655.1668292866</v>
      </c>
      <c r="L45" s="64">
        <f t="shared" si="16"/>
        <v>1932917.8908818492</v>
      </c>
      <c r="M45" s="64">
        <f t="shared" si="16"/>
        <v>1579331.7688037727</v>
      </c>
      <c r="N45" s="64">
        <f t="shared" si="16"/>
        <v>1241533.6008475267</v>
      </c>
      <c r="O45" s="65">
        <f t="shared" si="16"/>
        <v>1645708.806144617</v>
      </c>
      <c r="P45" s="31"/>
      <c r="Q45" s="52"/>
      <c r="R45" s="31"/>
    </row>
    <row r="46" spans="1:18" x14ac:dyDescent="0.2">
      <c r="A46" s="46"/>
      <c r="C46" s="49"/>
      <c r="K46" s="31"/>
      <c r="L46" s="31"/>
      <c r="M46" s="31"/>
      <c r="N46" s="31"/>
      <c r="O46" s="31"/>
      <c r="P46" s="31"/>
      <c r="R46" s="31"/>
    </row>
    <row r="47" spans="1:18" x14ac:dyDescent="0.2">
      <c r="A47" s="46"/>
      <c r="C47" s="49"/>
      <c r="D47" s="34"/>
      <c r="E47" s="34"/>
      <c r="F47" s="34"/>
      <c r="G47" s="34"/>
      <c r="H47" s="34"/>
      <c r="I47" s="34"/>
      <c r="J47" s="34"/>
      <c r="L47" s="31"/>
      <c r="M47" s="31"/>
      <c r="N47" s="31"/>
      <c r="O47" s="31"/>
      <c r="R47" s="31"/>
    </row>
    <row r="48" spans="1:18" x14ac:dyDescent="0.2">
      <c r="A48" s="46"/>
      <c r="C48" s="49"/>
      <c r="E48" s="31"/>
      <c r="F48" s="31"/>
      <c r="G48" s="31"/>
      <c r="H48" s="31"/>
      <c r="I48" s="31"/>
      <c r="J48" s="31"/>
      <c r="K48" s="31"/>
      <c r="L48" s="31"/>
      <c r="M48" s="31"/>
      <c r="P48" s="31"/>
      <c r="Q48" s="66"/>
      <c r="R48" s="52"/>
    </row>
    <row r="49" spans="1:17" ht="15" x14ac:dyDescent="0.25">
      <c r="A49" s="67" t="s">
        <v>70</v>
      </c>
      <c r="D49"/>
      <c r="E49"/>
      <c r="F49"/>
      <c r="G49"/>
      <c r="H49"/>
      <c r="I49"/>
      <c r="J49" s="68"/>
      <c r="K49" s="69"/>
      <c r="L49" s="69"/>
      <c r="M49" s="69"/>
      <c r="N49" s="69"/>
      <c r="O49" s="69"/>
      <c r="P49" s="31"/>
    </row>
    <row r="50" spans="1:17" x14ac:dyDescent="0.2">
      <c r="B50" s="32"/>
      <c r="C50" s="32"/>
      <c r="D50" s="30"/>
      <c r="E50" s="30"/>
      <c r="F50" s="30"/>
      <c r="G50" s="30"/>
      <c r="H50" s="30"/>
      <c r="I50" s="30"/>
      <c r="J50" s="30"/>
      <c r="K50" s="30"/>
      <c r="L50" s="30"/>
    </row>
    <row r="51" spans="1:17" x14ac:dyDescent="0.2">
      <c r="A51" s="39" t="s">
        <v>16</v>
      </c>
      <c r="B51" s="39"/>
      <c r="C51" s="40" t="s">
        <v>17</v>
      </c>
      <c r="D51" s="42">
        <f>EDATE(O9,1)</f>
        <v>44927</v>
      </c>
      <c r="E51" s="42">
        <f>EDATE(D51,1)</f>
        <v>44958</v>
      </c>
      <c r="F51" s="42">
        <f t="shared" ref="F51:I51" si="17">EDATE(E51,1)</f>
        <v>44986</v>
      </c>
      <c r="G51" s="42">
        <f t="shared" si="17"/>
        <v>45017</v>
      </c>
      <c r="H51" s="42">
        <f t="shared" si="17"/>
        <v>45047</v>
      </c>
      <c r="I51" s="42">
        <f t="shared" si="17"/>
        <v>45078</v>
      </c>
      <c r="J51" s="44" t="s">
        <v>37</v>
      </c>
      <c r="K51" s="34"/>
      <c r="Q51" s="14"/>
    </row>
    <row r="52" spans="1:17" x14ac:dyDescent="0.2">
      <c r="K52" s="34"/>
      <c r="Q52" s="14"/>
    </row>
    <row r="53" spans="1:17" x14ac:dyDescent="0.2">
      <c r="A53" s="46">
        <f>MAX($A$12:A52)+1</f>
        <v>22</v>
      </c>
      <c r="B53" s="49" t="s">
        <v>58</v>
      </c>
      <c r="C53" s="49" t="s">
        <v>59</v>
      </c>
      <c r="D53" s="59">
        <v>130145.43000000001</v>
      </c>
      <c r="E53" s="59">
        <v>100000</v>
      </c>
      <c r="F53" s="59">
        <f>E53</f>
        <v>100000</v>
      </c>
      <c r="G53" s="59">
        <f t="shared" ref="G53:H53" si="18">F53</f>
        <v>100000</v>
      </c>
      <c r="H53" s="59">
        <f t="shared" si="18"/>
        <v>100000</v>
      </c>
      <c r="I53" s="59">
        <f>H53/2</f>
        <v>50000</v>
      </c>
      <c r="J53" s="31">
        <f>SUM(D53:I53)</f>
        <v>580145.42999999993</v>
      </c>
      <c r="K53" s="34"/>
      <c r="Q53" s="14"/>
    </row>
    <row r="54" spans="1:17" x14ac:dyDescent="0.2">
      <c r="A54" s="46"/>
      <c r="B54" s="49"/>
      <c r="C54" s="49"/>
      <c r="D54" s="59"/>
      <c r="E54" s="59"/>
      <c r="F54" s="59"/>
      <c r="G54" s="59"/>
      <c r="H54" s="59"/>
      <c r="I54" s="59"/>
      <c r="J54" s="31"/>
      <c r="K54" s="34"/>
      <c r="Q54" s="14"/>
    </row>
    <row r="55" spans="1:17" x14ac:dyDescent="0.2">
      <c r="A55" s="46">
        <f>MAX($A$14:A53)+1</f>
        <v>23</v>
      </c>
      <c r="B55" s="49" t="s">
        <v>71</v>
      </c>
      <c r="C55" s="49" t="s">
        <v>72</v>
      </c>
      <c r="D55" s="70">
        <f>O45</f>
        <v>1645708.806144617</v>
      </c>
      <c r="E55" s="70">
        <f>D58</f>
        <v>1519580.8262096096</v>
      </c>
      <c r="F55" s="70">
        <f t="shared" ref="F55:I55" si="19">E58</f>
        <v>1423316.0108095591</v>
      </c>
      <c r="G55" s="70">
        <f t="shared" si="19"/>
        <v>1326806.5223370334</v>
      </c>
      <c r="H55" s="70">
        <f t="shared" si="19"/>
        <v>1231669.027176267</v>
      </c>
      <c r="I55" s="70">
        <f t="shared" si="19"/>
        <v>1136169.21672143</v>
      </c>
      <c r="K55" s="34"/>
      <c r="Q55" s="14"/>
    </row>
    <row r="56" spans="1:17" x14ac:dyDescent="0.2">
      <c r="A56" s="46">
        <f>MAX($A$12:A55)+1</f>
        <v>24</v>
      </c>
      <c r="B56" s="71" t="s">
        <v>73</v>
      </c>
      <c r="C56" s="49" t="s">
        <v>74</v>
      </c>
      <c r="D56" s="70">
        <f>-D53</f>
        <v>-130145.43000000001</v>
      </c>
      <c r="E56" s="70">
        <f>-E53</f>
        <v>-100000</v>
      </c>
      <c r="F56" s="70">
        <f t="shared" ref="F56:I56" si="20">-F53</f>
        <v>-100000</v>
      </c>
      <c r="G56" s="70">
        <f t="shared" si="20"/>
        <v>-100000</v>
      </c>
      <c r="H56" s="70">
        <f t="shared" si="20"/>
        <v>-100000</v>
      </c>
      <c r="I56" s="70">
        <f t="shared" si="20"/>
        <v>-50000</v>
      </c>
      <c r="J56" s="31">
        <f>SUM(D56:I56)</f>
        <v>-580145.42999999993</v>
      </c>
      <c r="K56" s="34"/>
      <c r="Q56" s="14"/>
    </row>
    <row r="57" spans="1:17" ht="13.5" thickBot="1" x14ac:dyDescent="0.25">
      <c r="A57" s="46">
        <f>MAX($A$12:A56)+1</f>
        <v>25</v>
      </c>
      <c r="B57" s="71" t="s">
        <v>67</v>
      </c>
      <c r="C57" s="49" t="s">
        <v>75</v>
      </c>
      <c r="D57" s="31">
        <f>(D55+0.5*D56)*$D$63/12</f>
        <v>4017.4500649925681</v>
      </c>
      <c r="E57" s="31">
        <f>(E55+0.5*E56)*$D$63/12</f>
        <v>3735.184599949424</v>
      </c>
      <c r="F57" s="31">
        <f>(F55+0.5*F56)*$D$63/12</f>
        <v>3490.5115274742961</v>
      </c>
      <c r="G57" s="31">
        <f>(G55+0.5*G56)*$D$64/12</f>
        <v>4862.5048392335348</v>
      </c>
      <c r="H57" s="31">
        <f>(H55+0.5*H56)*$D$64/12</f>
        <v>4500.1895451629498</v>
      </c>
      <c r="I57" s="31">
        <v>0</v>
      </c>
      <c r="J57" s="31">
        <f>SUM(D57:I57)</f>
        <v>20605.840576812774</v>
      </c>
      <c r="K57" s="52"/>
      <c r="Q57" s="14"/>
    </row>
    <row r="58" spans="1:17" ht="13.5" thickBot="1" x14ac:dyDescent="0.25">
      <c r="A58" s="46">
        <f>MAX($A$12:A57)+1</f>
        <v>26</v>
      </c>
      <c r="B58" s="72" t="s">
        <v>76</v>
      </c>
      <c r="C58" s="49" t="s">
        <v>77</v>
      </c>
      <c r="D58" s="31">
        <f>D55+D56+D57</f>
        <v>1519580.8262096096</v>
      </c>
      <c r="E58" s="31">
        <f t="shared" ref="E58:I58" si="21">E55+E56+E57</f>
        <v>1423316.0108095591</v>
      </c>
      <c r="F58" s="31">
        <f t="shared" si="21"/>
        <v>1326806.5223370334</v>
      </c>
      <c r="G58" s="31">
        <f t="shared" si="21"/>
        <v>1231669.027176267</v>
      </c>
      <c r="H58" s="31">
        <f t="shared" si="21"/>
        <v>1136169.21672143</v>
      </c>
      <c r="I58" s="73">
        <f t="shared" si="21"/>
        <v>1086169.21672143</v>
      </c>
      <c r="J58" s="31"/>
      <c r="K58" s="34"/>
      <c r="Q58" s="14"/>
    </row>
    <row r="59" spans="1:17" x14ac:dyDescent="0.2">
      <c r="A59" s="46"/>
      <c r="K59" s="34"/>
      <c r="Q59" s="14"/>
    </row>
    <row r="60" spans="1:17" x14ac:dyDescent="0.2">
      <c r="A60" s="46"/>
      <c r="D60" s="74"/>
      <c r="K60" s="34"/>
      <c r="Q60" s="14"/>
    </row>
    <row r="61" spans="1:17" s="13" customFormat="1" x14ac:dyDescent="0.2">
      <c r="A61" s="75" t="s">
        <v>78</v>
      </c>
      <c r="B61" s="76"/>
      <c r="C61" s="77"/>
      <c r="D61" s="76"/>
      <c r="E61" s="76"/>
      <c r="F61" s="76"/>
      <c r="G61" s="76"/>
      <c r="H61" s="76"/>
      <c r="I61" s="76"/>
      <c r="K61" s="78"/>
    </row>
    <row r="62" spans="1:17" s="13" customFormat="1" x14ac:dyDescent="0.2">
      <c r="A62" s="46">
        <f>MAX($A$12:A60)+1</f>
        <v>27</v>
      </c>
      <c r="B62" s="33" t="s">
        <v>79</v>
      </c>
      <c r="C62" s="49" t="s">
        <v>80</v>
      </c>
      <c r="D62" s="79">
        <v>3.04E-2</v>
      </c>
      <c r="E62" s="33"/>
      <c r="F62" s="33"/>
      <c r="G62" s="33"/>
      <c r="H62" s="33"/>
      <c r="I62" s="33"/>
      <c r="K62" s="78"/>
    </row>
    <row r="63" spans="1:17" s="13" customFormat="1" x14ac:dyDescent="0.2">
      <c r="A63" s="46">
        <f>MAX($A$12:A62)+1</f>
        <v>28</v>
      </c>
      <c r="B63" s="33" t="s">
        <v>81</v>
      </c>
      <c r="C63" s="33" t="s">
        <v>82</v>
      </c>
      <c r="D63" s="79">
        <v>3.0499999999999999E-2</v>
      </c>
      <c r="E63" s="33"/>
      <c r="F63" s="33"/>
      <c r="G63" s="33"/>
      <c r="H63" s="33"/>
      <c r="I63" s="33"/>
      <c r="J63" s="33"/>
      <c r="K63" s="80"/>
      <c r="L63" s="80"/>
      <c r="M63" s="80"/>
      <c r="N63" s="80"/>
      <c r="O63" s="80"/>
      <c r="Q63" s="78"/>
    </row>
    <row r="64" spans="1:17" s="13" customFormat="1" x14ac:dyDescent="0.2">
      <c r="A64" s="46">
        <f>MAX($A$12:A63)+1</f>
        <v>29</v>
      </c>
      <c r="B64" s="33" t="s">
        <v>83</v>
      </c>
      <c r="C64" s="33" t="s">
        <v>84</v>
      </c>
      <c r="D64" s="79">
        <v>4.5699999999999998E-2</v>
      </c>
      <c r="E64" s="33"/>
      <c r="F64" s="33"/>
      <c r="G64" s="33"/>
      <c r="H64" s="33"/>
      <c r="I64" s="33"/>
      <c r="J64" s="33"/>
      <c r="K64" s="80"/>
      <c r="L64" s="80"/>
      <c r="M64" s="80"/>
      <c r="N64" s="80"/>
      <c r="O64" s="80"/>
      <c r="Q64" s="78"/>
    </row>
    <row r="65" spans="1:17" s="13" customFormat="1" x14ac:dyDescent="0.2">
      <c r="A65" s="46"/>
      <c r="B65" s="33"/>
      <c r="C65" s="32"/>
      <c r="D65" s="79"/>
      <c r="E65" s="80"/>
      <c r="F65" s="80"/>
      <c r="G65" s="80"/>
      <c r="H65" s="80"/>
      <c r="I65" s="80"/>
      <c r="J65" s="80"/>
      <c r="K65" s="80"/>
      <c r="L65" s="80"/>
      <c r="M65" s="80"/>
      <c r="N65" s="80"/>
      <c r="O65" s="80"/>
      <c r="Q65" s="78"/>
    </row>
    <row r="66" spans="1:17" x14ac:dyDescent="0.2">
      <c r="A66" s="46"/>
      <c r="D66" s="81"/>
      <c r="O66" s="31"/>
    </row>
    <row r="67" spans="1:17" ht="12.75" customHeight="1" x14ac:dyDescent="0.2">
      <c r="A67" s="211" t="s">
        <v>85</v>
      </c>
      <c r="B67" s="211"/>
      <c r="C67" s="211"/>
      <c r="D67" s="211"/>
      <c r="E67" s="211"/>
      <c r="F67" s="211"/>
      <c r="G67" s="211"/>
      <c r="H67" s="211"/>
      <c r="I67" s="211"/>
      <c r="J67" s="211"/>
      <c r="K67" s="211"/>
      <c r="L67" s="211"/>
      <c r="M67" s="211"/>
      <c r="N67" s="211"/>
      <c r="O67" s="211"/>
      <c r="P67" s="211"/>
    </row>
    <row r="68" spans="1:17" x14ac:dyDescent="0.2">
      <c r="A68" s="211"/>
      <c r="B68" s="211"/>
      <c r="C68" s="211"/>
      <c r="D68" s="211"/>
      <c r="E68" s="211"/>
      <c r="F68" s="211"/>
      <c r="G68" s="211"/>
      <c r="H68" s="211"/>
      <c r="I68" s="211"/>
      <c r="J68" s="211"/>
      <c r="K68" s="211"/>
      <c r="L68" s="211"/>
      <c r="M68" s="211"/>
      <c r="N68" s="211"/>
      <c r="O68" s="211"/>
      <c r="P68" s="211"/>
    </row>
    <row r="69" spans="1:17" x14ac:dyDescent="0.2">
      <c r="A69" s="211"/>
      <c r="B69" s="211"/>
      <c r="C69" s="211"/>
      <c r="D69" s="211"/>
      <c r="E69" s="211"/>
      <c r="F69" s="211"/>
      <c r="G69" s="211"/>
      <c r="H69" s="211"/>
      <c r="I69" s="211"/>
      <c r="J69" s="211"/>
      <c r="K69" s="211"/>
      <c r="L69" s="211"/>
      <c r="M69" s="211"/>
      <c r="N69" s="211"/>
      <c r="O69" s="211"/>
      <c r="P69" s="211"/>
    </row>
    <row r="70" spans="1:17" x14ac:dyDescent="0.2">
      <c r="A70" s="211"/>
      <c r="B70" s="211"/>
      <c r="C70" s="211"/>
      <c r="D70" s="211"/>
      <c r="E70" s="211"/>
      <c r="F70" s="211"/>
      <c r="G70" s="211"/>
      <c r="H70" s="211"/>
      <c r="I70" s="211"/>
      <c r="J70" s="211"/>
      <c r="K70" s="211"/>
      <c r="L70" s="211"/>
      <c r="M70" s="211"/>
      <c r="N70" s="211"/>
      <c r="O70" s="211"/>
      <c r="P70" s="211"/>
    </row>
    <row r="71" spans="1:17" x14ac:dyDescent="0.2">
      <c r="A71" s="211"/>
      <c r="B71" s="211"/>
      <c r="C71" s="211"/>
      <c r="D71" s="211"/>
      <c r="E71" s="211"/>
      <c r="F71" s="211"/>
      <c r="G71" s="211"/>
      <c r="H71" s="211"/>
      <c r="I71" s="211"/>
      <c r="J71" s="211"/>
      <c r="K71" s="211"/>
      <c r="L71" s="211"/>
      <c r="M71" s="211"/>
      <c r="N71" s="211"/>
      <c r="O71" s="211"/>
      <c r="P71" s="211"/>
    </row>
    <row r="72" spans="1:17" x14ac:dyDescent="0.2">
      <c r="A72" s="211"/>
      <c r="B72" s="211"/>
      <c r="C72" s="211"/>
      <c r="D72" s="211"/>
      <c r="E72" s="211"/>
      <c r="F72" s="211"/>
      <c r="G72" s="211"/>
      <c r="H72" s="211"/>
      <c r="I72" s="211"/>
      <c r="J72" s="211"/>
      <c r="K72" s="211"/>
      <c r="L72" s="211"/>
      <c r="M72" s="211"/>
      <c r="N72" s="211"/>
      <c r="O72" s="211"/>
      <c r="P72" s="211"/>
    </row>
    <row r="73" spans="1:17" x14ac:dyDescent="0.2">
      <c r="A73" s="211"/>
      <c r="B73" s="211"/>
      <c r="C73" s="211"/>
      <c r="D73" s="211"/>
      <c r="E73" s="211"/>
      <c r="F73" s="211"/>
      <c r="G73" s="211"/>
      <c r="H73" s="211"/>
      <c r="I73" s="211"/>
      <c r="J73" s="211"/>
      <c r="K73" s="211"/>
      <c r="L73" s="211"/>
      <c r="M73" s="211"/>
      <c r="N73" s="211"/>
      <c r="O73" s="211"/>
      <c r="P73" s="211"/>
    </row>
    <row r="74" spans="1:17" x14ac:dyDescent="0.2">
      <c r="A74" s="211"/>
      <c r="B74" s="211"/>
      <c r="C74" s="211"/>
      <c r="D74" s="211"/>
      <c r="E74" s="211"/>
      <c r="F74" s="211"/>
      <c r="G74" s="211"/>
      <c r="H74" s="211"/>
      <c r="I74" s="211"/>
      <c r="J74" s="211"/>
      <c r="K74" s="211"/>
      <c r="L74" s="211"/>
      <c r="M74" s="211"/>
      <c r="N74" s="211"/>
      <c r="O74" s="211"/>
      <c r="P74" s="211"/>
    </row>
    <row r="75" spans="1:17" x14ac:dyDescent="0.2">
      <c r="A75" s="211"/>
      <c r="B75" s="211"/>
      <c r="C75" s="211"/>
      <c r="D75" s="211"/>
      <c r="E75" s="211"/>
      <c r="F75" s="211"/>
      <c r="G75" s="211"/>
      <c r="H75" s="211"/>
      <c r="I75" s="211"/>
      <c r="J75" s="211"/>
      <c r="K75" s="211"/>
      <c r="L75" s="211"/>
      <c r="M75" s="211"/>
      <c r="N75" s="211"/>
      <c r="O75" s="211"/>
      <c r="P75" s="211"/>
    </row>
    <row r="76" spans="1:17" x14ac:dyDescent="0.2">
      <c r="A76" s="211"/>
      <c r="B76" s="211"/>
      <c r="C76" s="211"/>
      <c r="D76" s="211"/>
      <c r="E76" s="211"/>
      <c r="F76" s="211"/>
      <c r="G76" s="211"/>
      <c r="H76" s="211"/>
      <c r="I76" s="211"/>
      <c r="J76" s="211"/>
      <c r="K76" s="211"/>
      <c r="L76" s="211"/>
      <c r="M76" s="211"/>
      <c r="N76" s="211"/>
      <c r="O76" s="211"/>
      <c r="P76" s="211"/>
    </row>
    <row r="77" spans="1:17" x14ac:dyDescent="0.2">
      <c r="A77" s="211"/>
      <c r="B77" s="211"/>
      <c r="C77" s="211"/>
      <c r="D77" s="211"/>
      <c r="E77" s="211"/>
      <c r="F77" s="211"/>
      <c r="G77" s="211"/>
      <c r="H77" s="211"/>
      <c r="I77" s="211"/>
      <c r="J77" s="211"/>
      <c r="K77" s="211"/>
      <c r="L77" s="211"/>
      <c r="M77" s="211"/>
      <c r="N77" s="211"/>
      <c r="O77" s="211"/>
      <c r="P77" s="211"/>
    </row>
    <row r="78" spans="1:17" x14ac:dyDescent="0.2">
      <c r="A78" s="211"/>
      <c r="B78" s="211"/>
      <c r="C78" s="211"/>
      <c r="D78" s="211"/>
      <c r="E78" s="211"/>
      <c r="F78" s="211"/>
      <c r="G78" s="211"/>
      <c r="H78" s="211"/>
      <c r="I78" s="211"/>
      <c r="J78" s="211"/>
      <c r="K78" s="211"/>
      <c r="L78" s="211"/>
      <c r="M78" s="211"/>
      <c r="N78" s="211"/>
      <c r="O78" s="211"/>
      <c r="P78" s="211"/>
    </row>
    <row r="79" spans="1:17" x14ac:dyDescent="0.2">
      <c r="A79" s="211"/>
      <c r="B79" s="211"/>
      <c r="C79" s="211"/>
      <c r="D79" s="211"/>
      <c r="E79" s="211"/>
      <c r="F79" s="211"/>
      <c r="G79" s="211"/>
      <c r="H79" s="211"/>
      <c r="I79" s="211"/>
      <c r="J79" s="211"/>
      <c r="K79" s="211"/>
      <c r="L79" s="211"/>
      <c r="M79" s="211"/>
      <c r="N79" s="211"/>
      <c r="O79" s="211"/>
      <c r="P79" s="211"/>
    </row>
    <row r="80" spans="1:17" x14ac:dyDescent="0.2">
      <c r="A80" s="211"/>
      <c r="B80" s="211"/>
      <c r="C80" s="211"/>
      <c r="D80" s="211"/>
      <c r="E80" s="211"/>
      <c r="F80" s="211"/>
      <c r="G80" s="211"/>
      <c r="H80" s="211"/>
      <c r="I80" s="211"/>
      <c r="J80" s="211"/>
      <c r="K80" s="211"/>
      <c r="L80" s="211"/>
      <c r="M80" s="211"/>
      <c r="N80" s="211"/>
      <c r="O80" s="211"/>
      <c r="P80" s="211"/>
    </row>
    <row r="81" spans="1:16" x14ac:dyDescent="0.2">
      <c r="A81" s="211"/>
      <c r="B81" s="211"/>
      <c r="C81" s="211"/>
      <c r="D81" s="211"/>
      <c r="E81" s="211"/>
      <c r="F81" s="211"/>
      <c r="G81" s="211"/>
      <c r="H81" s="211"/>
      <c r="I81" s="211"/>
      <c r="J81" s="211"/>
      <c r="K81" s="211"/>
      <c r="L81" s="211"/>
      <c r="M81" s="211"/>
      <c r="N81" s="211"/>
      <c r="O81" s="211"/>
      <c r="P81" s="211"/>
    </row>
    <row r="82" spans="1:16" x14ac:dyDescent="0.2">
      <c r="A82" s="211"/>
      <c r="B82" s="211"/>
      <c r="C82" s="211"/>
      <c r="D82" s="211"/>
      <c r="E82" s="211"/>
      <c r="F82" s="211"/>
      <c r="G82" s="211"/>
      <c r="H82" s="211"/>
      <c r="I82" s="211"/>
      <c r="J82" s="211"/>
      <c r="K82" s="211"/>
      <c r="L82" s="211"/>
      <c r="M82" s="211"/>
      <c r="N82" s="211"/>
      <c r="O82" s="211"/>
      <c r="P82" s="211"/>
    </row>
  </sheetData>
  <mergeCells count="2">
    <mergeCell ref="D7:O7"/>
    <mergeCell ref="A67:P82"/>
  </mergeCells>
  <pageMargins left="0.7" right="0.7" top="0.75" bottom="0.75" header="0.3" footer="0.3"/>
  <pageSetup scale="50" orientation="landscape" r:id="rId1"/>
  <headerFooter>
    <oddFooter>&amp;C&amp;"Arial,Regular"&amp;10RMP__(SEM-2)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0"/>
  <sheetViews>
    <sheetView view="pageBreakPreview" zoomScale="60" zoomScaleNormal="90" workbookViewId="0">
      <selection activeCell="A4" sqref="A4"/>
    </sheetView>
  </sheetViews>
  <sheetFormatPr defaultColWidth="12.5703125" defaultRowHeight="12.75" x14ac:dyDescent="0.2"/>
  <cols>
    <col min="1" max="1" width="5.5703125" style="83" customWidth="1"/>
    <col min="2" max="2" width="52.42578125" style="83" customWidth="1"/>
    <col min="3" max="3" width="8.140625" style="83" customWidth="1"/>
    <col min="4" max="4" width="17.28515625" style="83" bestFit="1" customWidth="1"/>
    <col min="5" max="13" width="13.140625" style="83" customWidth="1"/>
    <col min="14" max="16384" width="12.5703125" style="83"/>
  </cols>
  <sheetData>
    <row r="1" spans="1:12" x14ac:dyDescent="0.2">
      <c r="A1" s="82" t="s">
        <v>13</v>
      </c>
    </row>
    <row r="2" spans="1:12" x14ac:dyDescent="0.2">
      <c r="A2" s="82" t="s">
        <v>14</v>
      </c>
    </row>
    <row r="3" spans="1:12" x14ac:dyDescent="0.2">
      <c r="A3" s="84" t="s">
        <v>123</v>
      </c>
    </row>
    <row r="4" spans="1:12" x14ac:dyDescent="0.2">
      <c r="A4" s="85"/>
    </row>
    <row r="5" spans="1:12" x14ac:dyDescent="0.2">
      <c r="A5" s="86" t="str">
        <f>"Calculation of Utah Allocated REC Actuals for CY "&amp;YEAR(A3)-1</f>
        <v>Calculation of Utah Allocated REC Actuals for CY 2022</v>
      </c>
      <c r="E5" s="87"/>
    </row>
    <row r="6" spans="1:12" x14ac:dyDescent="0.2">
      <c r="B6" s="88"/>
      <c r="C6" s="88"/>
      <c r="D6" s="88"/>
      <c r="E6" s="89"/>
      <c r="F6" s="88"/>
      <c r="G6" s="88"/>
      <c r="H6" s="88"/>
      <c r="I6" s="88"/>
      <c r="J6" s="90"/>
      <c r="K6" s="90"/>
      <c r="L6" s="90"/>
    </row>
    <row r="7" spans="1:12" x14ac:dyDescent="0.2">
      <c r="A7" s="88"/>
      <c r="B7" s="88"/>
      <c r="C7" s="88"/>
      <c r="D7" s="88"/>
      <c r="E7" s="88"/>
      <c r="F7" s="88"/>
      <c r="G7" s="91"/>
      <c r="H7" s="88"/>
      <c r="I7" s="88"/>
      <c r="J7" s="88"/>
      <c r="K7" s="88"/>
      <c r="L7" s="88"/>
    </row>
    <row r="8" spans="1:12" x14ac:dyDescent="0.2">
      <c r="A8" s="83" t="str">
        <f>"Jan - Dec "&amp;YEAR(A3)-1&amp;" - Actual REC Revenues - CA/OR/WA Eligible Resources(1)"</f>
        <v>Jan - Dec 2022 - Actual REC Revenues - CA/OR/WA Eligible Resources(1)</v>
      </c>
      <c r="B8" s="88"/>
      <c r="C8" s="88"/>
      <c r="D8" s="92">
        <v>5451907.7394657172</v>
      </c>
      <c r="E8" s="93"/>
      <c r="H8" s="88"/>
      <c r="I8" s="88"/>
      <c r="J8" s="88"/>
      <c r="K8" s="88"/>
      <c r="L8" s="88"/>
    </row>
    <row r="9" spans="1:12" x14ac:dyDescent="0.2">
      <c r="A9" s="94"/>
      <c r="B9" s="88"/>
      <c r="C9" s="88"/>
      <c r="D9" s="95"/>
      <c r="E9" s="88"/>
      <c r="G9" s="88"/>
      <c r="H9" s="88"/>
      <c r="I9" s="88"/>
      <c r="J9" s="88"/>
      <c r="K9" s="96"/>
      <c r="L9" s="97"/>
    </row>
    <row r="10" spans="1:12" x14ac:dyDescent="0.2">
      <c r="A10" s="83" t="str">
        <f>"Jan - Dec "&amp;YEAR(A3)-1&amp;" - Actual REC Revenues - CA/OR Eligible Resources(1)"</f>
        <v>Jan - Dec 2022 - Actual REC Revenues - CA/OR Eligible Resources(1)</v>
      </c>
      <c r="B10" s="88"/>
      <c r="C10" s="88"/>
      <c r="D10" s="95">
        <v>240107.29571233832</v>
      </c>
      <c r="E10" s="88"/>
      <c r="G10" s="88"/>
      <c r="H10" s="88"/>
      <c r="I10" s="98"/>
      <c r="J10" s="88"/>
      <c r="K10" s="96"/>
      <c r="L10" s="97"/>
    </row>
    <row r="11" spans="1:12" x14ac:dyDescent="0.2">
      <c r="A11" s="94"/>
      <c r="B11" s="88"/>
      <c r="C11" s="88"/>
      <c r="D11" s="99"/>
      <c r="E11" s="88"/>
      <c r="G11" s="88"/>
      <c r="H11" s="88"/>
      <c r="I11" s="88"/>
      <c r="J11" s="88"/>
      <c r="K11" s="96"/>
      <c r="L11" s="97"/>
    </row>
    <row r="12" spans="1:12" x14ac:dyDescent="0.2">
      <c r="A12" s="83" t="str">
        <f>"Jan - Dec "&amp;YEAR(A3)-1&amp;" -  Actual REC Revenues  - CA Eligible Resources(1)"</f>
        <v>Jan - Dec 2022 -  Actual REC Revenues  - CA Eligible Resources(1)</v>
      </c>
      <c r="B12" s="82"/>
      <c r="C12" s="88"/>
      <c r="D12" s="95">
        <v>98947.623654080337</v>
      </c>
      <c r="E12" s="100"/>
      <c r="F12" s="100"/>
      <c r="G12" s="88"/>
      <c r="H12" s="82"/>
      <c r="I12" s="88"/>
      <c r="J12" s="88"/>
      <c r="K12" s="101"/>
      <c r="L12" s="97"/>
    </row>
    <row r="13" spans="1:12" x14ac:dyDescent="0.2">
      <c r="B13" s="82"/>
      <c r="C13" s="88"/>
      <c r="D13" s="102"/>
      <c r="E13" s="100"/>
      <c r="F13" s="100"/>
      <c r="G13" s="88"/>
      <c r="H13" s="82"/>
      <c r="I13" s="88"/>
      <c r="J13" s="88"/>
      <c r="K13" s="101"/>
      <c r="L13" s="97"/>
    </row>
    <row r="14" spans="1:12" x14ac:dyDescent="0.2">
      <c r="A14" s="83" t="str">
        <f>"Jan - Dec "&amp;YEAR(A3)-1&amp;" -  Actual REC Revenues  - Not Eligibile for RPS Compliance(1)"</f>
        <v>Jan - Dec 2022 -  Actual REC Revenues  - Not Eligibile for RPS Compliance(1)</v>
      </c>
      <c r="B14" s="82"/>
      <c r="C14" s="88"/>
      <c r="D14" s="95">
        <v>58431.991167863176</v>
      </c>
      <c r="E14" s="100"/>
      <c r="F14" s="100"/>
      <c r="G14" s="88"/>
      <c r="H14" s="82"/>
      <c r="I14" s="88"/>
      <c r="J14" s="88"/>
      <c r="K14" s="101"/>
      <c r="L14" s="97"/>
    </row>
    <row r="15" spans="1:12" x14ac:dyDescent="0.2">
      <c r="A15" s="85"/>
      <c r="E15" s="103"/>
    </row>
    <row r="16" spans="1:12" x14ac:dyDescent="0.2">
      <c r="A16" s="83" t="str">
        <f>"Total Jan - Dec "&amp;YEAR(A3)-1&amp;" REC Revenues"</f>
        <v>Total Jan - Dec 2022 REC Revenues</v>
      </c>
      <c r="D16" s="104">
        <f>SUM(D8:D14)</f>
        <v>5849394.6499999994</v>
      </c>
      <c r="E16" s="103"/>
      <c r="F16" s="103"/>
    </row>
    <row r="17" spans="1:13" x14ac:dyDescent="0.2">
      <c r="A17" s="88"/>
      <c r="B17" s="82"/>
      <c r="C17" s="88"/>
      <c r="D17" s="88"/>
      <c r="F17" s="105"/>
      <c r="G17" s="88"/>
      <c r="H17" s="88"/>
      <c r="I17" s="88"/>
      <c r="J17" s="88"/>
      <c r="K17" s="101"/>
      <c r="L17" s="97"/>
    </row>
    <row r="18" spans="1:13" x14ac:dyDescent="0.2">
      <c r="A18" s="82" t="str">
        <f>"Reallocate Jan - Dec "&amp;YEAR(A3)-1&amp;" REC Revenues for Renewable Portfolio Standards"</f>
        <v>Reallocate Jan - Dec 2022 REC Revenues for Renewable Portfolio Standards</v>
      </c>
      <c r="B18" s="88"/>
      <c r="C18" s="88"/>
      <c r="D18" s="88"/>
      <c r="E18" s="88"/>
      <c r="F18" s="88"/>
      <c r="G18" s="88"/>
      <c r="H18" s="88"/>
      <c r="I18" s="88"/>
      <c r="J18" s="90" t="s">
        <v>86</v>
      </c>
      <c r="K18" s="88"/>
      <c r="L18" s="88"/>
      <c r="M18" s="106"/>
    </row>
    <row r="19" spans="1:13" ht="15.75" customHeight="1" x14ac:dyDescent="0.2">
      <c r="A19" s="88"/>
      <c r="B19" s="88"/>
      <c r="C19" s="107"/>
      <c r="D19" s="107" t="s">
        <v>87</v>
      </c>
      <c r="E19" s="107" t="s">
        <v>37</v>
      </c>
      <c r="F19" s="107" t="s">
        <v>88</v>
      </c>
      <c r="G19" s="107" t="s">
        <v>89</v>
      </c>
      <c r="H19" s="108" t="s">
        <v>90</v>
      </c>
      <c r="I19" s="107" t="s">
        <v>91</v>
      </c>
      <c r="J19" s="107" t="s">
        <v>92</v>
      </c>
      <c r="K19" s="107" t="s">
        <v>93</v>
      </c>
      <c r="L19" s="107" t="s">
        <v>94</v>
      </c>
      <c r="M19" s="107" t="s">
        <v>95</v>
      </c>
    </row>
    <row r="20" spans="1:13" x14ac:dyDescent="0.2">
      <c r="A20" s="88"/>
      <c r="B20" s="94" t="str">
        <f>"CY "&amp;YEAR(A3)-1&amp;" Actual SG Factor - See Page 2.2"</f>
        <v>CY 2022 Actual SG Factor - See Page 2.2</v>
      </c>
      <c r="C20" s="88"/>
      <c r="D20" s="109" t="s">
        <v>96</v>
      </c>
      <c r="E20" s="110">
        <f>SUM(F20:L20)</f>
        <v>1</v>
      </c>
      <c r="F20" s="90">
        <f>'Page 2.2'!E43</f>
        <v>1.4264357863786993E-2</v>
      </c>
      <c r="G20" s="90">
        <f>'Page 2.2'!F43</f>
        <v>0.25746155907955026</v>
      </c>
      <c r="H20" s="90">
        <f>'Page 2.2'!G43</f>
        <v>7.9660854355555644E-2</v>
      </c>
      <c r="I20" s="90">
        <f>'Page 2.2'!J43</f>
        <v>0.13700863793981949</v>
      </c>
      <c r="J20" s="90">
        <f>'Page 2.2'!H43</f>
        <v>0.45199862471552765</v>
      </c>
      <c r="K20" s="90">
        <f>'Page 2.2'!I43</f>
        <v>5.9234158101670903E-2</v>
      </c>
      <c r="L20" s="90">
        <f>'Page 2.2'!K43</f>
        <v>3.7180794408915791E-4</v>
      </c>
      <c r="M20" s="111"/>
    </row>
    <row r="21" spans="1:13" ht="13.5" thickBot="1" x14ac:dyDescent="0.25">
      <c r="A21" s="88"/>
      <c r="B21" s="88"/>
      <c r="C21" s="88"/>
      <c r="D21" s="109"/>
      <c r="E21" s="110"/>
      <c r="F21" s="90"/>
      <c r="G21" s="90"/>
      <c r="H21" s="90"/>
      <c r="I21" s="90"/>
      <c r="J21" s="90"/>
      <c r="K21" s="90"/>
      <c r="L21" s="90"/>
    </row>
    <row r="22" spans="1:13" x14ac:dyDescent="0.2">
      <c r="A22" s="82" t="str">
        <f>"Actual Jan - Dec "&amp;YEAR(A3)-1&amp;" REC Rev - Eligible for CA/OR/WA RPS"</f>
        <v>Actual Jan - Dec 2022 REC Rev - Eligible for CA/OR/WA RPS</v>
      </c>
      <c r="B22" s="88"/>
      <c r="C22" s="109"/>
      <c r="D22" s="109" t="s">
        <v>96</v>
      </c>
      <c r="E22" s="112">
        <f>D8</f>
        <v>5451907.7394657172</v>
      </c>
      <c r="F22" s="113">
        <f>$E$22*F20</f>
        <v>77767.963036088971</v>
      </c>
      <c r="G22" s="113">
        <f t="shared" ref="G22:L22" si="0">$E$22*G20</f>
        <v>1403656.6665607102</v>
      </c>
      <c r="H22" s="114">
        <f t="shared" si="0"/>
        <v>434303.62839350512</v>
      </c>
      <c r="I22" s="115">
        <f t="shared" si="0"/>
        <v>746958.45355775813</v>
      </c>
      <c r="J22" s="115">
        <f t="shared" si="0"/>
        <v>2464254.8003144455</v>
      </c>
      <c r="K22" s="115">
        <f t="shared" si="0"/>
        <v>322939.16499523551</v>
      </c>
      <c r="L22" s="116">
        <f t="shared" si="0"/>
        <v>2027.0626079745166</v>
      </c>
    </row>
    <row r="23" spans="1:13" x14ac:dyDescent="0.2">
      <c r="A23" s="88"/>
      <c r="B23" s="88"/>
      <c r="C23" s="109"/>
      <c r="D23" s="109"/>
      <c r="E23" s="117"/>
      <c r="F23" s="118"/>
      <c r="G23" s="118"/>
      <c r="H23" s="119"/>
      <c r="I23" s="118"/>
      <c r="J23" s="118"/>
      <c r="K23" s="118"/>
      <c r="L23" s="120"/>
    </row>
    <row r="24" spans="1:13" x14ac:dyDescent="0.2">
      <c r="A24" s="88"/>
      <c r="B24" s="88" t="s">
        <v>97</v>
      </c>
      <c r="C24" s="109"/>
      <c r="D24" s="109" t="s">
        <v>96</v>
      </c>
      <c r="E24" s="121">
        <f>(E22/(1-SUM($F$20:$H$20)))-E22</f>
        <v>2953575.6799575035</v>
      </c>
      <c r="F24" s="118">
        <f t="shared" ref="F24:L24" si="1">$E$24*F20</f>
        <v>42130.860476691829</v>
      </c>
      <c r="G24" s="118">
        <f t="shared" si="1"/>
        <v>760432.1994213016</v>
      </c>
      <c r="H24" s="119">
        <f t="shared" si="1"/>
        <v>235284.3620692059</v>
      </c>
      <c r="I24" s="118">
        <f t="shared" si="1"/>
        <v>404665.38096315373</v>
      </c>
      <c r="J24" s="118">
        <f t="shared" si="1"/>
        <v>1335012.145334021</v>
      </c>
      <c r="K24" s="118">
        <f t="shared" si="1"/>
        <v>174952.56879185289</v>
      </c>
      <c r="L24" s="120">
        <f t="shared" si="1"/>
        <v>1098.162901276736</v>
      </c>
    </row>
    <row r="25" spans="1:13" x14ac:dyDescent="0.2">
      <c r="A25" s="88"/>
      <c r="B25" s="88" t="s">
        <v>97</v>
      </c>
      <c r="C25" s="109"/>
      <c r="D25" s="109" t="s">
        <v>98</v>
      </c>
      <c r="E25" s="122">
        <f>-E24</f>
        <v>-2953575.6799575035</v>
      </c>
      <c r="F25" s="123">
        <f>-SUM(F22:F24)</f>
        <v>-119898.8235127808</v>
      </c>
      <c r="G25" s="123">
        <f>-SUM(G22:G24)</f>
        <v>-2164088.8659820119</v>
      </c>
      <c r="H25" s="124">
        <f>-SUM(H22:H24)</f>
        <v>-669587.99046271108</v>
      </c>
      <c r="I25" s="125"/>
      <c r="J25" s="125"/>
      <c r="K25" s="125"/>
      <c r="L25" s="126"/>
    </row>
    <row r="26" spans="1:13" x14ac:dyDescent="0.2">
      <c r="A26" s="88"/>
      <c r="B26" s="88"/>
      <c r="C26" s="109"/>
      <c r="D26" s="109"/>
      <c r="E26" s="117"/>
      <c r="F26" s="127"/>
      <c r="G26" s="127"/>
      <c r="H26" s="128"/>
      <c r="I26" s="96"/>
      <c r="J26" s="96"/>
      <c r="K26" s="96"/>
      <c r="L26" s="129"/>
    </row>
    <row r="27" spans="1:13" ht="13.5" thickBot="1" x14ac:dyDescent="0.25">
      <c r="A27" s="82" t="str">
        <f>"Actual Jan - Dec "&amp;YEAR(A3)-1&amp;" REC Revenues - Reallocated totals"</f>
        <v>Actual Jan - Dec 2022 REC Revenues - Reallocated totals</v>
      </c>
      <c r="B27" s="88"/>
      <c r="C27" s="88"/>
      <c r="D27" s="88"/>
      <c r="E27" s="130">
        <f t="shared" ref="E27:L27" si="2">SUM(E22:E25)</f>
        <v>5451907.7394657172</v>
      </c>
      <c r="F27" s="131">
        <f t="shared" si="2"/>
        <v>0</v>
      </c>
      <c r="G27" s="131">
        <f t="shared" si="2"/>
        <v>0</v>
      </c>
      <c r="H27" s="132">
        <f t="shared" si="2"/>
        <v>0</v>
      </c>
      <c r="I27" s="125">
        <f t="shared" si="2"/>
        <v>1151623.8345209118</v>
      </c>
      <c r="J27" s="125">
        <f t="shared" si="2"/>
        <v>3799266.9456484662</v>
      </c>
      <c r="K27" s="125">
        <f t="shared" si="2"/>
        <v>497891.73378708842</v>
      </c>
      <c r="L27" s="126">
        <f t="shared" si="2"/>
        <v>3125.2255092512523</v>
      </c>
    </row>
    <row r="28" spans="1:13" ht="13.5" thickBot="1" x14ac:dyDescent="0.25">
      <c r="A28" s="88"/>
      <c r="B28" s="88"/>
      <c r="C28" s="88"/>
      <c r="D28" s="88"/>
      <c r="E28" s="133"/>
      <c r="F28" s="133"/>
      <c r="G28" s="133"/>
      <c r="H28" s="96"/>
      <c r="I28" s="96"/>
      <c r="J28" s="96"/>
      <c r="K28" s="96"/>
      <c r="L28" s="96"/>
    </row>
    <row r="29" spans="1:13" x14ac:dyDescent="0.2">
      <c r="A29" s="82" t="str">
        <f>"Actual Jan - Dec "&amp;YEAR(A3)-1&amp;" REC Rev - Eligible for CA/OR RPS"</f>
        <v>Actual Jan - Dec 2022 REC Rev - Eligible for CA/OR RPS</v>
      </c>
      <c r="B29" s="88"/>
      <c r="C29" s="109"/>
      <c r="D29" s="109" t="s">
        <v>96</v>
      </c>
      <c r="E29" s="112">
        <f>D10</f>
        <v>240107.29571233832</v>
      </c>
      <c r="F29" s="113">
        <f t="shared" ref="F29:L29" si="3">$E$29*F20</f>
        <v>3424.9763917469222</v>
      </c>
      <c r="G29" s="114">
        <f t="shared" si="3"/>
        <v>61818.398700473241</v>
      </c>
      <c r="H29" s="115">
        <f t="shared" si="3"/>
        <v>19127.152313446913</v>
      </c>
      <c r="I29" s="115">
        <f t="shared" si="3"/>
        <v>32896.773544960932</v>
      </c>
      <c r="J29" s="115">
        <f t="shared" si="3"/>
        <v>108528.16744614144</v>
      </c>
      <c r="K29" s="115">
        <f t="shared" si="3"/>
        <v>14222.553515589296</v>
      </c>
      <c r="L29" s="116">
        <f t="shared" si="3"/>
        <v>89.273799979611994</v>
      </c>
    </row>
    <row r="30" spans="1:13" x14ac:dyDescent="0.2">
      <c r="A30" s="82"/>
      <c r="B30" s="88"/>
      <c r="C30" s="109"/>
      <c r="D30" s="109"/>
      <c r="E30" s="117"/>
      <c r="F30" s="118"/>
      <c r="G30" s="119"/>
      <c r="H30" s="118"/>
      <c r="I30" s="118"/>
      <c r="J30" s="118"/>
      <c r="K30" s="118"/>
      <c r="L30" s="120"/>
    </row>
    <row r="31" spans="1:13" x14ac:dyDescent="0.2">
      <c r="A31" s="82"/>
      <c r="B31" s="88" t="s">
        <v>97</v>
      </c>
      <c r="C31" s="109"/>
      <c r="D31" s="109" t="s">
        <v>96</v>
      </c>
      <c r="E31" s="121">
        <f>(E29/(1-SUM(F20:G20)))-E29</f>
        <v>89586.29259246061</v>
      </c>
      <c r="F31" s="118">
        <f t="shared" ref="F31:L31" si="4">$E$31*F20</f>
        <v>1277.8909372287881</v>
      </c>
      <c r="G31" s="119">
        <f t="shared" si="4"/>
        <v>23065.026563011674</v>
      </c>
      <c r="H31" s="118">
        <f t="shared" si="4"/>
        <v>7136.520606462198</v>
      </c>
      <c r="I31" s="118">
        <f t="shared" si="4"/>
        <v>12274.095926171169</v>
      </c>
      <c r="J31" s="118">
        <f t="shared" si="4"/>
        <v>40492.88104515506</v>
      </c>
      <c r="K31" s="118">
        <f t="shared" si="4"/>
        <v>5306.5686191643608</v>
      </c>
      <c r="L31" s="120">
        <f t="shared" si="4"/>
        <v>33.308895267372534</v>
      </c>
    </row>
    <row r="32" spans="1:13" x14ac:dyDescent="0.2">
      <c r="A32" s="82"/>
      <c r="B32" s="88" t="s">
        <v>97</v>
      </c>
      <c r="C32" s="109"/>
      <c r="D32" s="109" t="s">
        <v>98</v>
      </c>
      <c r="E32" s="122">
        <f>-E31</f>
        <v>-89586.29259246061</v>
      </c>
      <c r="F32" s="123">
        <f>-SUM(F29:F31)</f>
        <v>-4702.8673289757098</v>
      </c>
      <c r="G32" s="124">
        <f>-SUM(G29:G31)</f>
        <v>-84883.425263484911</v>
      </c>
      <c r="H32" s="125"/>
      <c r="I32" s="125"/>
      <c r="J32" s="125"/>
      <c r="K32" s="125"/>
      <c r="L32" s="126"/>
    </row>
    <row r="33" spans="1:13" x14ac:dyDescent="0.2">
      <c r="A33" s="82"/>
      <c r="B33" s="88"/>
      <c r="C33" s="109"/>
      <c r="D33" s="109"/>
      <c r="E33" s="117"/>
      <c r="F33" s="127"/>
      <c r="G33" s="128"/>
      <c r="H33" s="118"/>
      <c r="I33" s="96"/>
      <c r="J33" s="96"/>
      <c r="K33" s="96"/>
      <c r="L33" s="129"/>
    </row>
    <row r="34" spans="1:13" ht="13.5" thickBot="1" x14ac:dyDescent="0.25">
      <c r="A34" s="82" t="str">
        <f>"Actual Jan - Dec "&amp;YEAR(A3)-1&amp;" REC Revenues - Reallocated totals"</f>
        <v>Actual Jan - Dec 2022 REC Revenues - Reallocated totals</v>
      </c>
      <c r="B34" s="88"/>
      <c r="C34" s="88"/>
      <c r="D34" s="88"/>
      <c r="E34" s="130">
        <f t="shared" ref="E34:L34" si="5">SUM(E29:E32)</f>
        <v>240107.29571233832</v>
      </c>
      <c r="F34" s="131">
        <f>SUM(F29:F32)</f>
        <v>0</v>
      </c>
      <c r="G34" s="132">
        <f t="shared" si="5"/>
        <v>0</v>
      </c>
      <c r="H34" s="125">
        <f t="shared" si="5"/>
        <v>26263.672919909113</v>
      </c>
      <c r="I34" s="125">
        <f t="shared" si="5"/>
        <v>45170.8694711321</v>
      </c>
      <c r="J34" s="125">
        <f t="shared" si="5"/>
        <v>149021.0484912965</v>
      </c>
      <c r="K34" s="125">
        <f t="shared" si="5"/>
        <v>19529.122134753656</v>
      </c>
      <c r="L34" s="126">
        <f t="shared" si="5"/>
        <v>122.58269524698453</v>
      </c>
    </row>
    <row r="35" spans="1:13" ht="13.5" thickBot="1" x14ac:dyDescent="0.25">
      <c r="A35" s="88"/>
      <c r="B35" s="88"/>
      <c r="C35" s="88"/>
      <c r="D35" s="88"/>
      <c r="E35" s="133"/>
      <c r="F35" s="133"/>
      <c r="G35" s="133"/>
      <c r="H35" s="96"/>
      <c r="I35" s="96"/>
      <c r="J35" s="96"/>
      <c r="K35" s="96"/>
      <c r="L35" s="96"/>
      <c r="M35" s="127"/>
    </row>
    <row r="36" spans="1:13" x14ac:dyDescent="0.2">
      <c r="A36" s="82" t="str">
        <f>"Actual Jan - Dec "&amp;YEAR(A3)-1&amp;" REC Rev - Eligible for CA RPS Only"</f>
        <v>Actual Jan - Dec 2022 REC Rev - Eligible for CA RPS Only</v>
      </c>
      <c r="B36" s="88"/>
      <c r="C36" s="109"/>
      <c r="D36" s="109" t="s">
        <v>96</v>
      </c>
      <c r="E36" s="134">
        <f>D12</f>
        <v>98947.623654080337</v>
      </c>
      <c r="F36" s="135">
        <f t="shared" ref="F36:L36" si="6">$E$36*F20</f>
        <v>1411.4243135731167</v>
      </c>
      <c r="G36" s="115">
        <f t="shared" si="6"/>
        <v>25475.209453196108</v>
      </c>
      <c r="H36" s="115">
        <f t="shared" si="6"/>
        <v>7882.2522367360261</v>
      </c>
      <c r="I36" s="115">
        <f t="shared" si="6"/>
        <v>13556.679144227412</v>
      </c>
      <c r="J36" s="115">
        <f t="shared" si="6"/>
        <v>44724.189810513926</v>
      </c>
      <c r="K36" s="115">
        <f t="shared" si="6"/>
        <v>5861.0791833104258</v>
      </c>
      <c r="L36" s="115">
        <f t="shared" si="6"/>
        <v>36.789512523331339</v>
      </c>
      <c r="M36" s="136">
        <f>$E$34*M20</f>
        <v>0</v>
      </c>
    </row>
    <row r="37" spans="1:13" x14ac:dyDescent="0.2">
      <c r="A37" s="88"/>
      <c r="B37" s="88"/>
      <c r="C37" s="109"/>
      <c r="D37" s="109"/>
      <c r="E37" s="117"/>
      <c r="F37" s="137"/>
      <c r="G37" s="138"/>
      <c r="H37" s="138"/>
      <c r="I37" s="138"/>
      <c r="J37" s="138"/>
      <c r="K37" s="138"/>
      <c r="L37" s="138"/>
      <c r="M37" s="139"/>
    </row>
    <row r="38" spans="1:13" x14ac:dyDescent="0.2">
      <c r="A38" s="88"/>
      <c r="B38" s="88" t="s">
        <v>97</v>
      </c>
      <c r="C38" s="109"/>
      <c r="D38" s="109" t="s">
        <v>96</v>
      </c>
      <c r="E38" s="140">
        <f>(E36/(1-$F$20))-E36</f>
        <v>1431.8487160658842</v>
      </c>
      <c r="F38" s="137">
        <f t="shared" ref="F38:L38" si="7">$E$38*F20</f>
        <v>20.424402492767705</v>
      </c>
      <c r="G38" s="138">
        <f t="shared" si="7"/>
        <v>368.64600280437486</v>
      </c>
      <c r="H38" s="138">
        <f t="shared" si="7"/>
        <v>114.06229202971375</v>
      </c>
      <c r="I38" s="138">
        <f t="shared" si="7"/>
        <v>196.17564232406613</v>
      </c>
      <c r="J38" s="138">
        <f t="shared" si="7"/>
        <v>647.19365046247367</v>
      </c>
      <c r="K38" s="138">
        <f t="shared" si="7"/>
        <v>84.814353225121081</v>
      </c>
      <c r="L38" s="138">
        <f t="shared" si="7"/>
        <v>0.53237272736715679</v>
      </c>
      <c r="M38" s="139"/>
    </row>
    <row r="39" spans="1:13" x14ac:dyDescent="0.2">
      <c r="A39" s="88"/>
      <c r="B39" s="88" t="s">
        <v>97</v>
      </c>
      <c r="C39" s="109"/>
      <c r="D39" s="109" t="s">
        <v>98</v>
      </c>
      <c r="E39" s="141">
        <f>-E38</f>
        <v>-1431.8487160658842</v>
      </c>
      <c r="F39" s="142">
        <f>-SUM(F36:F38)</f>
        <v>-1431.8487160658844</v>
      </c>
      <c r="G39" s="143"/>
      <c r="H39" s="144"/>
      <c r="I39" s="144"/>
      <c r="J39" s="144"/>
      <c r="K39" s="144"/>
      <c r="L39" s="144"/>
      <c r="M39" s="145">
        <f>-G39</f>
        <v>0</v>
      </c>
    </row>
    <row r="40" spans="1:13" x14ac:dyDescent="0.2">
      <c r="A40" s="88"/>
      <c r="B40" s="88"/>
      <c r="C40" s="109"/>
      <c r="D40" s="109"/>
      <c r="E40" s="117"/>
      <c r="F40" s="128"/>
      <c r="G40" s="127"/>
      <c r="H40" s="146"/>
      <c r="I40" s="146"/>
      <c r="J40" s="146"/>
      <c r="K40" s="146"/>
      <c r="L40" s="146"/>
      <c r="M40" s="147"/>
    </row>
    <row r="41" spans="1:13" ht="13.5" thickBot="1" x14ac:dyDescent="0.25">
      <c r="A41" s="82" t="str">
        <f>"Actual Jan - Dec "&amp;YEAR(A3)-1&amp;" REC Revenues - Reallocated totals"</f>
        <v>Actual Jan - Dec 2022 REC Revenues - Reallocated totals</v>
      </c>
      <c r="B41" s="88"/>
      <c r="C41" s="88"/>
      <c r="D41" s="88"/>
      <c r="E41" s="148">
        <f t="shared" ref="E41:M41" si="8">SUM(E36:E39)</f>
        <v>98947.623654080337</v>
      </c>
      <c r="F41" s="149">
        <f t="shared" si="8"/>
        <v>0</v>
      </c>
      <c r="G41" s="144">
        <f>SUM(G36:G39)</f>
        <v>25843.855456000485</v>
      </c>
      <c r="H41" s="144">
        <f t="shared" si="8"/>
        <v>7996.3145287657399</v>
      </c>
      <c r="I41" s="144">
        <f t="shared" si="8"/>
        <v>13752.854786551477</v>
      </c>
      <c r="J41" s="144">
        <f t="shared" si="8"/>
        <v>45371.383460976402</v>
      </c>
      <c r="K41" s="144">
        <f t="shared" si="8"/>
        <v>5945.8935365355474</v>
      </c>
      <c r="L41" s="144">
        <f t="shared" si="8"/>
        <v>37.321885250698493</v>
      </c>
      <c r="M41" s="145">
        <f t="shared" si="8"/>
        <v>0</v>
      </c>
    </row>
    <row r="42" spans="1:13" x14ac:dyDescent="0.2">
      <c r="A42" s="88"/>
      <c r="B42" s="88" t="s">
        <v>86</v>
      </c>
      <c r="C42" s="88"/>
      <c r="D42" s="88"/>
      <c r="E42" s="150"/>
      <c r="F42" s="150"/>
      <c r="G42" s="150"/>
      <c r="H42" s="146"/>
      <c r="I42" s="146"/>
      <c r="J42" s="146"/>
      <c r="K42" s="146"/>
      <c r="L42" s="146"/>
      <c r="M42" s="127"/>
    </row>
    <row r="43" spans="1:13" x14ac:dyDescent="0.2">
      <c r="A43" s="88"/>
      <c r="B43" s="88"/>
      <c r="C43" s="88"/>
      <c r="D43" s="88"/>
      <c r="E43" s="151"/>
      <c r="F43" s="151"/>
      <c r="G43" s="151"/>
      <c r="H43" s="152"/>
      <c r="I43" s="152"/>
      <c r="J43" s="152"/>
      <c r="K43" s="152"/>
      <c r="L43" s="152"/>
      <c r="M43" s="152"/>
    </row>
    <row r="44" spans="1:13" x14ac:dyDescent="0.2">
      <c r="A44" s="82" t="str">
        <f>"Reallocated REC Revenues for Jan - Dec "&amp;YEAR(A3)-1</f>
        <v>Reallocated REC Revenues for Jan - Dec 2022</v>
      </c>
      <c r="D44" s="109" t="s">
        <v>96</v>
      </c>
      <c r="E44" s="153">
        <f>E31+E24+E38</f>
        <v>3044593.82126603</v>
      </c>
      <c r="F44" s="154">
        <f t="shared" ref="F44:M44" si="9">F31+F24+F38</f>
        <v>43429.175816413386</v>
      </c>
      <c r="G44" s="154">
        <f t="shared" si="9"/>
        <v>783865.87198711769</v>
      </c>
      <c r="H44" s="154">
        <f t="shared" si="9"/>
        <v>242534.94496769781</v>
      </c>
      <c r="I44" s="154">
        <f t="shared" si="9"/>
        <v>417135.65253164899</v>
      </c>
      <c r="J44" s="154">
        <f t="shared" si="9"/>
        <v>1376152.2200296384</v>
      </c>
      <c r="K44" s="154">
        <f t="shared" si="9"/>
        <v>180343.95176424235</v>
      </c>
      <c r="L44" s="154">
        <f t="shared" si="9"/>
        <v>1132.0041692714756</v>
      </c>
      <c r="M44" s="155">
        <f t="shared" si="9"/>
        <v>0</v>
      </c>
    </row>
    <row r="45" spans="1:13" x14ac:dyDescent="0.2">
      <c r="D45" s="109" t="s">
        <v>98</v>
      </c>
      <c r="E45" s="156">
        <f t="shared" ref="E45:M45" si="10">E32+E25+E39</f>
        <v>-3044593.82126603</v>
      </c>
      <c r="F45" s="157">
        <f t="shared" si="10"/>
        <v>-126033.5395578224</v>
      </c>
      <c r="G45" s="157">
        <f t="shared" si="10"/>
        <v>-2248972.2912454968</v>
      </c>
      <c r="H45" s="157">
        <f t="shared" si="10"/>
        <v>-669587.99046271108</v>
      </c>
      <c r="I45" s="157">
        <f t="shared" si="10"/>
        <v>0</v>
      </c>
      <c r="J45" s="157">
        <f t="shared" si="10"/>
        <v>0</v>
      </c>
      <c r="K45" s="157">
        <f t="shared" si="10"/>
        <v>0</v>
      </c>
      <c r="L45" s="157">
        <f t="shared" si="10"/>
        <v>0</v>
      </c>
      <c r="M45" s="158">
        <f t="shared" si="10"/>
        <v>0</v>
      </c>
    </row>
    <row r="46" spans="1:13" x14ac:dyDescent="0.2">
      <c r="D46" s="109"/>
      <c r="E46" s="154"/>
      <c r="F46" s="154"/>
      <c r="G46" s="154"/>
      <c r="H46" s="154"/>
      <c r="I46" s="154"/>
      <c r="J46" s="154"/>
      <c r="K46" s="154"/>
      <c r="L46" s="154"/>
      <c r="M46" s="154"/>
    </row>
    <row r="47" spans="1:13" x14ac:dyDescent="0.2">
      <c r="A47" s="82" t="str">
        <f>"Actual Jan - Dec "&amp;YEAR(A3)-1&amp;" REC Rev - Not Eligibile for RPS Compliance"</f>
        <v>Actual Jan - Dec 2022 REC Rev - Not Eligibile for RPS Compliance</v>
      </c>
      <c r="D47" s="109" t="s">
        <v>96</v>
      </c>
      <c r="E47" s="159">
        <f>D14</f>
        <v>58431.991167863176</v>
      </c>
      <c r="F47" s="160">
        <f>$E$47*F20</f>
        <v>833.49483271204122</v>
      </c>
      <c r="G47" s="160">
        <f t="shared" ref="G47:M47" si="11">$E$47*G20</f>
        <v>15043.991546200565</v>
      </c>
      <c r="H47" s="160">
        <f t="shared" si="11"/>
        <v>4654.7423381282624</v>
      </c>
      <c r="I47" s="160">
        <f t="shared" si="11"/>
        <v>8005.6875220204956</v>
      </c>
      <c r="J47" s="160">
        <f t="shared" si="11"/>
        <v>26411.179647264013</v>
      </c>
      <c r="K47" s="160">
        <f t="shared" si="11"/>
        <v>3461.1698030326452</v>
      </c>
      <c r="L47" s="160">
        <f t="shared" si="11"/>
        <v>21.725478505159039</v>
      </c>
      <c r="M47" s="161">
        <f t="shared" si="11"/>
        <v>0</v>
      </c>
    </row>
    <row r="48" spans="1:13" ht="13.5" thickBot="1" x14ac:dyDescent="0.25">
      <c r="D48" s="109"/>
      <c r="E48" s="154"/>
      <c r="F48" s="154"/>
      <c r="G48" s="154"/>
      <c r="H48" s="154"/>
      <c r="I48" s="154"/>
      <c r="J48" s="154"/>
      <c r="K48" s="154"/>
      <c r="L48" s="154"/>
      <c r="M48" s="154"/>
    </row>
    <row r="49" spans="1:13" ht="13.5" thickBot="1" x14ac:dyDescent="0.25">
      <c r="A49" s="162" t="str">
        <f>"Actual Jan - Dec "&amp;YEAR(A3)-1&amp;" REC Revenues - Total Reallocated"</f>
        <v>Actual Jan - Dec 2022 REC Revenues - Total Reallocated</v>
      </c>
      <c r="B49" s="163"/>
      <c r="C49" s="163"/>
      <c r="D49" s="163"/>
      <c r="E49" s="164">
        <f>E34+E27+E41+E47</f>
        <v>5849394.6499999994</v>
      </c>
      <c r="F49" s="165">
        <f t="shared" ref="F49:M49" si="12">F34+F27+F41+F47</f>
        <v>833.49483271204122</v>
      </c>
      <c r="G49" s="165">
        <f t="shared" si="12"/>
        <v>40887.847002201052</v>
      </c>
      <c r="H49" s="165">
        <f t="shared" si="12"/>
        <v>38914.729786803116</v>
      </c>
      <c r="I49" s="165">
        <f t="shared" si="12"/>
        <v>1218553.2463006158</v>
      </c>
      <c r="J49" s="165">
        <f t="shared" si="12"/>
        <v>4020070.5572480028</v>
      </c>
      <c r="K49" s="165">
        <f t="shared" si="12"/>
        <v>526827.91926141025</v>
      </c>
      <c r="L49" s="165">
        <f t="shared" si="12"/>
        <v>3306.8555682540946</v>
      </c>
      <c r="M49" s="166">
        <f t="shared" si="12"/>
        <v>0</v>
      </c>
    </row>
    <row r="50" spans="1:13" x14ac:dyDescent="0.2">
      <c r="E50" s="167" t="s">
        <v>99</v>
      </c>
      <c r="F50" s="168"/>
      <c r="G50" s="168"/>
      <c r="H50" s="168"/>
      <c r="I50" s="17"/>
      <c r="J50" s="167" t="s">
        <v>100</v>
      </c>
      <c r="K50" s="169"/>
    </row>
    <row r="51" spans="1:13" x14ac:dyDescent="0.2">
      <c r="H51" s="170"/>
      <c r="I51" s="171"/>
    </row>
    <row r="52" spans="1:13" x14ac:dyDescent="0.2">
      <c r="A52" s="14"/>
      <c r="B52" s="14"/>
      <c r="C52" s="14"/>
      <c r="D52" s="14"/>
      <c r="E52" s="172"/>
      <c r="F52" s="173" t="s">
        <v>17</v>
      </c>
      <c r="J52" s="174"/>
    </row>
    <row r="53" spans="1:13" x14ac:dyDescent="0.2">
      <c r="A53" s="94" t="str">
        <f>"Utah % of Actual CY "&amp;YEAR(A3)-1&amp;" REC sales(2)"</f>
        <v>Utah % of Actual CY 2022 REC sales(2)</v>
      </c>
      <c r="B53" s="14"/>
      <c r="C53" s="14"/>
      <c r="D53" s="14"/>
      <c r="E53" s="175">
        <f>J49/E49</f>
        <v>0.6872626652482754</v>
      </c>
      <c r="F53" s="176" t="s">
        <v>101</v>
      </c>
      <c r="J53" s="174"/>
      <c r="K53" s="154"/>
      <c r="L53" s="154"/>
      <c r="M53" s="154"/>
    </row>
    <row r="54" spans="1:13" x14ac:dyDescent="0.2">
      <c r="A54" s="3" t="str">
        <f>"Utah allocated CY "&amp;YEAR(A3)-1&amp;" REC revenue(2)"</f>
        <v>Utah allocated CY 2022 REC revenue(2)</v>
      </c>
      <c r="B54" s="14"/>
      <c r="C54" s="14"/>
      <c r="D54" s="14"/>
      <c r="E54" s="177">
        <f>E53*E49</f>
        <v>4020070.5572480028</v>
      </c>
      <c r="F54" s="176" t="s">
        <v>102</v>
      </c>
    </row>
    <row r="55" spans="1:13" x14ac:dyDescent="0.2">
      <c r="A55" s="3"/>
      <c r="B55" s="14"/>
      <c r="C55" s="14"/>
      <c r="D55" s="14"/>
      <c r="E55" s="177"/>
      <c r="F55" s="176"/>
    </row>
    <row r="56" spans="1:13" x14ac:dyDescent="0.2">
      <c r="A56" s="3"/>
      <c r="B56" s="14"/>
      <c r="C56" s="14"/>
      <c r="D56" s="14"/>
    </row>
    <row r="57" spans="1:13" x14ac:dyDescent="0.2">
      <c r="A57" s="178"/>
      <c r="B57" s="14"/>
      <c r="C57" s="14"/>
      <c r="D57" s="179" t="s">
        <v>103</v>
      </c>
      <c r="E57" s="179" t="s">
        <v>37</v>
      </c>
    </row>
    <row r="58" spans="1:13" x14ac:dyDescent="0.2">
      <c r="A58" s="3" t="s">
        <v>104</v>
      </c>
      <c r="B58" s="14"/>
      <c r="C58" s="14"/>
      <c r="D58" s="14"/>
      <c r="E58" s="154">
        <v>833667.74</v>
      </c>
    </row>
    <row r="59" spans="1:13" x14ac:dyDescent="0.2">
      <c r="A59" s="3" t="s">
        <v>105</v>
      </c>
      <c r="B59" s="14"/>
      <c r="C59" s="14"/>
      <c r="D59" s="180">
        <f>'Page 2.2'!H43</f>
        <v>0.45199862471552765</v>
      </c>
      <c r="E59" s="181">
        <f>E58*D59</f>
        <v>376816.67194970208</v>
      </c>
    </row>
    <row r="60" spans="1:13" x14ac:dyDescent="0.2">
      <c r="A60" s="3"/>
      <c r="B60" s="14"/>
      <c r="C60" s="14"/>
      <c r="D60" s="14"/>
    </row>
    <row r="109" spans="2:2" x14ac:dyDescent="0.2">
      <c r="B109" s="83">
        <f>EDATE(B106,1)</f>
        <v>31</v>
      </c>
    </row>
    <row r="110" spans="2:2" x14ac:dyDescent="0.2">
      <c r="B110" s="83">
        <f>EDATE(B109,1)</f>
        <v>59</v>
      </c>
    </row>
    <row r="111" spans="2:2" x14ac:dyDescent="0.2">
      <c r="B111" s="83">
        <f t="shared" ref="B111:B120" si="13">EDATE(B110,1)</f>
        <v>88</v>
      </c>
    </row>
    <row r="112" spans="2:2" x14ac:dyDescent="0.2">
      <c r="B112" s="83">
        <f t="shared" si="13"/>
        <v>119</v>
      </c>
    </row>
    <row r="113" spans="2:2" x14ac:dyDescent="0.2">
      <c r="B113" s="83">
        <f t="shared" si="13"/>
        <v>149</v>
      </c>
    </row>
    <row r="114" spans="2:2" x14ac:dyDescent="0.2">
      <c r="B114" s="83">
        <f t="shared" si="13"/>
        <v>180</v>
      </c>
    </row>
    <row r="115" spans="2:2" x14ac:dyDescent="0.2">
      <c r="B115" s="83">
        <f t="shared" si="13"/>
        <v>210</v>
      </c>
    </row>
    <row r="116" spans="2:2" x14ac:dyDescent="0.2">
      <c r="B116" s="83">
        <f t="shared" si="13"/>
        <v>241</v>
      </c>
    </row>
    <row r="117" spans="2:2" x14ac:dyDescent="0.2">
      <c r="B117" s="83">
        <f t="shared" si="13"/>
        <v>272</v>
      </c>
    </row>
    <row r="118" spans="2:2" x14ac:dyDescent="0.2">
      <c r="B118" s="83">
        <f t="shared" si="13"/>
        <v>302</v>
      </c>
    </row>
    <row r="119" spans="2:2" x14ac:dyDescent="0.2">
      <c r="B119" s="83">
        <f t="shared" si="13"/>
        <v>333</v>
      </c>
    </row>
    <row r="120" spans="2:2" x14ac:dyDescent="0.2">
      <c r="B120" s="83">
        <f t="shared" si="13"/>
        <v>363</v>
      </c>
    </row>
  </sheetData>
  <pageMargins left="0.5" right="0.5" top="1" bottom="0.75" header="0.3" footer="0.3"/>
  <pageSetup scale="58" orientation="landscape" r:id="rId1"/>
  <headerFooter>
    <oddFooter>&amp;C&amp;"Arial,Regular"&amp;10Page 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0"/>
  <sheetViews>
    <sheetView view="pageBreakPreview" zoomScale="60" zoomScaleNormal="100" workbookViewId="0">
      <selection activeCell="A4" sqref="A4"/>
    </sheetView>
  </sheetViews>
  <sheetFormatPr defaultColWidth="9.140625" defaultRowHeight="12.75" x14ac:dyDescent="0.2"/>
  <cols>
    <col min="1" max="1" width="28.42578125" style="33" customWidth="1"/>
    <col min="2" max="2" width="11.42578125" style="33" customWidth="1"/>
    <col min="3" max="3" width="9.42578125" style="33" bestFit="1" customWidth="1"/>
    <col min="4" max="4" width="10.42578125" style="33" bestFit="1" customWidth="1"/>
    <col min="5" max="5" width="10.5703125" style="33" bestFit="1" customWidth="1"/>
    <col min="6" max="6" width="12.7109375" style="33" bestFit="1" customWidth="1"/>
    <col min="7" max="7" width="12.42578125" style="33" bestFit="1" customWidth="1"/>
    <col min="8" max="8" width="13.28515625" style="33" bestFit="1" customWidth="1"/>
    <col min="9" max="9" width="11.85546875" style="33" bestFit="1" customWidth="1"/>
    <col min="10" max="10" width="12.42578125" style="33" bestFit="1" customWidth="1"/>
    <col min="11" max="11" width="9.7109375" style="33" bestFit="1" customWidth="1"/>
    <col min="12" max="12" width="12.42578125" style="33" bestFit="1" customWidth="1"/>
    <col min="13" max="13" width="9.140625" style="33"/>
    <col min="14" max="14" width="12.140625" style="33" bestFit="1" customWidth="1"/>
    <col min="15" max="15" width="12.7109375" style="33" bestFit="1" customWidth="1"/>
    <col min="16" max="17" width="11.5703125" style="33" bestFit="1" customWidth="1"/>
    <col min="18" max="18" width="13.42578125" style="33" bestFit="1" customWidth="1"/>
    <col min="19" max="19" width="11.85546875" style="33" bestFit="1" customWidth="1"/>
    <col min="20" max="20" width="11.5703125" style="33" bestFit="1" customWidth="1"/>
    <col min="21" max="21" width="9.42578125" style="33" bestFit="1" customWidth="1"/>
    <col min="22" max="22" width="14.85546875" style="33" bestFit="1" customWidth="1"/>
    <col min="23" max="23" width="9.28515625" style="33" bestFit="1" customWidth="1"/>
    <col min="24" max="16384" width="9.140625" style="33"/>
  </cols>
  <sheetData>
    <row r="1" spans="1:35" ht="15.75" x14ac:dyDescent="0.25">
      <c r="A1" s="32" t="str">
        <f>'RMP_(SEM-2)'!A1</f>
        <v>Rocky Mountain Power</v>
      </c>
      <c r="H1" s="182"/>
      <c r="I1" s="183"/>
    </row>
    <row r="2" spans="1:35" x14ac:dyDescent="0.2">
      <c r="A2" s="32" t="str">
        <f>'RMP_(SEM-2)'!A2</f>
        <v>Utah REC Balancing Account</v>
      </c>
    </row>
    <row r="3" spans="1:35" ht="15.75" x14ac:dyDescent="0.25">
      <c r="A3" s="184">
        <v>45000</v>
      </c>
      <c r="H3" s="182"/>
      <c r="I3" s="183"/>
    </row>
    <row r="4" spans="1:35" x14ac:dyDescent="0.2">
      <c r="C4" s="32"/>
    </row>
    <row r="5" spans="1:35" x14ac:dyDescent="0.2">
      <c r="A5" s="86" t="str">
        <f>"Calculation of Utah CY "&amp;YEAR(A3)-1&amp;" Actual Allocation Factors"</f>
        <v>Calculation of Utah CY 2022 Actual Allocation Factors</v>
      </c>
      <c r="C5" s="32"/>
    </row>
    <row r="7" spans="1:35" x14ac:dyDescent="0.2">
      <c r="A7" s="33" t="s">
        <v>106</v>
      </c>
      <c r="H7" s="185"/>
      <c r="N7" s="46"/>
      <c r="O7" s="46"/>
      <c r="P7" s="46"/>
      <c r="Q7" s="46"/>
      <c r="R7" s="46"/>
      <c r="S7" s="46"/>
      <c r="T7" s="46"/>
      <c r="U7" s="46"/>
      <c r="V7" s="46"/>
      <c r="W7" s="46"/>
      <c r="Z7" s="46"/>
      <c r="AA7" s="46"/>
      <c r="AB7" s="46"/>
      <c r="AC7" s="46"/>
      <c r="AD7" s="46"/>
      <c r="AE7" s="46"/>
      <c r="AF7" s="46"/>
      <c r="AG7" s="46"/>
      <c r="AH7" s="46"/>
    </row>
    <row r="8" spans="1:35" x14ac:dyDescent="0.2">
      <c r="A8" s="186" t="s">
        <v>107</v>
      </c>
      <c r="B8" s="186" t="s">
        <v>108</v>
      </c>
      <c r="C8" s="186" t="s">
        <v>109</v>
      </c>
      <c r="D8" s="186" t="s">
        <v>110</v>
      </c>
      <c r="E8" s="186" t="s">
        <v>111</v>
      </c>
      <c r="F8" s="186" t="s">
        <v>112</v>
      </c>
      <c r="G8" s="186" t="s">
        <v>113</v>
      </c>
      <c r="H8" s="186" t="s">
        <v>114</v>
      </c>
      <c r="I8" s="186" t="s">
        <v>115</v>
      </c>
      <c r="J8" s="186" t="s">
        <v>116</v>
      </c>
      <c r="K8" s="186" t="s">
        <v>94</v>
      </c>
      <c r="L8" s="186" t="s">
        <v>37</v>
      </c>
      <c r="N8" s="187"/>
      <c r="O8" s="187"/>
      <c r="P8" s="187"/>
      <c r="Q8" s="187"/>
      <c r="R8" s="187"/>
      <c r="S8" s="187"/>
      <c r="T8" s="187"/>
      <c r="U8" s="187"/>
      <c r="V8" s="46"/>
      <c r="W8" s="46"/>
      <c r="X8" s="46"/>
      <c r="Z8" s="46"/>
      <c r="AA8" s="46"/>
      <c r="AB8" s="46"/>
      <c r="AC8" s="46"/>
      <c r="AD8" s="46"/>
      <c r="AE8" s="46"/>
      <c r="AF8" s="46"/>
      <c r="AG8" s="46"/>
      <c r="AH8" s="46"/>
      <c r="AI8" s="46"/>
    </row>
    <row r="9" spans="1:35" x14ac:dyDescent="0.2">
      <c r="A9" s="33">
        <f>YEAR($A$3)-1</f>
        <v>2022</v>
      </c>
      <c r="B9" s="33">
        <v>1</v>
      </c>
      <c r="C9" s="33">
        <v>3</v>
      </c>
      <c r="D9" s="33">
        <v>18</v>
      </c>
      <c r="E9" s="183">
        <v>133.71170499999999</v>
      </c>
      <c r="F9" s="183">
        <v>2327.775936</v>
      </c>
      <c r="G9" s="183">
        <v>768.98643200000004</v>
      </c>
      <c r="H9" s="183">
        <v>3563.8284390000003</v>
      </c>
      <c r="I9" s="183">
        <v>458.86244099999999</v>
      </c>
      <c r="J9" s="183">
        <v>1197.3003919999999</v>
      </c>
      <c r="K9" s="188">
        <v>3.5748390000000003</v>
      </c>
      <c r="L9" s="183">
        <f t="shared" ref="L9:L20" si="0">SUM(E9:K9)</f>
        <v>8454.0401840000013</v>
      </c>
      <c r="M9" s="189"/>
      <c r="N9" s="190"/>
      <c r="O9" s="191"/>
      <c r="P9" s="191"/>
      <c r="Q9" s="191"/>
      <c r="R9" s="191"/>
      <c r="S9" s="191"/>
      <c r="T9" s="191"/>
      <c r="U9" s="191"/>
      <c r="V9" s="191"/>
      <c r="W9" s="191"/>
      <c r="X9" s="188"/>
      <c r="Z9" s="192"/>
      <c r="AA9" s="193"/>
      <c r="AB9" s="193"/>
      <c r="AD9" s="193"/>
      <c r="AE9" s="194"/>
      <c r="AF9" s="193"/>
      <c r="AG9" s="193"/>
      <c r="AH9" s="193"/>
      <c r="AI9" s="194"/>
    </row>
    <row r="10" spans="1:35" x14ac:dyDescent="0.2">
      <c r="A10" s="33">
        <f t="shared" ref="A10:A20" si="1">YEAR($A$3)-1</f>
        <v>2022</v>
      </c>
      <c r="B10" s="33">
        <v>2</v>
      </c>
      <c r="C10" s="33">
        <v>23</v>
      </c>
      <c r="D10" s="33">
        <v>8</v>
      </c>
      <c r="E10" s="183">
        <v>158.85396800000001</v>
      </c>
      <c r="F10" s="183">
        <v>2760.5997390000002</v>
      </c>
      <c r="G10" s="183">
        <v>840.99388399999998</v>
      </c>
      <c r="H10" s="183">
        <v>3375.1861640000002</v>
      </c>
      <c r="I10" s="183">
        <v>403.535775</v>
      </c>
      <c r="J10" s="183">
        <v>1233.0671070000001</v>
      </c>
      <c r="K10" s="188">
        <v>3.1228450000000003</v>
      </c>
      <c r="L10" s="183">
        <f t="shared" si="0"/>
        <v>8775.3594820000017</v>
      </c>
      <c r="M10" s="189"/>
      <c r="N10" s="190"/>
      <c r="O10" s="191"/>
      <c r="P10" s="191"/>
      <c r="Q10" s="191"/>
      <c r="R10" s="191"/>
      <c r="S10" s="191"/>
      <c r="T10" s="191"/>
      <c r="U10" s="191"/>
      <c r="V10" s="191"/>
      <c r="W10" s="191"/>
      <c r="X10" s="188"/>
      <c r="Z10" s="192"/>
      <c r="AA10" s="193"/>
      <c r="AB10" s="193"/>
      <c r="AD10" s="193"/>
      <c r="AE10" s="194"/>
      <c r="AF10" s="193"/>
      <c r="AG10" s="193"/>
      <c r="AH10" s="193"/>
      <c r="AI10" s="194"/>
    </row>
    <row r="11" spans="1:35" x14ac:dyDescent="0.2">
      <c r="A11" s="33">
        <f t="shared" si="1"/>
        <v>2022</v>
      </c>
      <c r="B11" s="33">
        <v>3</v>
      </c>
      <c r="C11" s="33">
        <v>10</v>
      </c>
      <c r="D11" s="33">
        <v>8</v>
      </c>
      <c r="E11" s="183">
        <v>132.768169</v>
      </c>
      <c r="F11" s="183">
        <v>2408.8262420000001</v>
      </c>
      <c r="G11" s="183">
        <v>733.66054999999994</v>
      </c>
      <c r="H11" s="183">
        <v>3261.7149439999998</v>
      </c>
      <c r="I11" s="183">
        <v>440.25614000000002</v>
      </c>
      <c r="J11" s="183">
        <v>1218.485034</v>
      </c>
      <c r="K11" s="188">
        <v>3.1513649999999997</v>
      </c>
      <c r="L11" s="183">
        <f t="shared" si="0"/>
        <v>8198.8624440000003</v>
      </c>
      <c r="M11" s="189"/>
      <c r="N11" s="190"/>
      <c r="O11" s="191"/>
      <c r="P11" s="191"/>
      <c r="Q11" s="191"/>
      <c r="R11" s="191"/>
      <c r="S11" s="191"/>
      <c r="T11" s="191"/>
      <c r="U11" s="191"/>
      <c r="V11" s="191"/>
      <c r="W11" s="191"/>
      <c r="X11" s="188"/>
      <c r="Z11" s="192"/>
      <c r="AA11" s="193"/>
      <c r="AB11" s="193"/>
      <c r="AD11" s="193"/>
      <c r="AE11" s="194"/>
      <c r="AF11" s="193"/>
      <c r="AG11" s="193"/>
      <c r="AH11" s="193"/>
      <c r="AI11" s="194"/>
    </row>
    <row r="12" spans="1:35" x14ac:dyDescent="0.2">
      <c r="A12" s="33">
        <f t="shared" si="1"/>
        <v>2022</v>
      </c>
      <c r="B12" s="33">
        <v>4</v>
      </c>
      <c r="C12" s="33">
        <v>13</v>
      </c>
      <c r="D12" s="33">
        <v>9</v>
      </c>
      <c r="E12" s="183">
        <v>118.073826</v>
      </c>
      <c r="F12" s="183">
        <v>2231.0599440000001</v>
      </c>
      <c r="G12" s="183">
        <v>623.85533899999996</v>
      </c>
      <c r="H12" s="183">
        <v>3268.9958999999999</v>
      </c>
      <c r="I12" s="183">
        <v>412.53605399999998</v>
      </c>
      <c r="J12" s="183">
        <v>1101.5462090000001</v>
      </c>
      <c r="K12" s="188">
        <v>3.4625200000000005</v>
      </c>
      <c r="L12" s="183">
        <f t="shared" si="0"/>
        <v>7759.5297920000003</v>
      </c>
      <c r="M12" s="189"/>
      <c r="N12" s="190"/>
      <c r="O12" s="191"/>
      <c r="P12" s="191"/>
      <c r="Q12" s="191"/>
      <c r="R12" s="191"/>
      <c r="S12" s="191"/>
      <c r="T12" s="191"/>
      <c r="U12" s="191"/>
      <c r="V12" s="191"/>
      <c r="W12" s="191"/>
      <c r="X12" s="188"/>
      <c r="Z12" s="192"/>
      <c r="AA12" s="193"/>
      <c r="AB12" s="193"/>
      <c r="AD12" s="193"/>
      <c r="AE12" s="194"/>
      <c r="AF12" s="193"/>
      <c r="AG12" s="193"/>
      <c r="AH12" s="193"/>
      <c r="AI12" s="194"/>
    </row>
    <row r="13" spans="1:35" x14ac:dyDescent="0.2">
      <c r="A13" s="33">
        <f t="shared" si="1"/>
        <v>2022</v>
      </c>
      <c r="B13" s="33">
        <v>5</v>
      </c>
      <c r="C13" s="33">
        <v>26</v>
      </c>
      <c r="D13" s="33">
        <v>17</v>
      </c>
      <c r="E13" s="183">
        <v>117.006203</v>
      </c>
      <c r="F13" s="183">
        <v>1722.911229</v>
      </c>
      <c r="G13" s="183">
        <v>519.19300599999997</v>
      </c>
      <c r="H13" s="183">
        <v>4054.8511450000001</v>
      </c>
      <c r="I13" s="183">
        <v>631.40743499999996</v>
      </c>
      <c r="J13" s="183">
        <v>1034.679482</v>
      </c>
      <c r="K13" s="188">
        <v>2.1446460000000003</v>
      </c>
      <c r="L13" s="183">
        <f t="shared" si="0"/>
        <v>8082.1931460000005</v>
      </c>
      <c r="M13" s="189"/>
      <c r="N13" s="190"/>
      <c r="O13" s="191"/>
      <c r="P13" s="191"/>
      <c r="Q13" s="191"/>
      <c r="R13" s="191"/>
      <c r="S13" s="191"/>
      <c r="T13" s="191"/>
      <c r="U13" s="191"/>
      <c r="V13" s="191"/>
      <c r="W13" s="191"/>
      <c r="X13" s="188"/>
      <c r="Z13" s="192"/>
      <c r="AA13" s="193"/>
      <c r="AB13" s="193"/>
      <c r="AD13" s="193"/>
      <c r="AE13" s="194"/>
      <c r="AF13" s="193"/>
      <c r="AG13" s="193"/>
      <c r="AH13" s="193"/>
      <c r="AI13" s="194"/>
    </row>
    <row r="14" spans="1:35" x14ac:dyDescent="0.2">
      <c r="A14" s="33">
        <f t="shared" si="1"/>
        <v>2022</v>
      </c>
      <c r="B14" s="33">
        <v>6</v>
      </c>
      <c r="C14" s="33">
        <v>27</v>
      </c>
      <c r="D14" s="33">
        <v>18</v>
      </c>
      <c r="E14" s="183">
        <v>129.53764000000001</v>
      </c>
      <c r="F14" s="183">
        <v>2442.3830659999999</v>
      </c>
      <c r="G14" s="183">
        <v>779.33973600000002</v>
      </c>
      <c r="H14" s="183">
        <v>4882.8040687499997</v>
      </c>
      <c r="I14" s="183">
        <v>744.69533100000001</v>
      </c>
      <c r="J14" s="183">
        <v>1135.655765</v>
      </c>
      <c r="K14" s="188">
        <v>4.0721160000000003</v>
      </c>
      <c r="L14" s="183">
        <f t="shared" si="0"/>
        <v>10118.487722749998</v>
      </c>
      <c r="M14" s="189"/>
      <c r="N14" s="190"/>
      <c r="O14" s="191"/>
      <c r="P14" s="191"/>
      <c r="Q14" s="191"/>
      <c r="R14" s="191"/>
      <c r="S14" s="191"/>
      <c r="T14" s="191"/>
      <c r="U14" s="191"/>
      <c r="V14" s="191"/>
      <c r="W14" s="191"/>
      <c r="X14" s="188"/>
      <c r="Z14" s="192"/>
      <c r="AA14" s="193"/>
      <c r="AB14" s="193"/>
      <c r="AD14" s="193"/>
      <c r="AE14" s="194"/>
      <c r="AF14" s="193"/>
      <c r="AG14" s="193"/>
      <c r="AH14" s="193"/>
      <c r="AI14" s="194"/>
    </row>
    <row r="15" spans="1:35" x14ac:dyDescent="0.2">
      <c r="A15" s="33">
        <f t="shared" si="1"/>
        <v>2022</v>
      </c>
      <c r="B15" s="33">
        <v>7</v>
      </c>
      <c r="C15" s="33">
        <v>27</v>
      </c>
      <c r="D15" s="33">
        <v>17</v>
      </c>
      <c r="E15" s="183">
        <v>142.16210899999999</v>
      </c>
      <c r="F15" s="183">
        <v>2726.1784290000001</v>
      </c>
      <c r="G15" s="183">
        <v>869.74170800000002</v>
      </c>
      <c r="H15" s="183">
        <v>5200.7277624999997</v>
      </c>
      <c r="I15" s="183">
        <v>729.99398799999994</v>
      </c>
      <c r="J15" s="183">
        <v>1266.4779409999999</v>
      </c>
      <c r="K15" s="188">
        <v>4.1296210000000002</v>
      </c>
      <c r="L15" s="183">
        <f t="shared" si="0"/>
        <v>10939.4115585</v>
      </c>
      <c r="M15" s="189"/>
      <c r="N15" s="190"/>
      <c r="O15" s="191"/>
      <c r="P15" s="191"/>
      <c r="Q15" s="191"/>
      <c r="R15" s="191"/>
      <c r="S15" s="191"/>
      <c r="T15" s="191"/>
      <c r="U15" s="191"/>
      <c r="V15" s="191"/>
      <c r="W15" s="191"/>
      <c r="X15" s="188"/>
      <c r="Z15" s="192"/>
      <c r="AA15" s="193"/>
      <c r="AB15" s="193"/>
      <c r="AD15" s="193"/>
      <c r="AE15" s="194"/>
      <c r="AF15" s="193"/>
      <c r="AG15" s="193"/>
      <c r="AH15" s="193"/>
      <c r="AI15" s="194"/>
    </row>
    <row r="16" spans="1:35" x14ac:dyDescent="0.2">
      <c r="A16" s="33">
        <f t="shared" si="1"/>
        <v>2022</v>
      </c>
      <c r="B16" s="33">
        <v>8</v>
      </c>
      <c r="C16" s="33">
        <v>31</v>
      </c>
      <c r="D16" s="33">
        <v>17</v>
      </c>
      <c r="E16" s="183">
        <v>136.18814499999999</v>
      </c>
      <c r="F16" s="183">
        <v>2520.6678670000001</v>
      </c>
      <c r="G16" s="183">
        <v>764.70114000000001</v>
      </c>
      <c r="H16" s="183">
        <v>5283.8119809999998</v>
      </c>
      <c r="I16" s="183">
        <v>599.61021800000003</v>
      </c>
      <c r="J16" s="183">
        <v>1217.3699059999999</v>
      </c>
      <c r="K16" s="188">
        <v>2.9649130000000001</v>
      </c>
      <c r="L16" s="183">
        <f t="shared" si="0"/>
        <v>10525.31417</v>
      </c>
      <c r="M16" s="189"/>
      <c r="N16" s="190"/>
      <c r="O16" s="191"/>
      <c r="P16" s="191"/>
      <c r="Q16" s="191"/>
      <c r="R16" s="191"/>
      <c r="S16" s="191"/>
      <c r="T16" s="191"/>
      <c r="U16" s="191"/>
      <c r="V16" s="191"/>
      <c r="W16" s="191"/>
      <c r="X16" s="188"/>
      <c r="Z16" s="192"/>
      <c r="AA16" s="193"/>
      <c r="AB16" s="193"/>
      <c r="AD16" s="193"/>
      <c r="AE16" s="194"/>
      <c r="AF16" s="193"/>
      <c r="AG16" s="193"/>
      <c r="AH16" s="193"/>
      <c r="AI16" s="194"/>
    </row>
    <row r="17" spans="1:35" x14ac:dyDescent="0.2">
      <c r="A17" s="33">
        <f t="shared" si="1"/>
        <v>2022</v>
      </c>
      <c r="B17" s="33">
        <v>9</v>
      </c>
      <c r="C17" s="33">
        <v>6</v>
      </c>
      <c r="D17" s="33">
        <v>17</v>
      </c>
      <c r="E17" s="183">
        <v>132.28955999999999</v>
      </c>
      <c r="F17" s="183">
        <v>2401.4165539999999</v>
      </c>
      <c r="G17" s="183">
        <v>644.37203199999999</v>
      </c>
      <c r="H17" s="183">
        <v>5497.3746224999995</v>
      </c>
      <c r="I17" s="183">
        <v>587.54722300000003</v>
      </c>
      <c r="J17" s="183">
        <v>1269.4564340000002</v>
      </c>
      <c r="K17" s="188">
        <v>3.335353</v>
      </c>
      <c r="L17" s="183">
        <f t="shared" si="0"/>
        <v>10535.791778499999</v>
      </c>
      <c r="M17" s="189"/>
      <c r="N17" s="190"/>
      <c r="O17" s="191"/>
      <c r="P17" s="191"/>
      <c r="Q17" s="191"/>
      <c r="R17" s="191"/>
      <c r="S17" s="191"/>
      <c r="T17" s="191"/>
      <c r="U17" s="191"/>
      <c r="V17" s="191"/>
      <c r="W17" s="191"/>
      <c r="X17" s="188"/>
      <c r="Z17" s="192"/>
      <c r="AA17" s="193"/>
      <c r="AB17" s="193"/>
      <c r="AD17" s="193"/>
      <c r="AE17" s="194"/>
      <c r="AF17" s="193"/>
      <c r="AG17" s="193"/>
      <c r="AH17" s="193"/>
      <c r="AI17" s="194"/>
    </row>
    <row r="18" spans="1:35" x14ac:dyDescent="0.2">
      <c r="A18" s="33">
        <f t="shared" si="1"/>
        <v>2022</v>
      </c>
      <c r="B18" s="33">
        <v>10</v>
      </c>
      <c r="C18" s="33">
        <v>6</v>
      </c>
      <c r="D18" s="33">
        <v>17</v>
      </c>
      <c r="E18" s="183">
        <v>90.466047000000003</v>
      </c>
      <c r="F18" s="183">
        <v>1832.66372</v>
      </c>
      <c r="G18" s="183">
        <v>595.48661200000004</v>
      </c>
      <c r="H18" s="183">
        <v>3436.900517</v>
      </c>
      <c r="I18" s="183">
        <v>418.31482799999998</v>
      </c>
      <c r="J18" s="183">
        <v>1061.3570560000001</v>
      </c>
      <c r="K18" s="188">
        <v>2.842835</v>
      </c>
      <c r="L18" s="183">
        <f t="shared" si="0"/>
        <v>7438.0316149999999</v>
      </c>
      <c r="M18" s="189"/>
      <c r="N18" s="190"/>
      <c r="O18" s="191"/>
      <c r="P18" s="191"/>
      <c r="Q18" s="191"/>
      <c r="R18" s="191"/>
      <c r="S18" s="191"/>
      <c r="T18" s="191"/>
      <c r="U18" s="191"/>
      <c r="V18" s="191"/>
      <c r="W18" s="191"/>
      <c r="X18" s="188"/>
      <c r="Z18" s="192"/>
      <c r="AA18" s="193"/>
      <c r="AB18" s="193"/>
      <c r="AD18" s="193"/>
      <c r="AE18" s="194"/>
      <c r="AF18" s="193"/>
      <c r="AG18" s="193"/>
      <c r="AH18" s="193"/>
      <c r="AI18" s="194"/>
    </row>
    <row r="19" spans="1:35" x14ac:dyDescent="0.2">
      <c r="A19" s="33">
        <f t="shared" si="1"/>
        <v>2022</v>
      </c>
      <c r="B19" s="33">
        <v>11</v>
      </c>
      <c r="C19" s="33">
        <v>29</v>
      </c>
      <c r="D19" s="33">
        <v>18</v>
      </c>
      <c r="E19" s="183">
        <v>127.147451</v>
      </c>
      <c r="F19" s="183">
        <v>2325.3350700000001</v>
      </c>
      <c r="G19" s="183">
        <v>743.49196099999995</v>
      </c>
      <c r="H19" s="183">
        <v>3653.9304519999996</v>
      </c>
      <c r="I19" s="183">
        <v>446.03784000000002</v>
      </c>
      <c r="J19" s="183">
        <v>1147.915577</v>
      </c>
      <c r="K19" s="188">
        <v>3.3831139999999995</v>
      </c>
      <c r="L19" s="183">
        <f t="shared" si="0"/>
        <v>8447.2414649999992</v>
      </c>
      <c r="M19" s="189"/>
      <c r="N19" s="190"/>
      <c r="O19" s="191"/>
      <c r="P19" s="191"/>
      <c r="Q19" s="191"/>
      <c r="R19" s="191"/>
      <c r="S19" s="191"/>
      <c r="T19" s="191"/>
      <c r="U19" s="191"/>
      <c r="V19" s="191"/>
      <c r="W19" s="191"/>
      <c r="X19" s="188"/>
      <c r="Z19" s="192"/>
      <c r="AA19" s="193"/>
      <c r="AB19" s="193"/>
      <c r="AD19" s="193"/>
      <c r="AE19" s="194"/>
      <c r="AF19" s="193"/>
      <c r="AG19" s="193"/>
      <c r="AH19" s="193"/>
      <c r="AI19" s="194"/>
    </row>
    <row r="20" spans="1:35" x14ac:dyDescent="0.2">
      <c r="A20" s="33">
        <f t="shared" si="1"/>
        <v>2022</v>
      </c>
      <c r="B20" s="33">
        <v>12</v>
      </c>
      <c r="C20" s="33">
        <v>22</v>
      </c>
      <c r="D20" s="33">
        <v>17</v>
      </c>
      <c r="E20" s="183">
        <v>123.441102</v>
      </c>
      <c r="F20" s="183">
        <v>2549.9210280000002</v>
      </c>
      <c r="G20" s="183">
        <v>881.87916800000005</v>
      </c>
      <c r="H20" s="183">
        <v>3739.7871630000004</v>
      </c>
      <c r="I20" s="183">
        <v>412.97504400000003</v>
      </c>
      <c r="J20" s="183">
        <v>1314.321434</v>
      </c>
      <c r="K20" s="188">
        <v>3.2463430000000004</v>
      </c>
      <c r="L20" s="183">
        <f t="shared" si="0"/>
        <v>9025.5712820000008</v>
      </c>
      <c r="M20" s="189"/>
      <c r="N20" s="190"/>
      <c r="O20" s="191"/>
      <c r="P20" s="191"/>
      <c r="Q20" s="191"/>
      <c r="R20" s="191"/>
      <c r="S20" s="191"/>
      <c r="T20" s="191"/>
      <c r="U20" s="191"/>
      <c r="V20" s="191"/>
      <c r="W20" s="191"/>
      <c r="X20" s="188"/>
      <c r="Z20" s="192"/>
      <c r="AA20" s="193"/>
      <c r="AB20" s="193"/>
      <c r="AD20" s="193"/>
      <c r="AE20" s="194"/>
      <c r="AF20" s="193"/>
      <c r="AG20" s="193"/>
      <c r="AH20" s="193"/>
      <c r="AI20" s="194"/>
    </row>
    <row r="21" spans="1:35" ht="13.5" thickBot="1" x14ac:dyDescent="0.25">
      <c r="B21" s="33" t="s">
        <v>117</v>
      </c>
      <c r="E21" s="195">
        <f>SUM(E9:E20)</f>
        <v>1541.6459250000003</v>
      </c>
      <c r="F21" s="195">
        <f>SUM(F9:F20)</f>
        <v>28249.738824000004</v>
      </c>
      <c r="G21" s="195">
        <f>SUM(G9:G20)</f>
        <v>8765.7015680000004</v>
      </c>
      <c r="H21" s="195">
        <f t="shared" ref="H21:K21" si="2">SUM(H9:H20)</f>
        <v>49219.913158750001</v>
      </c>
      <c r="I21" s="195">
        <f>SUM(I9:I20)</f>
        <v>6285.7723169999981</v>
      </c>
      <c r="J21" s="195">
        <f t="shared" si="2"/>
        <v>14197.632337000001</v>
      </c>
      <c r="K21" s="195">
        <f t="shared" si="2"/>
        <v>39.430510000000005</v>
      </c>
      <c r="L21" s="195">
        <f>SUM(L9:L20)</f>
        <v>108299.83463975</v>
      </c>
      <c r="M21" s="189"/>
      <c r="N21" s="196"/>
      <c r="O21" s="196"/>
      <c r="P21" s="196"/>
      <c r="Q21" s="196"/>
      <c r="R21" s="196"/>
      <c r="S21" s="196"/>
      <c r="T21" s="196"/>
      <c r="U21" s="196"/>
      <c r="V21" s="196"/>
      <c r="W21" s="189"/>
      <c r="Z21" s="192"/>
      <c r="AA21" s="193"/>
      <c r="AB21" s="193"/>
      <c r="AD21" s="193"/>
      <c r="AE21" s="194"/>
      <c r="AF21" s="193"/>
      <c r="AG21" s="193"/>
      <c r="AH21" s="193"/>
      <c r="AI21" s="194"/>
    </row>
    <row r="22" spans="1:35" ht="13.5" thickTop="1" x14ac:dyDescent="0.2">
      <c r="L22" s="192"/>
      <c r="M22" s="189"/>
      <c r="N22" s="197"/>
      <c r="O22" s="197"/>
      <c r="P22" s="197"/>
      <c r="Q22" s="197"/>
      <c r="R22" s="197"/>
      <c r="S22" s="197"/>
      <c r="T22" s="197"/>
      <c r="U22" s="197"/>
      <c r="V22" s="197"/>
      <c r="W22" s="189"/>
    </row>
    <row r="23" spans="1:35" x14ac:dyDescent="0.2">
      <c r="A23" s="33" t="s">
        <v>118</v>
      </c>
      <c r="E23" s="198">
        <f>E21/$L$21</f>
        <v>1.4234979491225925E-2</v>
      </c>
      <c r="F23" s="198">
        <f>F21/$L$21</f>
        <v>0.26084747883475823</v>
      </c>
      <c r="G23" s="198">
        <f>G21/$L$21</f>
        <v>8.0939196233847877E-2</v>
      </c>
      <c r="H23" s="198">
        <f t="shared" ref="H23:K23" si="3">H21/$L$21</f>
        <v>0.45447819308751275</v>
      </c>
      <c r="I23" s="198">
        <f>I21/$L$21</f>
        <v>5.8040460891829376E-2</v>
      </c>
      <c r="J23" s="198">
        <f t="shared" si="3"/>
        <v>0.13109560494000008</v>
      </c>
      <c r="K23" s="198">
        <f t="shared" si="3"/>
        <v>3.6408652082583668E-4</v>
      </c>
      <c r="L23" s="198">
        <f>SUM(E23:K23)</f>
        <v>1</v>
      </c>
      <c r="M23" s="189"/>
      <c r="N23" s="189"/>
      <c r="O23" s="189"/>
      <c r="P23" s="189"/>
      <c r="Q23" s="189"/>
      <c r="R23" s="189"/>
      <c r="S23" s="189"/>
      <c r="T23" s="189"/>
      <c r="U23" s="189"/>
      <c r="V23" s="189"/>
      <c r="W23" s="189"/>
      <c r="Z23" s="192"/>
      <c r="AA23" s="193"/>
      <c r="AB23" s="193"/>
      <c r="AE23" s="194"/>
    </row>
    <row r="24" spans="1:35" x14ac:dyDescent="0.2">
      <c r="E24" s="199"/>
      <c r="F24" s="199"/>
      <c r="G24" s="199"/>
      <c r="H24" s="199"/>
      <c r="I24" s="199"/>
      <c r="J24" s="199"/>
      <c r="K24" s="199"/>
      <c r="M24" s="189"/>
      <c r="N24" s="189"/>
      <c r="O24" s="191"/>
      <c r="P24" s="189"/>
      <c r="Q24" s="189"/>
      <c r="R24" s="189"/>
      <c r="S24" s="189"/>
      <c r="T24" s="189"/>
      <c r="U24" s="189"/>
      <c r="V24" s="189"/>
      <c r="W24" s="189"/>
    </row>
    <row r="25" spans="1:35" x14ac:dyDescent="0.2">
      <c r="M25" s="189"/>
      <c r="N25" s="189"/>
      <c r="O25" s="191"/>
      <c r="P25" s="189"/>
      <c r="Q25" s="189"/>
      <c r="R25" s="189"/>
      <c r="S25" s="189"/>
      <c r="T25" s="189"/>
      <c r="U25" s="189"/>
      <c r="V25" s="189"/>
      <c r="W25" s="189"/>
    </row>
    <row r="26" spans="1:35" x14ac:dyDescent="0.2">
      <c r="A26" s="33" t="s">
        <v>119</v>
      </c>
      <c r="F26" s="185"/>
      <c r="K26" s="200"/>
      <c r="L26" s="200"/>
      <c r="M26" s="189"/>
      <c r="N26" s="189"/>
      <c r="O26" s="191"/>
      <c r="P26" s="189"/>
      <c r="Q26" s="189"/>
      <c r="R26" s="189"/>
      <c r="S26" s="189"/>
      <c r="T26" s="189"/>
      <c r="U26" s="189"/>
      <c r="V26" s="189"/>
      <c r="W26" s="189"/>
    </row>
    <row r="27" spans="1:35" x14ac:dyDescent="0.2">
      <c r="A27" s="186" t="s">
        <v>107</v>
      </c>
      <c r="B27" s="186" t="s">
        <v>108</v>
      </c>
      <c r="E27" s="186" t="s">
        <v>111</v>
      </c>
      <c r="F27" s="186" t="s">
        <v>112</v>
      </c>
      <c r="G27" s="186" t="s">
        <v>113</v>
      </c>
      <c r="H27" s="186" t="s">
        <v>114</v>
      </c>
      <c r="I27" s="186" t="s">
        <v>115</v>
      </c>
      <c r="J27" s="186" t="s">
        <v>116</v>
      </c>
      <c r="K27" s="186" t="s">
        <v>94</v>
      </c>
      <c r="L27" s="186" t="s">
        <v>37</v>
      </c>
      <c r="M27" s="189"/>
      <c r="N27" s="201"/>
      <c r="O27" s="201"/>
      <c r="P27" s="201"/>
      <c r="Q27" s="201"/>
      <c r="R27" s="201"/>
      <c r="S27" s="201"/>
      <c r="T27" s="201"/>
      <c r="U27" s="201"/>
      <c r="V27" s="189"/>
      <c r="W27" s="189"/>
    </row>
    <row r="28" spans="1:35" x14ac:dyDescent="0.2">
      <c r="A28" s="33">
        <f t="shared" ref="A28:A39" si="4">YEAR($A$3)-1</f>
        <v>2022</v>
      </c>
      <c r="B28" s="33">
        <v>1</v>
      </c>
      <c r="E28" s="70">
        <v>79161.888324999993</v>
      </c>
      <c r="F28" s="70">
        <v>1419394.7650730012</v>
      </c>
      <c r="G28" s="70">
        <v>478255.80276800005</v>
      </c>
      <c r="H28" s="70">
        <v>2275936.4876839989</v>
      </c>
      <c r="I28" s="70">
        <v>309600.0566200001</v>
      </c>
      <c r="J28" s="70">
        <v>827591.73350199917</v>
      </c>
      <c r="K28" s="70">
        <v>2056.7588599999981</v>
      </c>
      <c r="L28" s="70">
        <f>SUM(E28:K28)</f>
        <v>5391997.4928319985</v>
      </c>
      <c r="M28" s="197"/>
      <c r="N28" s="197"/>
      <c r="O28" s="189"/>
      <c r="P28" s="189"/>
      <c r="Q28" s="189"/>
      <c r="R28" s="189"/>
      <c r="S28" s="189"/>
      <c r="T28" s="189"/>
      <c r="U28" s="189"/>
      <c r="V28" s="196"/>
      <c r="W28" s="189"/>
    </row>
    <row r="29" spans="1:35" x14ac:dyDescent="0.2">
      <c r="A29" s="33">
        <f t="shared" si="4"/>
        <v>2022</v>
      </c>
      <c r="B29" s="33">
        <v>2</v>
      </c>
      <c r="E29" s="70">
        <v>70155.901461000059</v>
      </c>
      <c r="F29" s="70">
        <v>1242625.483253001</v>
      </c>
      <c r="G29" s="70">
        <v>381092.95794000017</v>
      </c>
      <c r="H29" s="70">
        <v>2020140.763041001</v>
      </c>
      <c r="I29" s="70">
        <v>255102.1100740004</v>
      </c>
      <c r="J29" s="70">
        <v>768933.53782600036</v>
      </c>
      <c r="K29" s="70">
        <v>1752.041626000002</v>
      </c>
      <c r="L29" s="70">
        <f t="shared" ref="L29:L39" si="5">SUM(E29:K29)</f>
        <v>4739802.7952210028</v>
      </c>
      <c r="M29" s="189"/>
      <c r="N29" s="197"/>
      <c r="O29" s="189"/>
      <c r="P29" s="189"/>
      <c r="Q29" s="189"/>
      <c r="R29" s="189"/>
      <c r="S29" s="189"/>
      <c r="T29" s="189"/>
      <c r="U29" s="189"/>
      <c r="V29" s="196"/>
      <c r="W29" s="189"/>
    </row>
    <row r="30" spans="1:35" x14ac:dyDescent="0.2">
      <c r="A30" s="33">
        <f t="shared" si="4"/>
        <v>2022</v>
      </c>
      <c r="B30" s="33">
        <v>3</v>
      </c>
      <c r="E30" s="70">
        <v>69434.699011999954</v>
      </c>
      <c r="F30" s="70">
        <v>1232254.4052420014</v>
      </c>
      <c r="G30" s="70">
        <v>356953.22045999987</v>
      </c>
      <c r="H30" s="70">
        <v>2102085.5817319998</v>
      </c>
      <c r="I30" s="70">
        <v>273359.6983840001</v>
      </c>
      <c r="J30" s="70">
        <v>804406.14111199905</v>
      </c>
      <c r="K30" s="70">
        <v>2014.5019549999997</v>
      </c>
      <c r="L30" s="70">
        <f t="shared" si="5"/>
        <v>4840508.2478970001</v>
      </c>
      <c r="M30" s="189"/>
      <c r="N30" s="197"/>
      <c r="O30" s="189"/>
      <c r="P30" s="189"/>
      <c r="Q30" s="189"/>
      <c r="R30" s="189"/>
      <c r="S30" s="189"/>
      <c r="T30" s="189"/>
      <c r="U30" s="189"/>
      <c r="V30" s="196"/>
      <c r="W30" s="189"/>
    </row>
    <row r="31" spans="1:35" x14ac:dyDescent="0.2">
      <c r="A31" s="33">
        <f t="shared" si="4"/>
        <v>2022</v>
      </c>
      <c r="B31" s="33">
        <v>4</v>
      </c>
      <c r="E31" s="70">
        <v>68592.040957999983</v>
      </c>
      <c r="F31" s="70">
        <v>1187517.9508479997</v>
      </c>
      <c r="G31" s="70">
        <v>345088.48330200056</v>
      </c>
      <c r="H31" s="70">
        <v>1963427.2356750001</v>
      </c>
      <c r="I31" s="70">
        <v>267595.42513600021</v>
      </c>
      <c r="J31" s="70">
        <v>741839.87512599968</v>
      </c>
      <c r="K31" s="70">
        <v>1915.6634980000017</v>
      </c>
      <c r="L31" s="70">
        <f t="shared" si="5"/>
        <v>4575976.6745430008</v>
      </c>
      <c r="M31" s="189"/>
      <c r="N31" s="197"/>
      <c r="O31" s="189"/>
      <c r="P31" s="189"/>
      <c r="Q31" s="189"/>
      <c r="R31" s="189"/>
      <c r="S31" s="189"/>
      <c r="T31" s="189"/>
      <c r="U31" s="189"/>
      <c r="V31" s="196"/>
      <c r="W31" s="189"/>
    </row>
    <row r="32" spans="1:35" x14ac:dyDescent="0.2">
      <c r="A32" s="33">
        <f t="shared" si="4"/>
        <v>2022</v>
      </c>
      <c r="B32" s="33">
        <v>5</v>
      </c>
      <c r="E32" s="70">
        <v>74003.867932000037</v>
      </c>
      <c r="F32" s="70">
        <v>1127063.7327769999</v>
      </c>
      <c r="G32" s="70">
        <v>323839.83671000018</v>
      </c>
      <c r="H32" s="70">
        <v>2034823.5948309996</v>
      </c>
      <c r="I32" s="70">
        <v>342453.95919400023</v>
      </c>
      <c r="J32" s="70">
        <v>743747.73758799979</v>
      </c>
      <c r="K32" s="70">
        <v>1579.9688829999941</v>
      </c>
      <c r="L32" s="70">
        <f t="shared" si="5"/>
        <v>4647512.6979149999</v>
      </c>
      <c r="M32" s="189"/>
      <c r="N32" s="197"/>
      <c r="O32" s="189"/>
      <c r="P32" s="189"/>
      <c r="Q32" s="189"/>
      <c r="R32" s="189"/>
      <c r="S32" s="189"/>
      <c r="T32" s="189"/>
      <c r="U32" s="189"/>
      <c r="V32" s="196"/>
      <c r="W32" s="189"/>
    </row>
    <row r="33" spans="1:23" x14ac:dyDescent="0.2">
      <c r="A33" s="33">
        <f t="shared" si="4"/>
        <v>2022</v>
      </c>
      <c r="B33" s="33">
        <v>6</v>
      </c>
      <c r="E33" s="70">
        <v>68671.926591000039</v>
      </c>
      <c r="F33" s="70">
        <v>1098235.1642070008</v>
      </c>
      <c r="G33" s="70">
        <v>333477.51464899955</v>
      </c>
      <c r="H33" s="70">
        <v>2345694.1092984979</v>
      </c>
      <c r="I33" s="70">
        <v>415262.54593000002</v>
      </c>
      <c r="J33" s="70">
        <v>729880.82641299954</v>
      </c>
      <c r="K33" s="70">
        <v>1980.4206599999998</v>
      </c>
      <c r="L33" s="70">
        <f t="shared" si="5"/>
        <v>4993202.5077484977</v>
      </c>
      <c r="M33" s="189"/>
      <c r="N33" s="197"/>
      <c r="O33" s="189"/>
      <c r="P33" s="189"/>
      <c r="Q33" s="189"/>
      <c r="R33" s="189"/>
      <c r="S33" s="189"/>
      <c r="T33" s="189"/>
      <c r="U33" s="189"/>
      <c r="V33" s="196"/>
      <c r="W33" s="189"/>
    </row>
    <row r="34" spans="1:23" x14ac:dyDescent="0.2">
      <c r="A34" s="33">
        <f t="shared" si="4"/>
        <v>2022</v>
      </c>
      <c r="B34" s="33">
        <v>7</v>
      </c>
      <c r="E34" s="70">
        <v>83482.009196999934</v>
      </c>
      <c r="F34" s="70">
        <v>1331304.7258399988</v>
      </c>
      <c r="G34" s="70">
        <v>424226.4315850003</v>
      </c>
      <c r="H34" s="70">
        <v>2927531.3772922535</v>
      </c>
      <c r="I34" s="70">
        <v>521018.21578699932</v>
      </c>
      <c r="J34" s="70">
        <v>825894.28693599917</v>
      </c>
      <c r="K34" s="70">
        <v>2575.1305190000021</v>
      </c>
      <c r="L34" s="70">
        <f t="shared" si="5"/>
        <v>6116032.1771562509</v>
      </c>
      <c r="M34" s="189"/>
      <c r="N34" s="197"/>
      <c r="O34" s="189"/>
      <c r="P34" s="189"/>
      <c r="Q34" s="189"/>
      <c r="R34" s="189"/>
      <c r="S34" s="189"/>
      <c r="T34" s="189"/>
      <c r="U34" s="189"/>
      <c r="V34" s="196"/>
      <c r="W34" s="189"/>
    </row>
    <row r="35" spans="1:23" x14ac:dyDescent="0.2">
      <c r="A35" s="33">
        <f t="shared" si="4"/>
        <v>2022</v>
      </c>
      <c r="B35" s="33">
        <v>8</v>
      </c>
      <c r="E35" s="70">
        <v>82955.316255000056</v>
      </c>
      <c r="F35" s="70">
        <v>1367004.0004529988</v>
      </c>
      <c r="G35" s="70">
        <v>422620.49933700036</v>
      </c>
      <c r="H35" s="70">
        <v>2751751.2602275009</v>
      </c>
      <c r="I35" s="70">
        <v>352422.42627900012</v>
      </c>
      <c r="J35" s="70">
        <v>817305.75286300061</v>
      </c>
      <c r="K35" s="70">
        <v>2590.9132919999975</v>
      </c>
      <c r="L35" s="70">
        <f t="shared" si="5"/>
        <v>5796650.1687065009</v>
      </c>
      <c r="M35" s="189"/>
      <c r="N35" s="197"/>
      <c r="O35" s="189"/>
      <c r="P35" s="189"/>
      <c r="Q35" s="189"/>
      <c r="R35" s="189"/>
      <c r="S35" s="189"/>
      <c r="T35" s="189"/>
      <c r="U35" s="189"/>
      <c r="V35" s="196"/>
      <c r="W35" s="189"/>
    </row>
    <row r="36" spans="1:23" x14ac:dyDescent="0.2">
      <c r="A36" s="33">
        <f t="shared" si="4"/>
        <v>2022</v>
      </c>
      <c r="B36" s="33">
        <v>9</v>
      </c>
      <c r="E36" s="70">
        <v>64317.35217799995</v>
      </c>
      <c r="F36" s="70">
        <v>1146931.7414680019</v>
      </c>
      <c r="G36" s="70">
        <v>324326.61184099974</v>
      </c>
      <c r="H36" s="70">
        <v>2331567.0847877488</v>
      </c>
      <c r="I36" s="70">
        <v>307011.55638499983</v>
      </c>
      <c r="J36" s="70">
        <v>759568.37311199959</v>
      </c>
      <c r="K36" s="70">
        <v>1929.0306280000004</v>
      </c>
      <c r="L36" s="70">
        <f t="shared" si="5"/>
        <v>4935651.7503997507</v>
      </c>
      <c r="M36" s="189"/>
      <c r="N36" s="197"/>
      <c r="O36" s="189"/>
      <c r="P36" s="189"/>
      <c r="Q36" s="189"/>
      <c r="R36" s="189"/>
      <c r="S36" s="189"/>
      <c r="T36" s="189"/>
      <c r="U36" s="189"/>
      <c r="V36" s="196"/>
      <c r="W36" s="189"/>
    </row>
    <row r="37" spans="1:23" x14ac:dyDescent="0.2">
      <c r="A37" s="33">
        <f t="shared" si="4"/>
        <v>2022</v>
      </c>
      <c r="B37" s="33">
        <v>10</v>
      </c>
      <c r="E37" s="70">
        <v>59537.441335999974</v>
      </c>
      <c r="F37" s="70">
        <v>1128276.1081240012</v>
      </c>
      <c r="G37" s="70">
        <v>339494.7458680002</v>
      </c>
      <c r="H37" s="70">
        <v>2024253.2869389995</v>
      </c>
      <c r="I37" s="70">
        <v>270189.98298199987</v>
      </c>
      <c r="J37" s="70">
        <v>787449.11439899972</v>
      </c>
      <c r="K37" s="70">
        <v>1740.1598779999986</v>
      </c>
      <c r="L37" s="70">
        <f t="shared" si="5"/>
        <v>4610940.8395260004</v>
      </c>
      <c r="M37" s="189"/>
      <c r="N37" s="197"/>
      <c r="O37" s="189"/>
      <c r="P37" s="189"/>
      <c r="Q37" s="189"/>
      <c r="R37" s="189"/>
      <c r="S37" s="189"/>
      <c r="T37" s="189"/>
      <c r="U37" s="189"/>
      <c r="V37" s="196"/>
      <c r="W37" s="189"/>
    </row>
    <row r="38" spans="1:23" x14ac:dyDescent="0.2">
      <c r="A38" s="33">
        <f t="shared" si="4"/>
        <v>2022</v>
      </c>
      <c r="B38" s="33">
        <v>11</v>
      </c>
      <c r="E38" s="70">
        <v>74723.424659000128</v>
      </c>
      <c r="F38" s="70">
        <v>1363385.4441540025</v>
      </c>
      <c r="G38" s="70">
        <v>417687.70875000005</v>
      </c>
      <c r="H38" s="70">
        <v>2132151.679969999</v>
      </c>
      <c r="I38" s="70">
        <v>242328.57721099985</v>
      </c>
      <c r="J38" s="70">
        <v>807568.23966900015</v>
      </c>
      <c r="K38" s="70">
        <v>1892.5149960000017</v>
      </c>
      <c r="L38" s="70">
        <f t="shared" si="5"/>
        <v>5039737.5894090012</v>
      </c>
      <c r="M38" s="189"/>
      <c r="N38" s="197"/>
      <c r="O38" s="189"/>
      <c r="P38" s="189"/>
      <c r="Q38" s="189"/>
      <c r="R38" s="189"/>
      <c r="S38" s="189"/>
      <c r="T38" s="189"/>
      <c r="U38" s="189"/>
      <c r="V38" s="196"/>
      <c r="W38" s="189"/>
    </row>
    <row r="39" spans="1:23" x14ac:dyDescent="0.2">
      <c r="A39" s="33">
        <f t="shared" si="4"/>
        <v>2022</v>
      </c>
      <c r="B39" s="33">
        <v>12</v>
      </c>
      <c r="E39" s="70">
        <v>84448.844784000074</v>
      </c>
      <c r="F39" s="70">
        <v>1510162.0393269979</v>
      </c>
      <c r="G39" s="70">
        <v>499352.47647800046</v>
      </c>
      <c r="H39" s="70">
        <v>2332152.5607840023</v>
      </c>
      <c r="I39" s="70">
        <v>292816.14120799996</v>
      </c>
      <c r="J39" s="70">
        <v>868366.93430099962</v>
      </c>
      <c r="K39" s="70">
        <v>2175.8001980000045</v>
      </c>
      <c r="L39" s="70">
        <f t="shared" si="5"/>
        <v>5589474.797079999</v>
      </c>
      <c r="M39" s="189"/>
      <c r="N39" s="197"/>
      <c r="O39" s="189"/>
      <c r="P39" s="189"/>
      <c r="Q39" s="189"/>
      <c r="R39" s="189"/>
      <c r="S39" s="189"/>
      <c r="T39" s="189"/>
      <c r="U39" s="189"/>
      <c r="V39" s="196"/>
      <c r="W39" s="189"/>
    </row>
    <row r="40" spans="1:23" ht="13.5" thickBot="1" x14ac:dyDescent="0.25">
      <c r="B40" s="33" t="s">
        <v>120</v>
      </c>
      <c r="E40" s="202">
        <f>SUM(E28:E39)</f>
        <v>879484.71268800017</v>
      </c>
      <c r="F40" s="202">
        <f>SUM(F28:F39)</f>
        <v>15154155.560766002</v>
      </c>
      <c r="G40" s="202">
        <f>SUM(G28:G39)</f>
        <v>4646416.2896880014</v>
      </c>
      <c r="H40" s="202">
        <f t="shared" ref="H40:L40" si="6">SUM(H28:H39)</f>
        <v>27241515.022262</v>
      </c>
      <c r="I40" s="202">
        <f>SUM(I28:I39)</f>
        <v>3849160.6951899999</v>
      </c>
      <c r="J40" s="202">
        <f t="shared" si="6"/>
        <v>9482552.5528469961</v>
      </c>
      <c r="K40" s="202">
        <f t="shared" si="6"/>
        <v>24202.904993</v>
      </c>
      <c r="L40" s="202">
        <f t="shared" si="6"/>
        <v>61277487.738434002</v>
      </c>
      <c r="M40" s="189"/>
      <c r="N40" s="197"/>
      <c r="O40" s="197"/>
      <c r="P40" s="197"/>
      <c r="Q40" s="197"/>
      <c r="R40" s="197"/>
      <c r="S40" s="197"/>
      <c r="T40" s="197"/>
      <c r="U40" s="197"/>
      <c r="V40" s="196"/>
      <c r="W40" s="189"/>
    </row>
    <row r="41" spans="1:23" ht="14.25" thickTop="1" thickBot="1" x14ac:dyDescent="0.25">
      <c r="C41" s="70"/>
      <c r="D41" s="70"/>
      <c r="E41" s="70"/>
      <c r="F41" s="70"/>
      <c r="G41" s="70"/>
      <c r="H41" s="70"/>
      <c r="I41" s="70"/>
      <c r="M41" s="189"/>
      <c r="N41" s="189"/>
      <c r="O41" s="189"/>
      <c r="P41" s="189"/>
      <c r="Q41" s="189"/>
      <c r="R41" s="189"/>
      <c r="S41" s="189"/>
      <c r="T41" s="189"/>
      <c r="U41" s="189"/>
      <c r="V41" s="189"/>
      <c r="W41" s="189"/>
    </row>
    <row r="42" spans="1:23" x14ac:dyDescent="0.2">
      <c r="A42" s="33" t="s">
        <v>121</v>
      </c>
      <c r="E42" s="198">
        <f>E40/$L$40</f>
        <v>1.4352492981470198E-2</v>
      </c>
      <c r="F42" s="198">
        <f>F40/$L$40</f>
        <v>0.24730379981392625</v>
      </c>
      <c r="G42" s="198">
        <f>G40/$L$40</f>
        <v>7.5825828720678959E-2</v>
      </c>
      <c r="H42" s="203">
        <f t="shared" ref="H42:K42" si="7">H40/$L$40</f>
        <v>0.44455991959957236</v>
      </c>
      <c r="I42" s="198">
        <f>I40/$L$40</f>
        <v>6.2815249731195469E-2</v>
      </c>
      <c r="J42" s="198">
        <f t="shared" si="7"/>
        <v>0.15474773693927765</v>
      </c>
      <c r="K42" s="198">
        <f t="shared" si="7"/>
        <v>3.949722138791215E-4</v>
      </c>
      <c r="L42" s="204">
        <f>SUM(E42:K42)</f>
        <v>0.99999999999999989</v>
      </c>
      <c r="M42" s="189"/>
      <c r="N42" s="189"/>
      <c r="O42" s="189"/>
      <c r="P42" s="189"/>
      <c r="Q42" s="189"/>
      <c r="R42" s="189"/>
      <c r="S42" s="189"/>
      <c r="T42" s="189"/>
      <c r="U42" s="189"/>
      <c r="V42" s="189"/>
      <c r="W42" s="189"/>
    </row>
    <row r="43" spans="1:23" ht="13.5" thickBot="1" x14ac:dyDescent="0.25">
      <c r="A43" s="33" t="s">
        <v>122</v>
      </c>
      <c r="E43" s="198">
        <f>(E42*0.25)+(E23*0.75)</f>
        <v>1.4264357863786993E-2</v>
      </c>
      <c r="F43" s="198">
        <f>(F42*0.25)+(F23*0.75)</f>
        <v>0.25746155907955026</v>
      </c>
      <c r="G43" s="198">
        <f>(G42*0.25)+(G23*0.75)</f>
        <v>7.9660854355555644E-2</v>
      </c>
      <c r="H43" s="205">
        <f t="shared" ref="H43:K43" si="8">(H42*0.25)+(H23*0.75)</f>
        <v>0.45199862471552765</v>
      </c>
      <c r="I43" s="198">
        <f>(I42*0.25)+(I23*0.75)</f>
        <v>5.9234158101670903E-2</v>
      </c>
      <c r="J43" s="198">
        <f>(J42*0.25)+(J23*0.75)</f>
        <v>0.13700863793981949</v>
      </c>
      <c r="K43" s="198">
        <f t="shared" si="8"/>
        <v>3.7180794408915791E-4</v>
      </c>
      <c r="L43" s="204">
        <f>SUM(E43:K43)</f>
        <v>1</v>
      </c>
    </row>
    <row r="45" spans="1:23" x14ac:dyDescent="0.2">
      <c r="E45" s="199"/>
      <c r="F45" s="199"/>
      <c r="G45" s="199"/>
      <c r="H45" s="199"/>
      <c r="I45" s="199"/>
      <c r="J45" s="199"/>
      <c r="K45" s="199"/>
      <c r="L45" s="206"/>
    </row>
    <row r="48" spans="1:23" x14ac:dyDescent="0.2">
      <c r="E48" s="207"/>
      <c r="F48" s="207"/>
      <c r="G48" s="207"/>
      <c r="H48" s="207"/>
      <c r="I48" s="207"/>
      <c r="J48" s="207"/>
      <c r="K48" s="207"/>
      <c r="L48" s="207"/>
    </row>
    <row r="49" spans="5:12" x14ac:dyDescent="0.2">
      <c r="E49" s="206"/>
      <c r="F49" s="206"/>
      <c r="G49" s="206"/>
      <c r="H49" s="206"/>
      <c r="I49" s="206"/>
      <c r="J49" s="206"/>
      <c r="K49" s="206"/>
      <c r="L49" s="206"/>
    </row>
    <row r="50" spans="5:12" x14ac:dyDescent="0.2">
      <c r="E50" s="206"/>
      <c r="F50" s="206"/>
      <c r="G50" s="206"/>
      <c r="H50" s="206"/>
      <c r="I50" s="206"/>
      <c r="J50" s="206"/>
      <c r="K50" s="206"/>
      <c r="L50" s="206"/>
    </row>
  </sheetData>
  <pageMargins left="0.7" right="0.7" top="0.75" bottom="0.75" header="0.3" footer="0.3"/>
  <pageSetup scale="78" orientation="landscape" r:id="rId1"/>
  <headerFooter>
    <oddFooter>&amp;C&amp;"Arial,Regular"&amp;10Page 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C73AF3B03E6C43BBC3D533D659DA67" ma:contentTypeVersion="4" ma:contentTypeDescription="Create a new document." ma:contentTypeScope="" ma:versionID="a32bb02ba46d42a101d0b2e9b5031a70">
  <xsd:schema xmlns:xsd="http://www.w3.org/2001/XMLSchema" xmlns:xs="http://www.w3.org/2001/XMLSchema" xmlns:p="http://schemas.microsoft.com/office/2006/metadata/properties" xmlns:ns2="d29c7260-46c5-46b4-a8ad-007a8cef8ee0" targetNamespace="http://schemas.microsoft.com/office/2006/metadata/properties" ma:root="true" ma:fieldsID="f1ff983f4ba051e69609d453a4ee2f8d" ns2:_="">
    <xsd:import namespace="d29c7260-46c5-46b4-a8ad-007a8cef8ee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c7260-46c5-46b4-a8ad-007a8cef8e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863D04-4214-4DD3-8DE4-8A7E251FB5A4}">
  <ds:schemaRefs>
    <ds:schemaRef ds:uri="http://schemas.microsoft.com/sharepoint/v3/contenttype/forms"/>
  </ds:schemaRefs>
</ds:datastoreItem>
</file>

<file path=customXml/itemProps2.xml><?xml version="1.0" encoding="utf-8"?>
<ds:datastoreItem xmlns:ds="http://schemas.openxmlformats.org/officeDocument/2006/customXml" ds:itemID="{6DEF3D40-4DA5-4E6F-9FB0-BA1FACC8E8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c7260-46c5-46b4-a8ad-007a8cef8e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EB8F6A-EE02-48E3-AA7F-EA2AC17FE28F}">
  <ds:schemaRefs>
    <ds:schemaRef ds:uri="http://schemas.openxmlformats.org/package/2006/metadata/core-properties"/>
    <ds:schemaRef ds:uri="d29c7260-46c5-46b4-a8ad-007a8cef8ee0"/>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Index</vt:lpstr>
      <vt:lpstr>RMP_(SEM-1)</vt:lpstr>
      <vt:lpstr>RMP_(SEM-2)</vt:lpstr>
      <vt:lpstr>Page 2.1</vt:lpstr>
      <vt:lpstr>Page 2.2</vt:lpstr>
      <vt:lpstr>'Page 2.1'!Print_Area</vt:lpstr>
      <vt:lpstr>'RMP_(SEM-1)'!Print_Area</vt:lpstr>
      <vt:lpstr>'RMP_(SEM-2)'!Print_Area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Waterman, Justin (PacifiCorp)</dc:creator>
  <cp:keywords/>
  <dc:description/>
  <cp:lastModifiedBy>Fred Nass</cp:lastModifiedBy>
  <cp:revision/>
  <cp:lastPrinted>2023-03-14T22:22:14Z</cp:lastPrinted>
  <dcterms:created xsi:type="dcterms:W3CDTF">2023-03-02T16:33:36Z</dcterms:created>
  <dcterms:modified xsi:type="dcterms:W3CDTF">2023-03-16T14:39:47Z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0x0101006FC73AF3B03E6C43BBC3D533D659DA67</vt:lpwstr>
  </property>
</Properties>
</file>