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0DAACAF8-6CB1-4DD3-AEB8-417678DB6A75}" xr6:coauthVersionLast="47" xr6:coauthVersionMax="47" xr10:uidLastSave="{00000000-0000-0000-0000-000000000000}"/>
  <bookViews>
    <workbookView xWindow="885" yWindow="1065" windowWidth="23610" windowHeight="19650" activeTab="4" xr2:uid="{00000000-000D-0000-FFFF-FFFF00000000}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 localSheetId="0">Total!$B$42</definedName>
    <definedName name="Discount_Rate">Total!$B$42</definedName>
    <definedName name="_xlnm.Print_Area" localSheetId="4">Capacity!$A$1:$K$38</definedName>
    <definedName name="_xlnm.Print_Area" localSheetId="3">Energy!$A$1:$G$38</definedName>
    <definedName name="_xlnm.Print_Area" localSheetId="1">Incremental!$A$1:$G$40</definedName>
    <definedName name="_xlnm.Print_Area" localSheetId="2">Total!$A$1:$G$42</definedName>
    <definedName name="Study_CF">#REF!</definedName>
    <definedName name="Study_MW">#REF!</definedName>
    <definedName name="Study_Name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2" l="1"/>
  <c r="D7" i="6"/>
  <c r="C6" i="14" s="1"/>
  <c r="J11" i="10"/>
  <c r="E8" i="10" l="1"/>
  <c r="J8" i="10" s="1"/>
  <c r="E7" i="5"/>
  <c r="B39" i="5" l="1"/>
  <c r="E7" i="6"/>
  <c r="D8" i="10"/>
  <c r="B3" i="10"/>
  <c r="B1" i="10"/>
  <c r="E10" i="6"/>
  <c r="B40" i="6" l="1"/>
  <c r="B39" i="6" l="1"/>
  <c r="I8" i="10" l="1"/>
  <c r="F8" i="10"/>
  <c r="D7" i="5" l="1"/>
  <c r="C7" i="6"/>
  <c r="C5" i="14" s="1"/>
  <c r="B11" i="5" l="1"/>
  <c r="B11" i="6" s="1"/>
  <c r="B38" i="5" l="1"/>
  <c r="B38" i="6" s="1"/>
  <c r="B35" i="10"/>
  <c r="B36" i="12"/>
  <c r="C7" i="14" l="1"/>
  <c r="F7" i="5"/>
  <c r="K8" i="10" l="1"/>
  <c r="B4" i="10"/>
  <c r="H11" i="10" l="1"/>
  <c r="B12" i="10"/>
  <c r="J12" i="10" l="1"/>
  <c r="H12" i="10"/>
  <c r="B13" i="10"/>
  <c r="J13" i="10" l="1"/>
  <c r="H13" i="10"/>
  <c r="B14" i="10"/>
  <c r="J14" i="10" l="1"/>
  <c r="H14" i="10"/>
  <c r="B15" i="10"/>
  <c r="J15" i="10" l="1"/>
  <c r="H15" i="10"/>
  <c r="B16" i="10"/>
  <c r="J16" i="10" l="1"/>
  <c r="H16" i="10"/>
  <c r="B17" i="10"/>
  <c r="J17" i="10" l="1"/>
  <c r="H17" i="10"/>
  <c r="B18" i="10"/>
  <c r="J18" i="10" l="1"/>
  <c r="H18" i="10"/>
  <c r="B19" i="10"/>
  <c r="J19" i="10" l="1"/>
  <c r="H19" i="10"/>
  <c r="B20" i="10"/>
  <c r="J20" i="10" l="1"/>
  <c r="H20" i="10"/>
  <c r="B21" i="10"/>
  <c r="J21" i="10" l="1"/>
  <c r="H21" i="10"/>
  <c r="B22" i="10"/>
  <c r="J22" i="10" l="1"/>
  <c r="H22" i="10"/>
  <c r="B23" i="10"/>
  <c r="J23" i="10" l="1"/>
  <c r="H23" i="10"/>
  <c r="B24" i="10"/>
  <c r="J24" i="10" l="1"/>
  <c r="H24" i="10"/>
  <c r="B25" i="10"/>
  <c r="J25" i="10" l="1"/>
  <c r="H25" i="10"/>
  <c r="B31" i="10"/>
  <c r="B26" i="10"/>
  <c r="J26" i="10" l="1"/>
  <c r="H26" i="10"/>
  <c r="B32" i="10"/>
  <c r="B27" i="10"/>
  <c r="J27" i="10" l="1"/>
  <c r="B28" i="10"/>
  <c r="H27" i="10"/>
  <c r="B33" i="10"/>
  <c r="J28" i="10" l="1"/>
  <c r="I28" i="10"/>
  <c r="H28" i="10"/>
  <c r="K28" i="10"/>
  <c r="C7" i="12"/>
  <c r="C8" i="10" s="1"/>
  <c r="C8" i="5" l="1"/>
  <c r="C7" i="5"/>
  <c r="B1" i="12" l="1"/>
  <c r="B3" i="12"/>
  <c r="B35" i="12"/>
  <c r="B12" i="12" l="1"/>
  <c r="C12" i="5" l="1"/>
  <c r="C11" i="5"/>
  <c r="B13" i="12"/>
  <c r="B14" i="12" l="1"/>
  <c r="C13" i="5" l="1"/>
  <c r="C14" i="5"/>
  <c r="B15" i="12"/>
  <c r="C15" i="5" l="1"/>
  <c r="B16" i="12"/>
  <c r="C16" i="5" l="1"/>
  <c r="B17" i="12"/>
  <c r="C17" i="5" l="1"/>
  <c r="B18" i="12"/>
  <c r="C18" i="5" l="1"/>
  <c r="B19" i="12"/>
  <c r="C19" i="5" l="1"/>
  <c r="B20" i="12"/>
  <c r="C20" i="5" l="1"/>
  <c r="B21" i="12"/>
  <c r="C21" i="5" l="1"/>
  <c r="B22" i="12"/>
  <c r="C22" i="5" l="1"/>
  <c r="B23" i="12"/>
  <c r="C23" i="5" l="1"/>
  <c r="B24" i="12"/>
  <c r="B25" i="12" s="1"/>
  <c r="B26" i="12" s="1"/>
  <c r="B27" i="12" l="1"/>
  <c r="C26" i="5"/>
  <c r="C24" i="5"/>
  <c r="B28" i="12" l="1"/>
  <c r="C25" i="5"/>
  <c r="B31" i="12"/>
  <c r="C27" i="5" l="1"/>
  <c r="C33" i="12"/>
  <c r="D33" i="12"/>
  <c r="F33" i="12"/>
  <c r="F28" i="5"/>
  <c r="C28" i="5"/>
  <c r="D28" i="5"/>
  <c r="B32" i="12"/>
  <c r="B35" i="6"/>
  <c r="C28" i="6" l="1"/>
  <c r="B10" i="6" l="1"/>
  <c r="B3" i="6"/>
  <c r="B1" i="6"/>
  <c r="B12" i="5" l="1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1" i="6" s="1"/>
  <c r="D3" i="14" s="1"/>
  <c r="B15" i="5"/>
  <c r="B26" i="6" l="1"/>
  <c r="B32" i="6" s="1"/>
  <c r="F3" i="14" s="1"/>
  <c r="B16" i="5"/>
  <c r="B27" i="6" l="1"/>
  <c r="B17" i="5"/>
  <c r="B33" i="6" l="1"/>
  <c r="H3" i="14" s="1"/>
  <c r="B28" i="6"/>
  <c r="B18" i="5"/>
  <c r="B19" i="5" l="1"/>
  <c r="B20" i="5" l="1"/>
  <c r="B21" i="5" l="1"/>
  <c r="B22" i="5" l="1"/>
  <c r="B23" i="5" l="1"/>
  <c r="B24" i="5" l="1"/>
  <c r="B25" i="5" l="1"/>
  <c r="B31" i="5" s="1"/>
  <c r="B36" i="5"/>
  <c r="B36" i="10" l="1"/>
  <c r="B40" i="10"/>
  <c r="B26" i="5"/>
  <c r="B32" i="5" s="1"/>
  <c r="B36" i="6"/>
  <c r="B27" i="5" l="1"/>
  <c r="B33" i="5" l="1"/>
  <c r="B28" i="5"/>
  <c r="F10" i="6"/>
  <c r="I14" i="10" l="1"/>
  <c r="I15" i="10"/>
  <c r="I16" i="10"/>
  <c r="I17" i="10"/>
  <c r="D17" i="5" l="1"/>
  <c r="D16" i="5"/>
  <c r="D15" i="5"/>
  <c r="D14" i="5"/>
  <c r="I12" i="10"/>
  <c r="I11" i="10"/>
  <c r="D11" i="5" s="1"/>
  <c r="I13" i="10"/>
  <c r="D13" i="5" l="1"/>
  <c r="D12" i="5"/>
  <c r="I18" i="10"/>
  <c r="I19" i="10"/>
  <c r="D19" i="5" l="1"/>
  <c r="D18" i="5"/>
  <c r="I22" i="10"/>
  <c r="I20" i="10"/>
  <c r="D20" i="5" l="1"/>
  <c r="D22" i="5"/>
  <c r="I21" i="10"/>
  <c r="D21" i="5" l="1"/>
  <c r="I24" i="10"/>
  <c r="D24" i="5" l="1"/>
  <c r="I25" i="10"/>
  <c r="I23" i="10"/>
  <c r="D23" i="5" l="1"/>
  <c r="D25" i="5"/>
  <c r="I26" i="10"/>
  <c r="D26" i="5" l="1"/>
  <c r="I27" i="10"/>
  <c r="D27" i="5" l="1"/>
  <c r="K14" i="10"/>
  <c r="F14" i="5" l="1"/>
  <c r="K13" i="10"/>
  <c r="K12" i="10"/>
  <c r="K15" i="10"/>
  <c r="K11" i="10"/>
  <c r="F11" i="5" s="1"/>
  <c r="F12" i="5" l="1"/>
  <c r="F15" i="5"/>
  <c r="F13" i="5"/>
  <c r="K18" i="10"/>
  <c r="K17" i="10"/>
  <c r="K25" i="10"/>
  <c r="K22" i="10"/>
  <c r="K19" i="10"/>
  <c r="K26" i="10"/>
  <c r="K21" i="10"/>
  <c r="K23" i="10"/>
  <c r="K24" i="10"/>
  <c r="K27" i="10"/>
  <c r="K20" i="10"/>
  <c r="F19" i="5" l="1"/>
  <c r="F17" i="5"/>
  <c r="F24" i="5"/>
  <c r="F23" i="5"/>
  <c r="F25" i="5"/>
  <c r="F27" i="5"/>
  <c r="F21" i="5"/>
  <c r="F26" i="5"/>
  <c r="F22" i="5"/>
  <c r="F18" i="5"/>
  <c r="F20" i="5"/>
  <c r="K16" i="10"/>
  <c r="F16" i="5" l="1"/>
  <c r="H8" i="10"/>
  <c r="C32" i="12" l="1"/>
  <c r="B30" i="12"/>
  <c r="C31" i="12"/>
  <c r="F32" i="12"/>
  <c r="F31" i="12"/>
  <c r="C17" i="6" l="1"/>
  <c r="C12" i="6"/>
  <c r="C15" i="6"/>
  <c r="C18" i="6"/>
  <c r="C14" i="6"/>
  <c r="C19" i="6"/>
  <c r="C16" i="6"/>
  <c r="C13" i="6"/>
  <c r="C11" i="6" l="1"/>
  <c r="C21" i="6" l="1"/>
  <c r="C24" i="6" l="1"/>
  <c r="C22" i="6"/>
  <c r="C23" i="6"/>
  <c r="C25" i="6"/>
  <c r="C27" i="6"/>
  <c r="C26" i="6"/>
  <c r="D32" i="12" l="1"/>
  <c r="D31" i="12"/>
  <c r="C20" i="6" l="1"/>
  <c r="B37" i="5" l="1"/>
  <c r="B40" i="12"/>
  <c r="B37" i="6" l="1"/>
  <c r="B37" i="12"/>
  <c r="C33" i="5" l="1"/>
  <c r="H4" i="14" s="1"/>
  <c r="C31" i="5"/>
  <c r="D4" i="14" s="1"/>
  <c r="F33" i="5"/>
  <c r="B30" i="5"/>
  <c r="B30" i="6" s="1"/>
  <c r="C2" i="14" s="1"/>
  <c r="B41" i="10"/>
  <c r="F32" i="5"/>
  <c r="C32" i="5"/>
  <c r="F4" i="14" s="1"/>
  <c r="F31" i="5"/>
  <c r="B42" i="6"/>
  <c r="D31" i="5"/>
  <c r="D33" i="5"/>
  <c r="D32" i="5"/>
  <c r="C32" i="6" l="1"/>
  <c r="C33" i="6"/>
  <c r="I5" i="14" s="1"/>
  <c r="C31" i="6"/>
  <c r="E5" i="14" s="1"/>
  <c r="J31" i="10"/>
  <c r="J32" i="10"/>
  <c r="J33" i="10"/>
  <c r="E33" i="10"/>
  <c r="E32" i="10"/>
  <c r="E31" i="10"/>
  <c r="G5" i="14"/>
  <c r="H8" i="14"/>
  <c r="D8" i="14"/>
  <c r="F8" i="14"/>
  <c r="B30" i="10"/>
  <c r="D33" i="10"/>
  <c r="I31" i="10"/>
  <c r="F32" i="10"/>
  <c r="K33" i="10"/>
  <c r="I32" i="10"/>
  <c r="H33" i="10"/>
  <c r="C32" i="10"/>
  <c r="C31" i="10"/>
  <c r="D31" i="10"/>
  <c r="D32" i="10"/>
  <c r="I33" i="10"/>
  <c r="F31" i="10"/>
  <c r="K32" i="10"/>
  <c r="H31" i="10"/>
  <c r="F33" i="10"/>
  <c r="H32" i="10"/>
  <c r="C33" i="10"/>
  <c r="K31" i="10"/>
  <c r="E17" i="5" l="1"/>
  <c r="E15" i="5"/>
  <c r="E14" i="5"/>
  <c r="E13" i="5" l="1"/>
  <c r="D14" i="6"/>
  <c r="E14" i="6"/>
  <c r="D15" i="6"/>
  <c r="E15" i="6"/>
  <c r="D17" i="6"/>
  <c r="E17" i="6"/>
  <c r="E18" i="5"/>
  <c r="E19" i="5"/>
  <c r="E20" i="5"/>
  <c r="E16" i="5"/>
  <c r="E12" i="5"/>
  <c r="E11" i="5"/>
  <c r="F14" i="6" l="1"/>
  <c r="D16" i="6"/>
  <c r="E16" i="6"/>
  <c r="D19" i="6"/>
  <c r="E19" i="6"/>
  <c r="F15" i="6"/>
  <c r="D18" i="6"/>
  <c r="E18" i="6"/>
  <c r="D20" i="6"/>
  <c r="E20" i="6"/>
  <c r="F17" i="6"/>
  <c r="D13" i="6"/>
  <c r="E13" i="6"/>
  <c r="D11" i="6"/>
  <c r="E11" i="6"/>
  <c r="D12" i="6"/>
  <c r="E12" i="6"/>
  <c r="F20" i="6" l="1"/>
  <c r="F18" i="6"/>
  <c r="F13" i="6"/>
  <c r="F19" i="6"/>
  <c r="F16" i="6"/>
  <c r="F12" i="6"/>
  <c r="F11" i="6"/>
  <c r="E28" i="5" l="1"/>
  <c r="E24" i="5" l="1"/>
  <c r="E27" i="5"/>
  <c r="D28" i="6"/>
  <c r="E28" i="6"/>
  <c r="F28" i="6" s="1"/>
  <c r="E22" i="5"/>
  <c r="E26" i="5"/>
  <c r="E25" i="5"/>
  <c r="E23" i="5"/>
  <c r="D23" i="6" l="1"/>
  <c r="E23" i="6"/>
  <c r="D25" i="6"/>
  <c r="E25" i="6"/>
  <c r="D26" i="6"/>
  <c r="E26" i="6"/>
  <c r="D22" i="6"/>
  <c r="E22" i="6"/>
  <c r="D27" i="6"/>
  <c r="E27" i="6"/>
  <c r="D24" i="6"/>
  <c r="E24" i="6"/>
  <c r="F27" i="6" l="1"/>
  <c r="F22" i="6"/>
  <c r="E21" i="5"/>
  <c r="E32" i="12"/>
  <c r="E33" i="12"/>
  <c r="E31" i="12"/>
  <c r="F25" i="6"/>
  <c r="F26" i="6"/>
  <c r="F24" i="6"/>
  <c r="F23" i="6"/>
  <c r="E32" i="5" l="1"/>
  <c r="E31" i="5"/>
  <c r="E33" i="5"/>
  <c r="E21" i="6"/>
  <c r="D21" i="6"/>
  <c r="F21" i="6" s="1"/>
  <c r="D33" i="6" l="1"/>
  <c r="E33" i="6"/>
  <c r="I7" i="14" s="1"/>
  <c r="D31" i="6"/>
  <c r="E31" i="6"/>
  <c r="E7" i="14" s="1"/>
  <c r="D32" i="6"/>
  <c r="E32" i="6"/>
  <c r="G7" i="14" s="1"/>
  <c r="F32" i="6" l="1"/>
  <c r="H32" i="6" s="1"/>
  <c r="G6" i="14"/>
  <c r="E6" i="14"/>
  <c r="F31" i="6"/>
  <c r="H31" i="6" s="1"/>
  <c r="I6" i="14"/>
  <c r="F33" i="6"/>
  <c r="H33" i="6" s="1"/>
</calcChain>
</file>

<file path=xl/sharedStrings.xml><?xml version="1.0" encoding="utf-8"?>
<sst xmlns="http://schemas.openxmlformats.org/spreadsheetml/2006/main" count="37" uniqueCount="30">
  <si>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</si>
  <si>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</si>
  <si>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</si>
  <si>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</si>
  <si>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</si>
  <si>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</si>
  <si>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</si>
  <si>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</si>
  <si>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</si>
  <si>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</si>
  <si>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</si>
  <si>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</si>
  <si>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</si>
  <si>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</si>
  <si>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</si>
  <si>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</si>
  <si>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</si>
  <si>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(3)   No Capacity costs - No deferrable thermal resources</t>
  </si>
  <si>
    <t>Capacity Factor</t>
  </si>
  <si>
    <t>(4)</t>
  </si>
  <si>
    <t>(5)</t>
  </si>
  <si>
    <t>2023.Q2</t>
  </si>
  <si>
    <t>2023.Q2 As Filed</t>
  </si>
  <si>
    <t xml:space="preserve">       2023 IRP Preferred Portfolio.</t>
  </si>
  <si>
    <t>2023.Q3</t>
  </si>
  <si>
    <t>2023.Q3 As Filed</t>
  </si>
  <si>
    <t>Discount Rate - 2023 IRP</t>
  </si>
  <si>
    <t>OFPC</t>
  </si>
  <si>
    <t>Queue</t>
  </si>
  <si>
    <t>Correction to Colstrip Trans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</si>
</sst>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  <numFmt numFmtId="177" formatCode="_(* #,##0.00_);[Red]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85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" fontId="1" fillId="0" borderId="0" xfId="2" applyNumberFormat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Border="1" applyAlignment="1">
      <alignment horizontal="center"/>
    </xf>
    <xf numFmtId="165" fontId="3" fillId="0" borderId="3" xfId="0" applyFont="1" applyBorder="1"/>
    <xf numFmtId="165" fontId="3" fillId="0" borderId="0" xfId="0" applyFont="1" applyAlignment="1">
      <alignment horizontal="center"/>
    </xf>
    <xf numFmtId="168" fontId="4" fillId="0" borderId="0" xfId="0" applyNumberFormat="1" applyFont="1"/>
    <xf numFmtId="167" fontId="4" fillId="0" borderId="0" xfId="0" applyNumberFormat="1" applyFo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Alignment="1">
      <alignment horizontal="center"/>
    </xf>
    <xf numFmtId="7" fontId="4" fillId="0" borderId="0" xfId="4" applyNumberFormat="1" applyFont="1" applyAlignment="1">
      <alignment horizontal="center"/>
    </xf>
    <xf numFmtId="165" fontId="4" fillId="0" borderId="0" xfId="4" quotePrefix="1" applyFont="1"/>
    <xf numFmtId="7" fontId="4" fillId="0" borderId="2" xfId="4" applyNumberFormat="1" applyFont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5" xfId="4" applyFont="1" applyBorder="1" applyAlignment="1">
      <alignment horizontal="centerContinuous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8" fontId="4" fillId="0" borderId="0" xfId="0" applyNumberFormat="1" applyFont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8" fontId="4" fillId="0" borderId="2" xfId="4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2" xfId="0" applyNumberFormat="1" applyFont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Border="1" applyAlignment="1">
      <alignment horizontal="center"/>
    </xf>
    <xf numFmtId="165" fontId="4" fillId="0" borderId="9" xfId="4" applyFont="1" applyBorder="1"/>
    <xf numFmtId="0" fontId="3" fillId="0" borderId="9" xfId="4" applyNumberFormat="1" applyFont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2" fillId="6" borderId="0" xfId="0" applyFont="1" applyFill="1"/>
    <xf numFmtId="165" fontId="0" fillId="6" borderId="0" xfId="0" applyFill="1"/>
    <xf numFmtId="165" fontId="0" fillId="0" borderId="0" xfId="0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Alignment="1">
      <alignment horizontal="center"/>
    </xf>
    <xf numFmtId="176" fontId="0" fillId="0" borderId="0" xfId="0" applyNumberFormat="1"/>
    <xf numFmtId="165" fontId="4" fillId="0" borderId="10" xfId="4" applyFont="1" applyBorder="1"/>
    <xf numFmtId="8" fontId="4" fillId="0" borderId="10" xfId="4" applyNumberFormat="1" applyFont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77" fontId="1" fillId="0" borderId="0" xfId="4" applyNumberFormat="1"/>
    <xf numFmtId="177" fontId="4" fillId="0" borderId="0" xfId="0" applyNumberFormat="1" applyFont="1"/>
    <xf numFmtId="177" fontId="4" fillId="0" borderId="0" xfId="0" applyNumberFormat="1" applyFont="1" applyAlignment="1">
      <alignment horizontal="center"/>
    </xf>
    <xf numFmtId="8" fontId="4" fillId="0" borderId="0" xfId="4" applyNumberFormat="1" applyFont="1" applyAlignment="1">
      <alignment horizontal="center"/>
    </xf>
    <xf numFmtId="8" fontId="4" fillId="0" borderId="11" xfId="4" applyNumberFormat="1" applyFont="1" applyBorder="1" applyAlignment="1">
      <alignment horizontal="center"/>
    </xf>
    <xf numFmtId="165" fontId="3" fillId="0" borderId="3" xfId="4" applyFont="1" applyBorder="1" applyAlignment="1">
      <alignment horizontal="center"/>
    </xf>
    <xf numFmtId="8" fontId="4" fillId="0" borderId="9" xfId="4" applyNumberFormat="1" applyFont="1" applyBorder="1" applyAlignment="1">
      <alignment horizontal="center"/>
    </xf>
    <xf numFmtId="165" fontId="4" fillId="0" borderId="11" xfId="4" applyFont="1" applyBorder="1"/>
    <xf numFmtId="168" fontId="1" fillId="0" borderId="0" xfId="4" applyNumberFormat="1"/>
    <xf numFmtId="165" fontId="3" fillId="0" borderId="12" xfId="4" quotePrefix="1" applyFont="1" applyBorder="1" applyAlignment="1">
      <alignment horizontal="center" wrapText="1"/>
    </xf>
    <xf numFmtId="165" fontId="3" fillId="0" borderId="5" xfId="0" applyFont="1" applyBorder="1" applyAlignment="1">
      <alignment horizontal="center" wrapText="1"/>
    </xf>
    <xf numFmtId="165" fontId="1" fillId="6" borderId="0" xfId="4" applyFill="1" applyAlignment="1">
      <alignment horizontal="right" wrapText="1"/>
    </xf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 xr:uid="{00000000-0005-0000-0000-000001000000}"/>
    <cellStyle name="Currency 2" xfId="8" xr:uid="{00000000-0005-0000-0000-000002000000}"/>
    <cellStyle name="Currency No Comma" xfId="9" xr:uid="{00000000-0005-0000-0000-000003000000}"/>
    <cellStyle name="Input" xfId="1" builtinId="20" customBuiltin="1"/>
    <cellStyle name="MCP" xfId="10" xr:uid="{00000000-0005-0000-0000-000005000000}"/>
    <cellStyle name="noninput" xfId="11" xr:uid="{00000000-0005-0000-0000-000006000000}"/>
    <cellStyle name="Normal" xfId="0" builtinId="0" customBuiltin="1"/>
    <cellStyle name="Normal 2" xfId="4" xr:uid="{00000000-0005-0000-0000-000008000000}"/>
    <cellStyle name="Normal 2 2" xfId="6" xr:uid="{00000000-0005-0000-0000-000009000000}"/>
    <cellStyle name="Normal 3" xfId="12" xr:uid="{00000000-0005-0000-0000-00000A000000}"/>
    <cellStyle name="Normal 5" xfId="5" xr:uid="{00000000-0005-0000-0000-00000B000000}"/>
    <cellStyle name="Normal_T-INF-10-15-04-TEMPLATE" xfId="2" xr:uid="{00000000-0005-0000-0000-00000C000000}"/>
    <cellStyle name="Normal_UT 2008.Q2 - Compliance - Appendix B - AC Study_2008 08 05" xfId="18" xr:uid="{00000000-0005-0000-0000-00000D000000}"/>
    <cellStyle name="Password" xfId="13" xr:uid="{00000000-0005-0000-0000-00000E000000}"/>
    <cellStyle name="Percent" xfId="3" builtinId="5"/>
    <cellStyle name="Unprot" xfId="14" xr:uid="{00000000-0005-0000-0000-000010000000}"/>
    <cellStyle name="Unprot$" xfId="15" xr:uid="{00000000-0005-0000-0000-000011000000}"/>
    <cellStyle name="Unprotect" xfId="16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C2:J30"/>
  <sheetViews>
    <sheetView zoomScale="80" zoomScaleNormal="80" workbookViewId="0">
      <selection activeCell="C7" sqref="C7"/>
    </sheetView>
  </sheetViews>
  <sheetFormatPr defaultColWidth="9.140625" defaultRowHeight="12.75" x14ac:dyDescent="0.2"/>
  <cols>
    <col min="1" max="1" width="9.140625" style="55"/>
    <col min="2" max="2" width="12.28515625" style="55" customWidth="1"/>
    <col min="3" max="3" width="22" style="55" customWidth="1"/>
    <col min="4" max="4" width="9.140625" style="55"/>
    <col min="5" max="5" width="11.28515625" style="55" customWidth="1"/>
    <col min="6" max="16384" width="9.140625" style="55"/>
  </cols>
  <sheetData>
    <row r="2" spans="3:10" x14ac:dyDescent="0.2">
      <c r="C2" s="53" t="str">
        <f>LEFT(Incremental!$B$30,50)</f>
        <v xml:space="preserve">Nominal Levelized Payment at 6.770% Discount Rate </v>
      </c>
      <c r="D2" s="54"/>
      <c r="E2" s="54"/>
      <c r="F2" s="54"/>
      <c r="G2" s="54"/>
      <c r="H2" s="54"/>
      <c r="I2" s="54"/>
      <c r="J2" s="54"/>
    </row>
    <row r="3" spans="3:10" ht="15.75" customHeight="1" x14ac:dyDescent="0.2">
      <c r="C3" s="54"/>
      <c r="D3" s="53" t="str">
        <f>Incremental!B31</f>
        <v>2024 - 2038</v>
      </c>
      <c r="E3" s="53"/>
      <c r="F3" s="84" t="str">
        <f>Incremental!B32</f>
        <v>2025 - 2039</v>
      </c>
      <c r="G3" s="84"/>
      <c r="H3" s="56" t="str">
        <f>Incremental!B33</f>
        <v>2026 - 2040</v>
      </c>
      <c r="I3" s="57"/>
      <c r="J3" s="54"/>
    </row>
    <row r="4" spans="3:10" x14ac:dyDescent="0.2">
      <c r="C4" s="58" t="s">
        <v>22</v>
      </c>
      <c r="D4" s="59">
        <f>Total!$C$31</f>
        <v>36.29</v>
      </c>
      <c r="E4" s="59"/>
      <c r="F4" s="59">
        <f>Total!$C$32</f>
        <v>35.79</v>
      </c>
      <c r="G4" s="59"/>
      <c r="H4" s="59">
        <f>Total!$C$33</f>
        <v>37.369999999999997</v>
      </c>
      <c r="I4" s="59"/>
      <c r="J4" s="54"/>
    </row>
    <row r="5" spans="3:10" x14ac:dyDescent="0.2">
      <c r="C5" s="60" t="str">
        <f>Incremental!C7</f>
        <v>OFPC</v>
      </c>
      <c r="D5" s="59"/>
      <c r="E5" s="59" t="str">
        <f>TEXT(Incremental!$C$31,"$0.00")</f>
        <v>$2.18</v>
      </c>
      <c r="F5" s="59"/>
      <c r="G5" s="59" t="str">
        <f>TEXT(Incremental!$C$32,"$0.00")</f>
        <v>$2.09</v>
      </c>
      <c r="H5" s="59"/>
      <c r="I5" s="59" t="str">
        <f>TEXT(Incremental!$C$33,"$0.00")</f>
        <v>$1.38</v>
      </c>
      <c r="J5" s="54"/>
    </row>
    <row r="6" spans="3:10" x14ac:dyDescent="0.2">
      <c r="C6" s="60" t="str">
        <f>Incremental!D7</f>
        <v>Queue</v>
      </c>
      <c r="D6" s="59"/>
      <c r="E6" s="59" t="str">
        <f>TEXT(Incremental!$D$31,"$0.00")</f>
        <v>-$0.74</v>
      </c>
      <c r="F6" s="59"/>
      <c r="G6" s="59" t="str">
        <f>TEXT(Incremental!$D$32,"$0.00")</f>
        <v>-$0.74</v>
      </c>
      <c r="H6" s="59"/>
      <c r="I6" s="59" t="str">
        <f>TEXT(Incremental!$D$33,"$0.00")</f>
        <v>$0.01</v>
      </c>
      <c r="J6" s="54"/>
    </row>
    <row r="7" spans="3:10" ht="25.5" x14ac:dyDescent="0.2">
      <c r="C7" s="83" t="str">
        <f>Incremental!E7</f>
        <v>Correction to Colstrip Trans area</v>
      </c>
      <c r="D7" s="59"/>
      <c r="E7" s="59" t="str">
        <f>TEXT(Incremental!$E$31,"$0.00")</f>
        <v>-$0.35</v>
      </c>
      <c r="F7" s="59"/>
      <c r="G7" s="59" t="str">
        <f>TEXT(Incremental!$E$32,"$0.00")</f>
        <v>-$0.19</v>
      </c>
      <c r="H7" s="59"/>
      <c r="I7" s="59" t="str">
        <f>TEXT(Incremental!$E$33,"$0.00")</f>
        <v>-$0.18</v>
      </c>
      <c r="J7" s="54"/>
    </row>
    <row r="8" spans="3:10" x14ac:dyDescent="0.2">
      <c r="C8" s="54" t="s">
        <v>25</v>
      </c>
      <c r="D8" s="59">
        <f>Total!F31</f>
        <v>37.380000000000003</v>
      </c>
      <c r="E8" s="59"/>
      <c r="F8" s="59">
        <f>Total!F32</f>
        <v>36.950000000000003</v>
      </c>
      <c r="G8" s="59"/>
      <c r="H8" s="59">
        <f>Total!F33</f>
        <v>38.58</v>
      </c>
      <c r="I8" s="59"/>
      <c r="J8" s="54"/>
    </row>
    <row r="9" spans="3:10" x14ac:dyDescent="0.2">
      <c r="C9" s="54"/>
      <c r="D9" s="61"/>
      <c r="E9" s="61"/>
      <c r="F9" s="54"/>
      <c r="G9" s="54"/>
      <c r="H9" s="54"/>
      <c r="I9" s="54"/>
      <c r="J9" s="54"/>
    </row>
    <row r="10" spans="3:10" x14ac:dyDescent="0.2">
      <c r="C10" s="54"/>
      <c r="D10" s="61"/>
      <c r="E10" s="61"/>
      <c r="F10" s="54"/>
      <c r="G10" s="54"/>
      <c r="H10" s="54"/>
      <c r="I10" s="54"/>
      <c r="J10" s="54"/>
    </row>
    <row r="11" spans="3:10" x14ac:dyDescent="0.2">
      <c r="D11" s="72"/>
    </row>
    <row r="12" spans="3:10" x14ac:dyDescent="0.2">
      <c r="D12" s="80"/>
    </row>
    <row r="22" spans="3:10" x14ac:dyDescent="0.2">
      <c r="C22" s="62"/>
      <c r="D22" s="63"/>
      <c r="E22" s="63"/>
      <c r="F22" s="63"/>
      <c r="G22" s="63"/>
      <c r="H22" s="63"/>
      <c r="I22" s="63"/>
      <c r="J22" s="63"/>
    </row>
    <row r="23" spans="3:10" x14ac:dyDescent="0.2">
      <c r="C23"/>
      <c r="D23"/>
      <c r="E23"/>
      <c r="F23"/>
      <c r="G23"/>
      <c r="H23"/>
      <c r="I23"/>
      <c r="J23"/>
    </row>
    <row r="24" spans="3:10" x14ac:dyDescent="0.2">
      <c r="C24" s="64"/>
      <c r="D24"/>
      <c r="E24" s="65"/>
      <c r="F24" s="66"/>
      <c r="G24" s="66"/>
      <c r="H24"/>
      <c r="I24"/>
      <c r="J24"/>
    </row>
    <row r="25" spans="3:10" x14ac:dyDescent="0.2">
      <c r="C25"/>
      <c r="D25"/>
      <c r="E25" s="65"/>
      <c r="F25" s="65"/>
      <c r="G25" s="65"/>
      <c r="H25" s="67"/>
      <c r="I25" s="67"/>
      <c r="J25" s="67"/>
    </row>
    <row r="26" spans="3:10" x14ac:dyDescent="0.2">
      <c r="C26"/>
      <c r="D26"/>
      <c r="E26" s="65"/>
      <c r="F26" s="65"/>
      <c r="G26" s="65"/>
      <c r="H26" s="67"/>
      <c r="I26" s="67"/>
      <c r="J26" s="67"/>
    </row>
    <row r="27" spans="3:10" x14ac:dyDescent="0.2">
      <c r="C27"/>
      <c r="D27"/>
      <c r="E27" s="65"/>
      <c r="F27" s="65"/>
      <c r="G27" s="65"/>
      <c r="H27" s="67"/>
      <c r="I27" s="67"/>
      <c r="J27" s="67"/>
    </row>
    <row r="28" spans="3:10" x14ac:dyDescent="0.2">
      <c r="C28"/>
      <c r="D28"/>
      <c r="E28" s="65"/>
      <c r="F28" s="65"/>
      <c r="G28" s="65"/>
      <c r="H28" s="67"/>
      <c r="I28" s="67"/>
      <c r="J28" s="67"/>
    </row>
    <row r="29" spans="3:10" x14ac:dyDescent="0.2">
      <c r="C29"/>
      <c r="D29"/>
      <c r="E29" s="65"/>
      <c r="F29" s="65"/>
      <c r="G29" s="65"/>
      <c r="H29" s="67"/>
      <c r="I29" s="67"/>
      <c r="J29" s="67"/>
    </row>
    <row r="30" spans="3:10" x14ac:dyDescent="0.2">
      <c r="C30"/>
      <c r="D30"/>
      <c r="E30" s="65"/>
      <c r="F30" s="65"/>
      <c r="G30" s="65"/>
      <c r="H30" s="67"/>
      <c r="I30" s="67"/>
      <c r="J30" s="67"/>
    </row>
  </sheetData>
  <mergeCells count="1">
    <mergeCell ref="F3:G3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42"/>
    <pageSetUpPr fitToPage="1"/>
  </sheetPr>
  <dimension ref="B1:I42"/>
  <sheetViews>
    <sheetView showGridLines="0" view="pageBreakPreview" zoomScale="60" zoomScaleNormal="60" workbookViewId="0">
      <selection activeCell="G24" sqref="G24"/>
    </sheetView>
  </sheetViews>
  <sheetFormatPr defaultColWidth="9.140625" defaultRowHeight="15" x14ac:dyDescent="0.2"/>
  <cols>
    <col min="1" max="1" width="1.85546875" style="1" customWidth="1"/>
    <col min="2" max="4" width="17" style="1" customWidth="1"/>
    <col min="5" max="5" width="20.5703125" style="1" customWidth="1"/>
    <col min="6" max="6" width="15.5703125" style="1" customWidth="1"/>
    <col min="7" max="7" width="21.85546875" style="1" customWidth="1"/>
    <col min="8" max="8" width="11" style="1" customWidth="1"/>
    <col min="9" max="9" width="10.85546875" style="1" bestFit="1" customWidth="1"/>
    <col min="10" max="16384" width="9.140625" style="1"/>
  </cols>
  <sheetData>
    <row r="1" spans="2:9" ht="15.75" x14ac:dyDescent="0.25">
      <c r="B1" s="5" t="str">
        <f>Total!B1</f>
        <v>Appendix C</v>
      </c>
      <c r="C1" s="5"/>
      <c r="D1" s="5"/>
      <c r="E1" s="5"/>
      <c r="F1" s="5"/>
    </row>
    <row r="2" spans="2:9" ht="8.25" customHeight="1" x14ac:dyDescent="0.25">
      <c r="B2" s="5"/>
      <c r="C2" s="5"/>
      <c r="D2" s="5"/>
      <c r="E2" s="5"/>
      <c r="F2" s="5"/>
    </row>
    <row r="3" spans="2:9" ht="15.75" x14ac:dyDescent="0.25">
      <c r="B3" s="5" t="str">
        <f>Total!B3</f>
        <v>Utah Quarterly Compliance Filing</v>
      </c>
      <c r="C3" s="5"/>
      <c r="D3" s="5"/>
      <c r="E3" s="5"/>
      <c r="F3" s="5"/>
    </row>
    <row r="4" spans="2:9" ht="15.75" x14ac:dyDescent="0.25">
      <c r="B4" s="5" t="str">
        <f>Capacity!$B$4</f>
        <v>Step Study between 2023.Q3 and 2023.Q2 Compliance Filing</v>
      </c>
      <c r="C4" s="5"/>
      <c r="D4" s="5"/>
      <c r="E4" s="5"/>
      <c r="F4" s="5"/>
    </row>
    <row r="5" spans="2:9" ht="15.75" x14ac:dyDescent="0.25">
      <c r="B5" s="5" t="s">
        <v>14</v>
      </c>
      <c r="C5" s="5"/>
      <c r="D5" s="5"/>
      <c r="E5" s="5"/>
      <c r="F5" s="5"/>
    </row>
    <row r="6" spans="2:9" x14ac:dyDescent="0.2">
      <c r="E6" s="8"/>
      <c r="F6" s="8"/>
    </row>
    <row r="7" spans="2:9" ht="51.75" customHeight="1" x14ac:dyDescent="0.25">
      <c r="B7" s="11"/>
      <c r="C7" s="10" t="str">
        <f>Energy!D7</f>
        <v>OFPC</v>
      </c>
      <c r="D7" s="10" t="str">
        <f>Energy!E7</f>
        <v>Queue</v>
      </c>
      <c r="E7" s="82" t="str">
        <f>Energy!F7</f>
        <v>Correction to Colstrip Trans area</v>
      </c>
      <c r="F7" s="10" t="s">
        <v>4</v>
      </c>
    </row>
    <row r="8" spans="2:9" ht="15.75" x14ac:dyDescent="0.25">
      <c r="B8" s="6" t="s">
        <v>0</v>
      </c>
      <c r="C8" s="50" t="s">
        <v>16</v>
      </c>
      <c r="D8" s="50"/>
      <c r="E8" s="50"/>
      <c r="F8" s="2" t="s">
        <v>12</v>
      </c>
    </row>
    <row r="9" spans="2:9" ht="4.7" customHeight="1" x14ac:dyDescent="0.2"/>
    <row r="10" spans="2:9" ht="15.75" hidden="1" x14ac:dyDescent="0.25">
      <c r="B10" s="3">
        <f>Total!B10</f>
        <v>0</v>
      </c>
      <c r="C10" s="3"/>
      <c r="D10" s="3"/>
      <c r="E10" s="42" t="e">
        <f>ROUND(Total!F10-Total!#REF!,3)</f>
        <v>#REF!</v>
      </c>
      <c r="F10" s="42" t="e">
        <f>SUM(E10:E10)</f>
        <v>#REF!</v>
      </c>
      <c r="G10" s="41"/>
      <c r="H10" s="49"/>
      <c r="I10" s="13"/>
    </row>
    <row r="11" spans="2:9" ht="15.75" x14ac:dyDescent="0.25">
      <c r="B11" s="3">
        <f>Total!B11</f>
        <v>2024</v>
      </c>
      <c r="C11" s="42">
        <f>ROUND(Total!D11-Total!C11,3)</f>
        <v>2.395</v>
      </c>
      <c r="D11" s="42">
        <f>ROUND(Total!E11-Total!D11,3)</f>
        <v>-0.4</v>
      </c>
      <c r="E11" s="42">
        <f>ROUND(Total!F11-Total!E11,3)</f>
        <v>-1.7450000000000001</v>
      </c>
      <c r="F11" s="42">
        <f t="shared" ref="F11:F27" si="0">SUM(C11:E11)</f>
        <v>0.25</v>
      </c>
      <c r="G11" s="41"/>
      <c r="H11" s="49"/>
      <c r="I11" s="13"/>
    </row>
    <row r="12" spans="2:9" ht="15.75" x14ac:dyDescent="0.25">
      <c r="B12" s="3">
        <f t="shared" ref="B12:B28" si="1">B11+1</f>
        <v>2025</v>
      </c>
      <c r="C12" s="42">
        <f>ROUND(Total!D12-Total!C12,3)</f>
        <v>8.3510000000000009</v>
      </c>
      <c r="D12" s="42">
        <f>ROUND(Total!E12-Total!D12,3)</f>
        <v>-7.38</v>
      </c>
      <c r="E12" s="42">
        <f>ROUND(Total!F12-Total!E12,3)</f>
        <v>-0.16700000000000001</v>
      </c>
      <c r="F12" s="42">
        <f t="shared" si="0"/>
        <v>0.80400000000000094</v>
      </c>
      <c r="G12" s="41"/>
      <c r="H12" s="49"/>
      <c r="I12" s="13"/>
    </row>
    <row r="13" spans="2:9" ht="15.75" x14ac:dyDescent="0.25">
      <c r="B13" s="3">
        <f t="shared" si="1"/>
        <v>2026</v>
      </c>
      <c r="C13" s="42">
        <f>ROUND(Total!D13-Total!C13,3)</f>
        <v>1.042</v>
      </c>
      <c r="D13" s="42">
        <f>ROUND(Total!E13-Total!D13,3)</f>
        <v>0.33500000000000002</v>
      </c>
      <c r="E13" s="42">
        <f>ROUND(Total!F13-Total!E13,3)</f>
        <v>-0.30099999999999999</v>
      </c>
      <c r="F13" s="42">
        <f t="shared" si="0"/>
        <v>1.0760000000000001</v>
      </c>
      <c r="G13" s="41"/>
      <c r="H13" s="49"/>
      <c r="I13" s="13"/>
    </row>
    <row r="14" spans="2:9" ht="15.75" x14ac:dyDescent="0.25">
      <c r="B14" s="3">
        <f t="shared" si="1"/>
        <v>2027</v>
      </c>
      <c r="C14" s="42">
        <f>ROUND(Total!D14-Total!C14,3)</f>
        <v>1.1259999999999999</v>
      </c>
      <c r="D14" s="42">
        <f>ROUND(Total!E14-Total!D14,3)</f>
        <v>-0.106</v>
      </c>
      <c r="E14" s="42">
        <f>ROUND(Total!F14-Total!E14,3)</f>
        <v>-0.55500000000000005</v>
      </c>
      <c r="F14" s="42">
        <f t="shared" si="0"/>
        <v>0.46499999999999975</v>
      </c>
      <c r="G14" s="41"/>
      <c r="H14" s="49"/>
      <c r="I14" s="13"/>
    </row>
    <row r="15" spans="2:9" ht="15.75" x14ac:dyDescent="0.25">
      <c r="B15" s="3">
        <f t="shared" si="1"/>
        <v>2028</v>
      </c>
      <c r="C15" s="42">
        <f>ROUND(Total!D15-Total!C15,3)</f>
        <v>1.357</v>
      </c>
      <c r="D15" s="42">
        <f>ROUND(Total!E15-Total!D15,3)</f>
        <v>-9.5000000000000001E-2</v>
      </c>
      <c r="E15" s="42">
        <f>ROUND(Total!F15-Total!E15,3)</f>
        <v>-0.66200000000000003</v>
      </c>
      <c r="F15" s="42">
        <f t="shared" si="0"/>
        <v>0.6</v>
      </c>
      <c r="G15" s="41"/>
      <c r="H15" s="49"/>
      <c r="I15" s="13"/>
    </row>
    <row r="16" spans="2:9" ht="15.75" x14ac:dyDescent="0.25">
      <c r="B16" s="3">
        <f t="shared" si="1"/>
        <v>2029</v>
      </c>
      <c r="C16" s="42">
        <f>ROUND(Total!D16-Total!C16,3)</f>
        <v>2.84</v>
      </c>
      <c r="D16" s="42">
        <f>ROUND(Total!E16-Total!D16,3)</f>
        <v>-6.5000000000000002E-2</v>
      </c>
      <c r="E16" s="42">
        <f>ROUND(Total!F16-Total!E16,3)</f>
        <v>-0.45300000000000001</v>
      </c>
      <c r="F16" s="42">
        <f t="shared" si="0"/>
        <v>2.3220000000000001</v>
      </c>
      <c r="G16" s="41"/>
      <c r="H16" s="49"/>
      <c r="I16" s="13"/>
    </row>
    <row r="17" spans="2:9" ht="15.75" x14ac:dyDescent="0.25">
      <c r="B17" s="3">
        <f t="shared" si="1"/>
        <v>2030</v>
      </c>
      <c r="C17" s="42">
        <f>ROUND(Total!D17-Total!C17,3)</f>
        <v>3.198</v>
      </c>
      <c r="D17" s="42">
        <f>ROUND(Total!E17-Total!D17,3)</f>
        <v>-1.7000000000000001E-2</v>
      </c>
      <c r="E17" s="42">
        <f>ROUND(Total!F17-Total!E17,3)</f>
        <v>0</v>
      </c>
      <c r="F17" s="42">
        <f t="shared" si="0"/>
        <v>3.181</v>
      </c>
      <c r="G17" s="41"/>
      <c r="H17" s="49"/>
      <c r="I17" s="13"/>
    </row>
    <row r="18" spans="2:9" ht="15.75" x14ac:dyDescent="0.25">
      <c r="B18" s="3">
        <f t="shared" si="1"/>
        <v>2031</v>
      </c>
      <c r="C18" s="42">
        <f>ROUND(Total!D18-Total!C18,3)</f>
        <v>1.8660000000000001</v>
      </c>
      <c r="D18" s="42">
        <f>ROUND(Total!E18-Total!D18,3)</f>
        <v>8.0000000000000002E-3</v>
      </c>
      <c r="E18" s="42">
        <f>ROUND(Total!F18-Total!E18,3)</f>
        <v>0</v>
      </c>
      <c r="F18" s="42">
        <f t="shared" si="0"/>
        <v>1.8740000000000001</v>
      </c>
      <c r="G18" s="41"/>
      <c r="H18" s="49"/>
      <c r="I18" s="13"/>
    </row>
    <row r="19" spans="2:9" ht="15.75" x14ac:dyDescent="0.25">
      <c r="B19" s="3">
        <f t="shared" si="1"/>
        <v>2032</v>
      </c>
      <c r="C19" s="42">
        <f>ROUND(Total!D19-Total!C19,3)</f>
        <v>2.157</v>
      </c>
      <c r="D19" s="42">
        <f>ROUND(Total!E19-Total!D19,3)</f>
        <v>-5.5E-2</v>
      </c>
      <c r="E19" s="42">
        <f>ROUND(Total!F19-Total!E19,3)</f>
        <v>0</v>
      </c>
      <c r="F19" s="42">
        <f t="shared" si="0"/>
        <v>2.1019999999999999</v>
      </c>
      <c r="G19" s="41"/>
      <c r="H19" s="49"/>
      <c r="I19" s="13"/>
    </row>
    <row r="20" spans="2:9" ht="15.75" x14ac:dyDescent="0.25">
      <c r="B20" s="3">
        <f t="shared" si="1"/>
        <v>2033</v>
      </c>
      <c r="C20" s="42">
        <f>ROUND(Total!D20-Total!C20,3)</f>
        <v>0.92600000000000005</v>
      </c>
      <c r="D20" s="42">
        <f>ROUND(Total!E20-Total!D20,3)</f>
        <v>-5.2999999999999999E-2</v>
      </c>
      <c r="E20" s="42">
        <f>ROUND(Total!F20-Total!E20,3)</f>
        <v>0</v>
      </c>
      <c r="F20" s="42">
        <f t="shared" si="0"/>
        <v>0.873</v>
      </c>
      <c r="G20" s="41"/>
      <c r="H20" s="49"/>
      <c r="I20" s="13"/>
    </row>
    <row r="21" spans="2:9" ht="15.75" x14ac:dyDescent="0.25">
      <c r="B21" s="3">
        <f t="shared" si="1"/>
        <v>2034</v>
      </c>
      <c r="C21" s="42">
        <f>ROUND(Total!D21-Total!C21,3)</f>
        <v>1.8029999999999999</v>
      </c>
      <c r="D21" s="42">
        <f>ROUND(Total!E21-Total!D21,3)</f>
        <v>-2.7E-2</v>
      </c>
      <c r="E21" s="42">
        <f>ROUND(Total!F21-Total!E21,3)</f>
        <v>0</v>
      </c>
      <c r="F21" s="42">
        <f t="shared" si="0"/>
        <v>1.776</v>
      </c>
      <c r="G21" s="41"/>
      <c r="H21" s="49"/>
      <c r="I21" s="13"/>
    </row>
    <row r="22" spans="2:9" ht="15.75" x14ac:dyDescent="0.25">
      <c r="B22" s="3">
        <f t="shared" si="1"/>
        <v>2035</v>
      </c>
      <c r="C22" s="42">
        <f>ROUND(Total!D22-Total!C22,3)</f>
        <v>0.89900000000000002</v>
      </c>
      <c r="D22" s="42">
        <f>ROUND(Total!E22-Total!D22,3)</f>
        <v>-2.4E-2</v>
      </c>
      <c r="E22" s="42">
        <f>ROUND(Total!F22-Total!E22,3)</f>
        <v>0</v>
      </c>
      <c r="F22" s="42">
        <f t="shared" si="0"/>
        <v>0.875</v>
      </c>
      <c r="G22" s="41"/>
      <c r="H22" s="49"/>
      <c r="I22" s="13"/>
    </row>
    <row r="23" spans="2:9" ht="15.75" x14ac:dyDescent="0.25">
      <c r="B23" s="3">
        <f t="shared" si="1"/>
        <v>2036</v>
      </c>
      <c r="C23" s="42">
        <f>ROUND(Total!D23-Total!C23,3)</f>
        <v>-5.6000000000000001E-2</v>
      </c>
      <c r="D23" s="42">
        <f>ROUND(Total!E23-Total!D23,3)</f>
        <v>-1.2E-2</v>
      </c>
      <c r="E23" s="42">
        <f>ROUND(Total!F23-Total!E23,3)</f>
        <v>0</v>
      </c>
      <c r="F23" s="42">
        <f t="shared" si="0"/>
        <v>-6.8000000000000005E-2</v>
      </c>
      <c r="G23" s="41"/>
      <c r="H23" s="49"/>
      <c r="I23" s="13"/>
    </row>
    <row r="24" spans="2:9" ht="15.75" x14ac:dyDescent="0.25">
      <c r="B24" s="3">
        <f t="shared" si="1"/>
        <v>2037</v>
      </c>
      <c r="C24" s="42">
        <f>ROUND(Total!D24-Total!C24,3)</f>
        <v>0.121</v>
      </c>
      <c r="D24" s="42">
        <f>ROUND(Total!E24-Total!D24,3)</f>
        <v>6.4000000000000001E-2</v>
      </c>
      <c r="E24" s="42">
        <f>ROUND(Total!F24-Total!E24,3)</f>
        <v>0</v>
      </c>
      <c r="F24" s="42">
        <f t="shared" si="0"/>
        <v>0.185</v>
      </c>
      <c r="G24" s="41"/>
      <c r="H24" s="49"/>
      <c r="I24" s="13"/>
    </row>
    <row r="25" spans="2:9" ht="15.75" x14ac:dyDescent="0.25">
      <c r="B25" s="3">
        <f t="shared" si="1"/>
        <v>2038</v>
      </c>
      <c r="C25" s="42">
        <f>ROUND(Total!D25-Total!C25,3)</f>
        <v>-0.57699999999999996</v>
      </c>
      <c r="D25" s="42">
        <f>ROUND(Total!E25-Total!D25,3)</f>
        <v>2.7E-2</v>
      </c>
      <c r="E25" s="42">
        <f>ROUND(Total!F25-Total!E25,3)</f>
        <v>0</v>
      </c>
      <c r="F25" s="42">
        <f t="shared" si="0"/>
        <v>-0.54999999999999993</v>
      </c>
      <c r="G25" s="41"/>
      <c r="H25" s="49"/>
      <c r="I25" s="13"/>
    </row>
    <row r="26" spans="2:9" ht="15.75" x14ac:dyDescent="0.25">
      <c r="B26" s="3">
        <f t="shared" si="1"/>
        <v>2039</v>
      </c>
      <c r="C26" s="42">
        <f>ROUND(Total!D26-Total!C26,3)</f>
        <v>0.57099999999999995</v>
      </c>
      <c r="D26" s="42">
        <f>ROUND(Total!E26-Total!D26,3)</f>
        <v>0.104</v>
      </c>
      <c r="E26" s="42">
        <f>ROUND(Total!F26-Total!E26,3)</f>
        <v>0</v>
      </c>
      <c r="F26" s="42">
        <f t="shared" si="0"/>
        <v>0.67499999999999993</v>
      </c>
      <c r="G26" s="41"/>
      <c r="H26" s="49"/>
      <c r="I26" s="13"/>
    </row>
    <row r="27" spans="2:9" ht="15.75" x14ac:dyDescent="0.25">
      <c r="B27" s="3">
        <f t="shared" si="1"/>
        <v>2040</v>
      </c>
      <c r="C27" s="42">
        <f>ROUND(Total!D27-Total!C27,3)</f>
        <v>1.492</v>
      </c>
      <c r="D27" s="42">
        <f>ROUND(Total!E27-Total!D27,3)</f>
        <v>1.7000000000000001E-2</v>
      </c>
      <c r="E27" s="42">
        <f>ROUND(Total!F27-Total!E27,3)</f>
        <v>0</v>
      </c>
      <c r="F27" s="42">
        <f t="shared" si="0"/>
        <v>1.5089999999999999</v>
      </c>
      <c r="G27" s="41"/>
      <c r="H27" s="49"/>
      <c r="I27" s="13"/>
    </row>
    <row r="28" spans="2:9" ht="15.75" x14ac:dyDescent="0.25">
      <c r="B28" s="3">
        <f t="shared" si="1"/>
        <v>2041</v>
      </c>
      <c r="C28" s="42">
        <f>ROUND(Total!D28-Total!C28,3)</f>
        <v>3.008</v>
      </c>
      <c r="D28" s="42">
        <f>ROUND(Total!E28-Total!D28,3)</f>
        <v>-0.42599999999999999</v>
      </c>
      <c r="E28" s="42">
        <f>ROUND(Total!F28-Total!E28,3)</f>
        <v>0</v>
      </c>
      <c r="F28" s="42">
        <f t="shared" ref="F28" si="2">SUM(C28:E28)</f>
        <v>2.5819999999999999</v>
      </c>
      <c r="G28" s="41"/>
      <c r="H28" s="49"/>
      <c r="I28" s="13"/>
    </row>
    <row r="29" spans="2:9" x14ac:dyDescent="0.2">
      <c r="C29" s="36"/>
      <c r="D29" s="36"/>
      <c r="E29" s="36"/>
      <c r="F29" s="36"/>
      <c r="G29" s="41"/>
    </row>
    <row r="30" spans="2:9" x14ac:dyDescent="0.2">
      <c r="B30" s="1" t="str">
        <f>Total!B30</f>
        <v>Nominal Levelized Payment at 6.770% Discount Rate (3)</v>
      </c>
      <c r="C30" s="42"/>
      <c r="D30" s="42"/>
      <c r="E30" s="42"/>
      <c r="F30" s="42"/>
      <c r="G30" s="41"/>
      <c r="H30" s="1" t="s">
        <v>15</v>
      </c>
    </row>
    <row r="31" spans="2:9" x14ac:dyDescent="0.2">
      <c r="B31" s="7" t="str">
        <f>B11&amp;" - "&amp;B25</f>
        <v>2024 - 2038</v>
      </c>
      <c r="C31" s="43">
        <f>ROUND(Total!D31-Total!C31,3)</f>
        <v>2.1800000000000002</v>
      </c>
      <c r="D31" s="43">
        <f>ROUND(Total!E31-Total!D31,3)</f>
        <v>-0.74</v>
      </c>
      <c r="E31" s="43">
        <f>ROUND(Total!F31-Total!E31,3)</f>
        <v>-0.35</v>
      </c>
      <c r="F31" s="43">
        <f>SUM(C31:E31)</f>
        <v>1.0900000000000003</v>
      </c>
      <c r="G31" s="41"/>
      <c r="H31" s="47">
        <f>SUM(C31:E31)-F31</f>
        <v>0</v>
      </c>
    </row>
    <row r="32" spans="2:9" x14ac:dyDescent="0.2">
      <c r="B32" s="7" t="str">
        <f>B12&amp;" - "&amp;B26</f>
        <v>2025 - 2039</v>
      </c>
      <c r="C32" s="43">
        <f>ROUND(Total!D32-Total!C32,3)</f>
        <v>2.09</v>
      </c>
      <c r="D32" s="43">
        <f>ROUND(Total!E32-Total!D32,3)</f>
        <v>-0.74</v>
      </c>
      <c r="E32" s="43">
        <f>ROUND(Total!F32-Total!E32,3)</f>
        <v>-0.19</v>
      </c>
      <c r="F32" s="43">
        <f>SUM(C32:E32)</f>
        <v>1.1599999999999999</v>
      </c>
      <c r="G32" s="41"/>
      <c r="H32" s="47">
        <f>SUM(C32:E32)-F32</f>
        <v>0</v>
      </c>
    </row>
    <row r="33" spans="2:8" x14ac:dyDescent="0.2">
      <c r="B33" s="7" t="str">
        <f>B13&amp;" - "&amp;B27</f>
        <v>2026 - 2040</v>
      </c>
      <c r="C33" s="43">
        <f>ROUND(Total!D33-Total!C33,3)</f>
        <v>1.38</v>
      </c>
      <c r="D33" s="43">
        <f>ROUND(Total!E33-Total!D33,3)</f>
        <v>0.01</v>
      </c>
      <c r="E33" s="43">
        <f>ROUND(Total!F33-Total!E33,3)</f>
        <v>-0.18</v>
      </c>
      <c r="F33" s="43">
        <f>SUM(C33:E33)</f>
        <v>1.21</v>
      </c>
      <c r="G33" s="41"/>
      <c r="H33" s="47">
        <f>SUM(C33:E33)-F33</f>
        <v>0</v>
      </c>
    </row>
    <row r="34" spans="2:8" x14ac:dyDescent="0.2">
      <c r="E34" s="36"/>
      <c r="F34" s="38"/>
    </row>
    <row r="35" spans="2:8" x14ac:dyDescent="0.2">
      <c r="B35" s="1" t="str">
        <f>Total!B35</f>
        <v>(1)   Studies are sequential.  The order of the studies would affect the price impact.</v>
      </c>
      <c r="E35" s="36"/>
      <c r="F35" s="36"/>
    </row>
    <row r="36" spans="2:8" x14ac:dyDescent="0.2">
      <c r="B36" s="1" t="str">
        <f>Total!B36</f>
        <v>(2)   Official Forward Price Curve Dated September 2023</v>
      </c>
    </row>
    <row r="37" spans="2:8" x14ac:dyDescent="0.2">
      <c r="B37" s="1" t="str">
        <f>Total!B37</f>
        <v>(3)   Discount Rate - 2023 IRP - Calculated Annually</v>
      </c>
      <c r="E37" s="7"/>
    </row>
    <row r="38" spans="2:8" x14ac:dyDescent="0.2">
      <c r="B38" s="1" t="str">
        <f>Total!B38</f>
        <v>(4)   Capacity costs are allocated based on assumed 100% capacity factor.</v>
      </c>
    </row>
    <row r="39" spans="2:8" x14ac:dyDescent="0.2">
      <c r="B39" s="1" t="str">
        <f>Total!B39</f>
        <v>(5)   Avoided Capacity costs are bsed on Partial Displacement of non-emitting  Peaker in 2030 from</v>
      </c>
    </row>
    <row r="40" spans="2:8" x14ac:dyDescent="0.2">
      <c r="B40" s="1" t="str">
        <f>Total!B40</f>
        <v xml:space="preserve">       2023 IRP Preferred Portfolio.</v>
      </c>
    </row>
    <row r="41" spans="2:8" hidden="1" x14ac:dyDescent="0.2">
      <c r="B41" s="1" t="s">
        <v>11</v>
      </c>
    </row>
    <row r="42" spans="2:8" hidden="1" x14ac:dyDescent="0.2">
      <c r="B42" s="29">
        <f>Discount_Rate</f>
        <v>6.7699999999999996E-2</v>
      </c>
      <c r="C42" s="29"/>
      <c r="D42" s="29"/>
    </row>
  </sheetData>
  <phoneticPr fontId="2" type="noConversion"/>
  <printOptions horizontalCentered="1"/>
  <pageMargins left="0.25" right="0.25" top="0.75" bottom="0.75" header="0.3" footer="0.2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42"/>
    <pageSetUpPr fitToPage="1"/>
  </sheetPr>
  <dimension ref="B1:O46"/>
  <sheetViews>
    <sheetView view="pageBreakPreview" zoomScale="70" zoomScaleNormal="70" zoomScaleSheetLayoutView="70" workbookViewId="0">
      <selection activeCell="G24" sqref="G24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5" width="17.7109375" style="1" customWidth="1"/>
    <col min="6" max="6" width="20.7109375" style="1" customWidth="1"/>
    <col min="7" max="7" width="26.5703125" style="1" customWidth="1"/>
    <col min="8" max="8" width="11.5703125" style="1" customWidth="1"/>
    <col min="9" max="9" width="16.42578125" style="1" customWidth="1"/>
    <col min="10" max="10" width="13.85546875" style="1" customWidth="1"/>
    <col min="11" max="13" width="9.140625" style="1"/>
    <col min="14" max="14" width="10.28515625" style="1" customWidth="1"/>
    <col min="15" max="16384" width="9.140625" style="1"/>
  </cols>
  <sheetData>
    <row r="1" spans="2:15" ht="15.75" x14ac:dyDescent="0.25">
      <c r="B1" s="5" t="s">
        <v>3</v>
      </c>
      <c r="C1" s="5"/>
      <c r="D1" s="5"/>
      <c r="E1" s="5"/>
      <c r="F1" s="5"/>
    </row>
    <row r="2" spans="2:15" ht="8.25" customHeight="1" x14ac:dyDescent="0.25">
      <c r="B2" s="5"/>
      <c r="C2" s="5"/>
      <c r="D2" s="5"/>
      <c r="E2" s="5"/>
      <c r="F2" s="5"/>
    </row>
    <row r="3" spans="2:15" ht="15.75" x14ac:dyDescent="0.25">
      <c r="B3" s="5" t="s">
        <v>1</v>
      </c>
      <c r="C3" s="5"/>
      <c r="D3" s="5"/>
      <c r="E3" s="5"/>
      <c r="F3" s="5"/>
    </row>
    <row r="4" spans="2:15" ht="15.75" x14ac:dyDescent="0.25">
      <c r="B4" s="5" t="str">
        <f>Capacity!$B$4</f>
        <v>Step Study between 2023.Q3 and 2023.Q2 Compliance Filing</v>
      </c>
      <c r="C4" s="5"/>
      <c r="D4" s="5"/>
      <c r="E4" s="5"/>
      <c r="F4" s="5"/>
    </row>
    <row r="5" spans="2:15" ht="15.75" x14ac:dyDescent="0.25">
      <c r="B5" s="5" t="s">
        <v>9</v>
      </c>
      <c r="C5" s="5"/>
      <c r="D5" s="5"/>
      <c r="E5" s="5"/>
      <c r="F5" s="5"/>
    </row>
    <row r="6" spans="2:15" ht="5.25" customHeight="1" x14ac:dyDescent="0.25">
      <c r="B6" s="5"/>
      <c r="C6" s="5"/>
      <c r="D6" s="5"/>
      <c r="E6" s="5"/>
      <c r="F6" s="12"/>
    </row>
    <row r="7" spans="2:15" ht="59.25" customHeight="1" x14ac:dyDescent="0.25">
      <c r="B7" s="11"/>
      <c r="C7" s="10" t="str">
        <f>Energy!C7</f>
        <v>2023.Q2</v>
      </c>
      <c r="D7" s="10" t="str">
        <f>Energy!D7</f>
        <v>OFPC</v>
      </c>
      <c r="E7" s="10" t="str">
        <f>Energy!E7</f>
        <v>Queue</v>
      </c>
      <c r="F7" s="82" t="str">
        <f>Energy!F7</f>
        <v>Correction to Colstrip Trans area</v>
      </c>
    </row>
    <row r="8" spans="2:15" ht="24.75" customHeight="1" x14ac:dyDescent="0.25">
      <c r="B8" s="6" t="s">
        <v>0</v>
      </c>
      <c r="C8" s="2" t="str">
        <f>Energy!C8</f>
        <v>As Filed</v>
      </c>
      <c r="D8" s="48" t="s">
        <v>16</v>
      </c>
      <c r="E8" s="48"/>
      <c r="F8" s="48" t="s">
        <v>20</v>
      </c>
    </row>
    <row r="10" spans="2:15" ht="5.25" customHeight="1" x14ac:dyDescent="0.25">
      <c r="B10" s="3"/>
      <c r="C10" s="45"/>
      <c r="D10" s="45"/>
      <c r="E10" s="45"/>
      <c r="F10" s="45"/>
      <c r="H10" s="33"/>
      <c r="I10" s="39"/>
      <c r="J10" s="33"/>
      <c r="K10" s="33"/>
      <c r="L10" s="33"/>
      <c r="M10" s="33"/>
      <c r="N10" s="33"/>
    </row>
    <row r="11" spans="2:15" ht="19.5" customHeight="1" x14ac:dyDescent="0.25">
      <c r="B11" s="3">
        <f>Energy!B11</f>
        <v>2024</v>
      </c>
      <c r="C11" s="45">
        <f>ROUND(Capacity!$H11+Energy!C11,3)</f>
        <v>48.39</v>
      </c>
      <c r="D11" s="45">
        <f>ROUND(Capacity!I11+Energy!D11,3)</f>
        <v>50.784999999999997</v>
      </c>
      <c r="E11" s="45">
        <f>ROUND(Capacity!J11+Energy!E11,3)</f>
        <v>50.384999999999998</v>
      </c>
      <c r="F11" s="45">
        <f>ROUND(Capacity!K11+Energy!F11,3)</f>
        <v>48.64</v>
      </c>
      <c r="G11" s="47"/>
      <c r="H11" s="47"/>
      <c r="I11" s="47"/>
      <c r="J11" s="47"/>
      <c r="K11" s="33"/>
      <c r="L11" s="33"/>
      <c r="M11" s="33"/>
      <c r="N11" s="33"/>
    </row>
    <row r="12" spans="2:15" ht="18" customHeight="1" x14ac:dyDescent="0.25">
      <c r="B12" s="3">
        <f t="shared" ref="B12:B28" si="0">B11+1</f>
        <v>2025</v>
      </c>
      <c r="C12" s="45">
        <f>ROUND(Capacity!$H12+Energy!C12,3)</f>
        <v>30.436</v>
      </c>
      <c r="D12" s="45">
        <f>ROUND(Capacity!I12+Energy!D12,3)</f>
        <v>38.786999999999999</v>
      </c>
      <c r="E12" s="45">
        <f>ROUND(Capacity!J12+Energy!E12,3)</f>
        <v>31.407</v>
      </c>
      <c r="F12" s="45">
        <f>ROUND(Capacity!K12+Energy!F12,3)</f>
        <v>31.24</v>
      </c>
      <c r="G12" s="47"/>
      <c r="H12" s="47"/>
      <c r="I12" s="47"/>
      <c r="J12" s="47"/>
      <c r="K12" s="33"/>
      <c r="L12" s="33"/>
      <c r="M12" s="33"/>
      <c r="N12" s="33"/>
    </row>
    <row r="13" spans="2:15" ht="15.75" x14ac:dyDescent="0.25">
      <c r="B13" s="3">
        <f t="shared" si="0"/>
        <v>2026</v>
      </c>
      <c r="C13" s="45">
        <f>ROUND(Capacity!$H13+Energy!C13,3)</f>
        <v>23.471</v>
      </c>
      <c r="D13" s="45">
        <f>ROUND(Capacity!I13+Energy!D13,3)</f>
        <v>24.513000000000002</v>
      </c>
      <c r="E13" s="45">
        <f>ROUND(Capacity!J13+Energy!E13,3)</f>
        <v>24.847999999999999</v>
      </c>
      <c r="F13" s="45">
        <f>ROUND(Capacity!K13+Energy!F13,3)</f>
        <v>24.547000000000001</v>
      </c>
      <c r="G13" s="47"/>
      <c r="H13" s="47"/>
      <c r="I13" s="47"/>
      <c r="J13" s="47"/>
      <c r="K13" s="33"/>
      <c r="L13" s="33"/>
      <c r="M13" s="33"/>
      <c r="N13" s="33"/>
      <c r="O13" s="4"/>
    </row>
    <row r="14" spans="2:15" ht="15.75" x14ac:dyDescent="0.25">
      <c r="B14" s="3">
        <f t="shared" si="0"/>
        <v>2027</v>
      </c>
      <c r="C14" s="45">
        <f>ROUND(Capacity!$H14+Energy!C14,3)</f>
        <v>28.039000000000001</v>
      </c>
      <c r="D14" s="45">
        <f>ROUND(Capacity!I14+Energy!D14,3)</f>
        <v>29.164999999999999</v>
      </c>
      <c r="E14" s="45">
        <f>ROUND(Capacity!J14+Energy!E14,3)</f>
        <v>29.059000000000001</v>
      </c>
      <c r="F14" s="45">
        <f>ROUND(Capacity!K14+Energy!F14,3)</f>
        <v>28.504000000000001</v>
      </c>
      <c r="G14" s="47"/>
      <c r="H14" s="47"/>
      <c r="I14" s="47"/>
      <c r="J14" s="47"/>
      <c r="K14" s="33"/>
      <c r="L14" s="33"/>
      <c r="M14" s="33"/>
      <c r="N14" s="33"/>
    </row>
    <row r="15" spans="2:15" ht="15.75" x14ac:dyDescent="0.25">
      <c r="B15" s="3">
        <f t="shared" si="0"/>
        <v>2028</v>
      </c>
      <c r="C15" s="45">
        <f>ROUND(Capacity!$H15+Energy!C15,3)</f>
        <v>26.062999999999999</v>
      </c>
      <c r="D15" s="45">
        <f>ROUND(Capacity!I15+Energy!D15,3)</f>
        <v>27.42</v>
      </c>
      <c r="E15" s="45">
        <f>ROUND(Capacity!J15+Energy!E15,3)</f>
        <v>27.324999999999999</v>
      </c>
      <c r="F15" s="45">
        <f>ROUND(Capacity!K15+Energy!F15,3)</f>
        <v>26.663</v>
      </c>
      <c r="G15" s="47"/>
      <c r="H15" s="47"/>
      <c r="I15" s="47"/>
      <c r="J15" s="47"/>
      <c r="K15" s="33"/>
      <c r="L15" s="33"/>
      <c r="M15" s="33"/>
      <c r="N15" s="33"/>
    </row>
    <row r="16" spans="2:15" ht="15.75" x14ac:dyDescent="0.25">
      <c r="B16" s="3">
        <f t="shared" si="0"/>
        <v>2029</v>
      </c>
      <c r="C16" s="45">
        <f>ROUND(Capacity!$H16+Energy!C16,3)</f>
        <v>21.390999999999998</v>
      </c>
      <c r="D16" s="45">
        <f>ROUND(Capacity!I16+Energy!D16,3)</f>
        <v>24.231000000000002</v>
      </c>
      <c r="E16" s="45">
        <f>ROUND(Capacity!J16+Energy!E16,3)</f>
        <v>24.166</v>
      </c>
      <c r="F16" s="45">
        <f>ROUND(Capacity!K16+Energy!F16,3)</f>
        <v>23.713000000000001</v>
      </c>
      <c r="G16" s="47"/>
      <c r="H16" s="47"/>
      <c r="I16" s="47"/>
      <c r="J16" s="47"/>
      <c r="K16" s="33"/>
      <c r="L16" s="33"/>
      <c r="M16" s="33"/>
      <c r="N16" s="33"/>
    </row>
    <row r="17" spans="2:14" ht="15.75" x14ac:dyDescent="0.25">
      <c r="B17" s="3">
        <f t="shared" si="0"/>
        <v>2030</v>
      </c>
      <c r="C17" s="45">
        <f>ROUND(Capacity!$H17+Energy!C17,3)</f>
        <v>42.787999999999997</v>
      </c>
      <c r="D17" s="45">
        <f>ROUND(Capacity!I17+Energy!D17,3)</f>
        <v>45.985999999999997</v>
      </c>
      <c r="E17" s="45">
        <f>ROUND(Capacity!J17+Energy!E17,3)</f>
        <v>45.969000000000001</v>
      </c>
      <c r="F17" s="45">
        <f>ROUND(Capacity!K17+Energy!F17,3)</f>
        <v>45.969000000000001</v>
      </c>
      <c r="G17" s="47"/>
      <c r="H17" s="47"/>
      <c r="I17" s="47"/>
      <c r="J17" s="47"/>
      <c r="K17" s="33"/>
      <c r="L17" s="33"/>
      <c r="M17" s="33"/>
      <c r="N17" s="33"/>
    </row>
    <row r="18" spans="2:14" ht="15.75" x14ac:dyDescent="0.25">
      <c r="B18" s="3">
        <f t="shared" si="0"/>
        <v>2031</v>
      </c>
      <c r="C18" s="45">
        <f>ROUND(Capacity!$H18+Energy!C18,3)</f>
        <v>49.091999999999999</v>
      </c>
      <c r="D18" s="45">
        <f>ROUND(Capacity!I18+Energy!D18,3)</f>
        <v>50.957999999999998</v>
      </c>
      <c r="E18" s="45">
        <f>ROUND(Capacity!J18+Energy!E18,3)</f>
        <v>50.966000000000001</v>
      </c>
      <c r="F18" s="45">
        <f>ROUND(Capacity!K18+Energy!F18,3)</f>
        <v>50.966000000000001</v>
      </c>
      <c r="G18" s="47"/>
      <c r="H18" s="47"/>
      <c r="I18" s="47"/>
      <c r="J18" s="47"/>
      <c r="K18" s="33"/>
      <c r="L18" s="33"/>
      <c r="M18" s="33"/>
      <c r="N18" s="33"/>
    </row>
    <row r="19" spans="2:14" ht="15.75" x14ac:dyDescent="0.25">
      <c r="B19" s="3">
        <f t="shared" si="0"/>
        <v>2032</v>
      </c>
      <c r="C19" s="45">
        <f>ROUND(Capacity!$H19+Energy!C19,3)</f>
        <v>29.184999999999999</v>
      </c>
      <c r="D19" s="45">
        <f>ROUND(Capacity!I19+Energy!D19,3)</f>
        <v>31.341999999999999</v>
      </c>
      <c r="E19" s="45">
        <f>ROUND(Capacity!J19+Energy!E19,3)</f>
        <v>31.286999999999999</v>
      </c>
      <c r="F19" s="45">
        <f>ROUND(Capacity!K19+Energy!F19,3)</f>
        <v>31.286999999999999</v>
      </c>
      <c r="G19" s="47"/>
      <c r="H19" s="47"/>
      <c r="I19" s="47"/>
      <c r="J19" s="47"/>
      <c r="K19" s="33"/>
      <c r="L19" s="33"/>
      <c r="M19" s="33"/>
      <c r="N19" s="33"/>
    </row>
    <row r="20" spans="2:14" ht="15.75" x14ac:dyDescent="0.25">
      <c r="B20" s="3">
        <f t="shared" si="0"/>
        <v>2033</v>
      </c>
      <c r="C20" s="45">
        <f>ROUND(Capacity!$H20+Energy!C20,3)</f>
        <v>35.029000000000003</v>
      </c>
      <c r="D20" s="45">
        <f>ROUND(Capacity!I20+Energy!D20,3)</f>
        <v>35.954999999999998</v>
      </c>
      <c r="E20" s="45">
        <f>ROUND(Capacity!J20+Energy!E20,3)</f>
        <v>35.902000000000001</v>
      </c>
      <c r="F20" s="45">
        <f>ROUND(Capacity!K20+Energy!F20,3)</f>
        <v>35.902000000000001</v>
      </c>
      <c r="G20" s="47"/>
      <c r="H20" s="47"/>
      <c r="I20" s="47"/>
      <c r="J20" s="47"/>
      <c r="K20" s="33"/>
      <c r="L20" s="33"/>
      <c r="M20" s="33"/>
      <c r="N20" s="33"/>
    </row>
    <row r="21" spans="2:14" ht="15.75" x14ac:dyDescent="0.25">
      <c r="B21" s="3">
        <f t="shared" si="0"/>
        <v>2034</v>
      </c>
      <c r="C21" s="45">
        <f>ROUND(Capacity!$H21+Energy!C21,3)</f>
        <v>34.838000000000001</v>
      </c>
      <c r="D21" s="45">
        <f>ROUND(Capacity!I21+Energy!D21,3)</f>
        <v>36.640999999999998</v>
      </c>
      <c r="E21" s="45">
        <f>ROUND(Capacity!J21+Energy!E21,3)</f>
        <v>36.613999999999997</v>
      </c>
      <c r="F21" s="45">
        <f>ROUND(Capacity!K21+Energy!F21,3)</f>
        <v>36.613999999999997</v>
      </c>
      <c r="G21" s="47"/>
      <c r="H21" s="47"/>
      <c r="I21" s="47"/>
      <c r="J21" s="47"/>
      <c r="K21" s="33"/>
      <c r="L21" s="33"/>
      <c r="M21" s="33"/>
      <c r="N21" s="33"/>
    </row>
    <row r="22" spans="2:14" ht="15.75" x14ac:dyDescent="0.25">
      <c r="B22" s="3">
        <f t="shared" si="0"/>
        <v>2035</v>
      </c>
      <c r="C22" s="45">
        <f>ROUND(Capacity!$H22+Energy!C22,3)</f>
        <v>44.384</v>
      </c>
      <c r="D22" s="45">
        <f>ROUND(Capacity!I22+Energy!D22,3)</f>
        <v>45.283000000000001</v>
      </c>
      <c r="E22" s="45">
        <f>ROUND(Capacity!J22+Energy!E22,3)</f>
        <v>45.259</v>
      </c>
      <c r="F22" s="45">
        <f>ROUND(Capacity!K22+Energy!F22,3)</f>
        <v>45.259</v>
      </c>
      <c r="G22" s="47"/>
      <c r="H22" s="47"/>
      <c r="I22" s="47"/>
      <c r="J22" s="47"/>
      <c r="K22" s="33"/>
      <c r="L22" s="33"/>
      <c r="M22" s="33"/>
      <c r="N22" s="33"/>
    </row>
    <row r="23" spans="2:14" ht="15.75" x14ac:dyDescent="0.25">
      <c r="B23" s="3">
        <f t="shared" si="0"/>
        <v>2036</v>
      </c>
      <c r="C23" s="45">
        <f>ROUND(Capacity!$H23+Energy!C23,3)</f>
        <v>48.710999999999999</v>
      </c>
      <c r="D23" s="45">
        <f>ROUND(Capacity!I23+Energy!D23,3)</f>
        <v>48.655000000000001</v>
      </c>
      <c r="E23" s="45">
        <f>ROUND(Capacity!J23+Energy!E23,3)</f>
        <v>48.643000000000001</v>
      </c>
      <c r="F23" s="45">
        <f>ROUND(Capacity!K23+Energy!F23,3)</f>
        <v>48.643000000000001</v>
      </c>
      <c r="G23" s="47"/>
      <c r="H23" s="47"/>
      <c r="I23" s="47"/>
      <c r="J23" s="47"/>
      <c r="K23" s="33"/>
      <c r="L23" s="33"/>
      <c r="M23" s="33"/>
      <c r="N23" s="33"/>
    </row>
    <row r="24" spans="2:14" ht="15.75" x14ac:dyDescent="0.25">
      <c r="B24" s="3">
        <f t="shared" si="0"/>
        <v>2037</v>
      </c>
      <c r="C24" s="45">
        <f>ROUND(Capacity!$H24+Energy!C24,3)</f>
        <v>51.491999999999997</v>
      </c>
      <c r="D24" s="45">
        <f>ROUND(Capacity!I24+Energy!D24,3)</f>
        <v>51.613</v>
      </c>
      <c r="E24" s="45">
        <f>ROUND(Capacity!J24+Energy!E24,3)</f>
        <v>51.677</v>
      </c>
      <c r="F24" s="45">
        <f>ROUND(Capacity!K24+Energy!F24,3)</f>
        <v>51.677</v>
      </c>
      <c r="G24" s="47"/>
      <c r="H24" s="47"/>
      <c r="I24" s="47"/>
      <c r="J24" s="47"/>
      <c r="K24" s="33"/>
      <c r="L24" s="33"/>
      <c r="M24" s="33"/>
      <c r="N24" s="33"/>
    </row>
    <row r="25" spans="2:14" ht="15.75" x14ac:dyDescent="0.25">
      <c r="B25" s="3">
        <f t="shared" si="0"/>
        <v>2038</v>
      </c>
      <c r="C25" s="45">
        <f>ROUND(Capacity!$H25+Energy!C25,3)</f>
        <v>54.203000000000003</v>
      </c>
      <c r="D25" s="45">
        <f>ROUND(Capacity!I25+Energy!D25,3)</f>
        <v>53.625999999999998</v>
      </c>
      <c r="E25" s="45">
        <f>ROUND(Capacity!J25+Energy!E25,3)</f>
        <v>53.652999999999999</v>
      </c>
      <c r="F25" s="45">
        <f>ROUND(Capacity!K25+Energy!F25,3)</f>
        <v>53.652999999999999</v>
      </c>
      <c r="G25" s="47"/>
      <c r="H25" s="47"/>
      <c r="I25" s="47"/>
      <c r="J25" s="47"/>
      <c r="K25" s="33"/>
      <c r="L25" s="33"/>
      <c r="M25" s="33"/>
      <c r="N25" s="33"/>
    </row>
    <row r="26" spans="2:14" ht="15.75" x14ac:dyDescent="0.25">
      <c r="B26" s="3">
        <f t="shared" si="0"/>
        <v>2039</v>
      </c>
      <c r="C26" s="45">
        <f>ROUND(Capacity!$H26+Energy!C26,3)</f>
        <v>56.192</v>
      </c>
      <c r="D26" s="45">
        <f>ROUND(Capacity!I26+Energy!D26,3)</f>
        <v>56.762999999999998</v>
      </c>
      <c r="E26" s="45">
        <f>ROUND(Capacity!J26+Energy!E26,3)</f>
        <v>56.866999999999997</v>
      </c>
      <c r="F26" s="45">
        <f>ROUND(Capacity!K26+Energy!F26,3)</f>
        <v>56.866999999999997</v>
      </c>
      <c r="G26" s="47"/>
      <c r="H26" s="47"/>
      <c r="I26" s="47"/>
      <c r="J26" s="47"/>
      <c r="K26" s="33"/>
      <c r="L26" s="33"/>
      <c r="M26" s="33"/>
      <c r="N26" s="33"/>
    </row>
    <row r="27" spans="2:14" ht="15.75" x14ac:dyDescent="0.25">
      <c r="B27" s="3">
        <f t="shared" si="0"/>
        <v>2040</v>
      </c>
      <c r="C27" s="45">
        <f>ROUND(Capacity!$H27+Energy!C27,3)</f>
        <v>60.487000000000002</v>
      </c>
      <c r="D27" s="45">
        <f>ROUND(Capacity!I27+Energy!D27,3)</f>
        <v>61.978999999999999</v>
      </c>
      <c r="E27" s="45">
        <f>ROUND(Capacity!J27+Energy!E27,3)</f>
        <v>61.996000000000002</v>
      </c>
      <c r="F27" s="45">
        <f>ROUND(Capacity!K27+Energy!F27,3)</f>
        <v>61.996000000000002</v>
      </c>
      <c r="G27" s="47"/>
      <c r="H27" s="47"/>
      <c r="I27" s="47"/>
      <c r="J27" s="47"/>
      <c r="K27" s="33"/>
      <c r="L27" s="33"/>
      <c r="M27" s="33"/>
      <c r="N27" s="33"/>
    </row>
    <row r="28" spans="2:14" ht="15.75" x14ac:dyDescent="0.25">
      <c r="B28" s="3">
        <f t="shared" si="0"/>
        <v>2041</v>
      </c>
      <c r="C28" s="45">
        <f>ROUND(Capacity!$H28+Energy!C28,3)</f>
        <v>62.639000000000003</v>
      </c>
      <c r="D28" s="45">
        <f>ROUND(Capacity!I28+Energy!D28,3)</f>
        <v>65.647000000000006</v>
      </c>
      <c r="E28" s="45">
        <f>ROUND(Capacity!J28+Energy!E28,3)</f>
        <v>65.221000000000004</v>
      </c>
      <c r="F28" s="45">
        <f>ROUND(Capacity!K28+Energy!F28,3)</f>
        <v>65.221000000000004</v>
      </c>
      <c r="G28" s="47"/>
      <c r="H28" s="47"/>
      <c r="I28" s="47"/>
      <c r="J28" s="47"/>
      <c r="K28" s="33"/>
      <c r="L28" s="33"/>
      <c r="M28" s="33"/>
      <c r="N28" s="33"/>
    </row>
    <row r="29" spans="2:14" x14ac:dyDescent="0.2">
      <c r="C29" s="40"/>
      <c r="D29" s="40"/>
      <c r="E29" s="40"/>
      <c r="F29" s="40"/>
      <c r="H29" s="33"/>
      <c r="I29" s="33"/>
    </row>
    <row r="30" spans="2:14" x14ac:dyDescent="0.2">
      <c r="B30" s="1" t="str">
        <f>"Nominal Levelized Payment at "&amp;TEXT(Discount_Rate,"0.000%")&amp;" Discount Rate (3)"</f>
        <v>Nominal Levelized Payment at 6.770% Discount Rate (3)</v>
      </c>
      <c r="C30" s="40"/>
      <c r="D30" s="40"/>
      <c r="E30" s="40"/>
      <c r="F30" s="40"/>
      <c r="H30" s="33"/>
      <c r="I30" s="33"/>
    </row>
    <row r="31" spans="2:14" x14ac:dyDescent="0.2">
      <c r="B31" s="7" t="str">
        <f>B11&amp;" - "&amp;B25</f>
        <v>2024 - 2038</v>
      </c>
      <c r="C31" s="46">
        <f t="shared" ref="C31:F33" si="1">ROUND(PMT(Discount_Rate,COUNT(C11:C25),-NPV(Discount_Rate,C11:C25)),2)</f>
        <v>36.29</v>
      </c>
      <c r="D31" s="46">
        <f t="shared" ref="D31:E31" si="2">ROUND(PMT(Discount_Rate,COUNT(D11:D25),-NPV(Discount_Rate,D11:D25)),2)</f>
        <v>38.47</v>
      </c>
      <c r="E31" s="46">
        <f t="shared" si="2"/>
        <v>37.729999999999997</v>
      </c>
      <c r="F31" s="46">
        <f t="shared" si="1"/>
        <v>37.380000000000003</v>
      </c>
      <c r="H31" s="33"/>
      <c r="I31" s="39"/>
    </row>
    <row r="32" spans="2:14" x14ac:dyDescent="0.2">
      <c r="B32" s="7" t="str">
        <f>B12&amp;" - "&amp;B26</f>
        <v>2025 - 2039</v>
      </c>
      <c r="C32" s="46">
        <f t="shared" si="1"/>
        <v>35.79</v>
      </c>
      <c r="D32" s="46">
        <f t="shared" ref="D32:E32" si="3">ROUND(PMT(Discount_Rate,COUNT(D12:D26),-NPV(Discount_Rate,D12:D26)),2)</f>
        <v>37.880000000000003</v>
      </c>
      <c r="E32" s="46">
        <f t="shared" si="3"/>
        <v>37.14</v>
      </c>
      <c r="F32" s="46">
        <f t="shared" si="1"/>
        <v>36.950000000000003</v>
      </c>
      <c r="H32" s="33"/>
      <c r="I32" s="39"/>
    </row>
    <row r="33" spans="2:9" x14ac:dyDescent="0.2">
      <c r="B33" s="7" t="str">
        <f>B13&amp;" - "&amp;B27</f>
        <v>2026 - 2040</v>
      </c>
      <c r="C33" s="46">
        <f t="shared" si="1"/>
        <v>37.369999999999997</v>
      </c>
      <c r="D33" s="46">
        <f t="shared" ref="D33:E33" si="4">ROUND(PMT(Discount_Rate,COUNT(D13:D27),-NPV(Discount_Rate,D13:D27)),2)</f>
        <v>38.75</v>
      </c>
      <c r="E33" s="46">
        <f t="shared" si="4"/>
        <v>38.76</v>
      </c>
      <c r="F33" s="46">
        <f t="shared" si="1"/>
        <v>38.58</v>
      </c>
      <c r="H33" s="33"/>
      <c r="I33" s="39"/>
    </row>
    <row r="34" spans="2:9" x14ac:dyDescent="0.2">
      <c r="F34" s="9"/>
      <c r="H34" s="33"/>
      <c r="I34" s="33"/>
    </row>
    <row r="35" spans="2:9" x14ac:dyDescent="0.2">
      <c r="B35" s="7" t="s">
        <v>13</v>
      </c>
      <c r="H35" s="33"/>
      <c r="I35" s="33"/>
    </row>
    <row r="36" spans="2:9" x14ac:dyDescent="0.2">
      <c r="B36" s="1" t="str">
        <f>"(2)   Official Forward Price Curve Dated "&amp;TEXT(B44,"MMMM YYYY")</f>
        <v>(2)   Official Forward Price Curve Dated September 2023</v>
      </c>
      <c r="H36" s="33"/>
      <c r="I36" s="33"/>
    </row>
    <row r="37" spans="2:9" x14ac:dyDescent="0.2">
      <c r="B37" s="1" t="str">
        <f>"(3)   "&amp;B41&amp;" - Calculated Annually"</f>
        <v>(3)   Discount Rate - 2023 IRP - Calculated Annually</v>
      </c>
    </row>
    <row r="38" spans="2:9" x14ac:dyDescent="0.2">
      <c r="B38" s="18" t="str">
        <f>"(4)   Capacity costs are allocated based on assumed "&amp;TEXT(B46,"00%")&amp;" capacity factor."</f>
        <v>(4)   Capacity costs are allocated based on assumed 100% capacity factor.</v>
      </c>
    </row>
    <row r="39" spans="2:9" x14ac:dyDescent="0.2">
      <c r="B39" s="18" t="str">
        <f>"(5)   Avoided Capacity costs are bsed on Partial Displacement of non-emitting  Peaker in 2030 from"</f>
        <v>(5)   Avoided Capacity costs are bsed on Partial Displacement of non-emitting  Peaker in 2030 from</v>
      </c>
    </row>
    <row r="40" spans="2:9" x14ac:dyDescent="0.2">
      <c r="B40" s="18" t="s">
        <v>23</v>
      </c>
    </row>
    <row r="41" spans="2:9" x14ac:dyDescent="0.2">
      <c r="B41" s="1" t="s">
        <v>26</v>
      </c>
    </row>
    <row r="42" spans="2:9" x14ac:dyDescent="0.2">
      <c r="B42" s="14">
        <v>6.7699999999999996E-2</v>
      </c>
    </row>
    <row r="43" spans="2:9" x14ac:dyDescent="0.2">
      <c r="B43" s="1" t="s">
        <v>10</v>
      </c>
    </row>
    <row r="44" spans="2:9" x14ac:dyDescent="0.2">
      <c r="B44" s="15">
        <v>45198</v>
      </c>
      <c r="F44" s="13"/>
    </row>
    <row r="45" spans="2:9" x14ac:dyDescent="0.2">
      <c r="B45" s="18" t="s">
        <v>18</v>
      </c>
    </row>
    <row r="46" spans="2:9" x14ac:dyDescent="0.2">
      <c r="B46" s="71">
        <v>1</v>
      </c>
    </row>
  </sheetData>
  <phoneticPr fontId="2" type="noConversion"/>
  <printOptions horizontalCentered="1"/>
  <pageMargins left="0.25" right="0.25" top="0.75" bottom="0.75" header="0.3" footer="0.2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2"/>
    <pageSetUpPr fitToPage="1"/>
  </sheetPr>
  <dimension ref="B1:I44"/>
  <sheetViews>
    <sheetView view="pageBreakPreview" zoomScale="60" zoomScaleNormal="70" workbookViewId="0">
      <selection activeCell="G32" sqref="G32"/>
    </sheetView>
  </sheetViews>
  <sheetFormatPr defaultColWidth="9.140625" defaultRowHeight="15" x14ac:dyDescent="0.2"/>
  <cols>
    <col min="1" max="1" width="1.85546875" style="18" customWidth="1"/>
    <col min="2" max="2" width="17.5703125" style="18" customWidth="1"/>
    <col min="3" max="6" width="17.7109375" style="18" customWidth="1"/>
    <col min="7" max="7" width="27.7109375" style="18" customWidth="1"/>
    <col min="8" max="8" width="18.85546875" style="18" customWidth="1"/>
    <col min="9" max="16384" width="9.140625" style="18"/>
  </cols>
  <sheetData>
    <row r="1" spans="2:9" ht="15.75" x14ac:dyDescent="0.25">
      <c r="B1" s="16" t="str">
        <f>Total!B1</f>
        <v>Appendix C</v>
      </c>
      <c r="C1" s="16"/>
      <c r="D1" s="16"/>
      <c r="E1" s="16"/>
      <c r="F1" s="16"/>
    </row>
    <row r="2" spans="2:9" ht="8.25" customHeight="1" x14ac:dyDescent="0.25">
      <c r="B2" s="16"/>
      <c r="C2" s="16"/>
      <c r="D2" s="16"/>
      <c r="E2" s="16"/>
      <c r="F2" s="16"/>
    </row>
    <row r="3" spans="2:9" ht="15.75" x14ac:dyDescent="0.25">
      <c r="B3" s="16" t="str">
        <f>Total!B3</f>
        <v>Utah Quarterly Compliance Filing</v>
      </c>
      <c r="C3" s="16"/>
      <c r="D3" s="16"/>
      <c r="E3" s="16"/>
      <c r="F3" s="16"/>
    </row>
    <row r="4" spans="2:9" ht="15.75" x14ac:dyDescent="0.25">
      <c r="B4" s="16" t="str">
        <f>Capacity!$B$4</f>
        <v>Step Study between 2023.Q3 and 2023.Q2 Compliance Filing</v>
      </c>
      <c r="C4" s="16"/>
      <c r="D4" s="16"/>
      <c r="E4" s="16"/>
      <c r="F4" s="16"/>
    </row>
    <row r="5" spans="2:9" ht="15.75" x14ac:dyDescent="0.25">
      <c r="B5" s="16" t="s">
        <v>5</v>
      </c>
      <c r="C5" s="16"/>
      <c r="D5" s="16"/>
      <c r="E5" s="16"/>
      <c r="F5" s="16"/>
    </row>
    <row r="6" spans="2:9" ht="15.75" x14ac:dyDescent="0.25">
      <c r="B6" s="16"/>
      <c r="C6" s="35"/>
      <c r="D6" s="35"/>
      <c r="E6" s="35"/>
      <c r="F6" s="35"/>
    </row>
    <row r="7" spans="2:9" ht="47.25" x14ac:dyDescent="0.25">
      <c r="B7" s="19"/>
      <c r="C7" s="77" t="str">
        <f>Capacity!O7</f>
        <v>2023.Q2</v>
      </c>
      <c r="D7" s="34" t="s">
        <v>27</v>
      </c>
      <c r="E7" s="34" t="s">
        <v>28</v>
      </c>
      <c r="F7" s="81" t="s">
        <v>29</v>
      </c>
      <c r="H7" s="12"/>
      <c r="I7" s="1"/>
    </row>
    <row r="8" spans="2:9" ht="15.75" x14ac:dyDescent="0.25">
      <c r="B8" s="21" t="s">
        <v>0</v>
      </c>
      <c r="C8" s="21" t="s">
        <v>6</v>
      </c>
      <c r="D8" s="70" t="s">
        <v>16</v>
      </c>
      <c r="E8" s="70"/>
      <c r="F8" s="70" t="s">
        <v>19</v>
      </c>
      <c r="H8" s="12"/>
      <c r="I8" s="1"/>
    </row>
    <row r="9" spans="2:9" ht="4.7" customHeight="1" x14ac:dyDescent="0.2">
      <c r="B9" s="51"/>
      <c r="C9" s="51"/>
      <c r="D9" s="68"/>
      <c r="E9" s="79"/>
      <c r="F9" s="79"/>
      <c r="H9" s="73"/>
      <c r="I9" s="1"/>
    </row>
    <row r="10" spans="2:9" ht="3.75" customHeight="1" x14ac:dyDescent="0.25">
      <c r="B10" s="52"/>
      <c r="C10" s="78"/>
      <c r="D10" s="69"/>
      <c r="E10" s="76"/>
      <c r="F10" s="76"/>
      <c r="H10" s="74"/>
      <c r="I10" s="40"/>
    </row>
    <row r="11" spans="2:9" ht="15.75" x14ac:dyDescent="0.25">
      <c r="B11" s="52">
        <v>2024</v>
      </c>
      <c r="C11" s="75">
        <v>48.39</v>
      </c>
      <c r="D11" s="69">
        <v>50.784999999999997</v>
      </c>
      <c r="E11" s="69">
        <v>50.384999999999998</v>
      </c>
      <c r="F11" s="69">
        <v>48.64</v>
      </c>
      <c r="H11" s="74"/>
      <c r="I11" s="40"/>
    </row>
    <row r="12" spans="2:9" ht="15.75" x14ac:dyDescent="0.25">
      <c r="B12" s="52">
        <f t="shared" ref="B12:B28" si="0">B11+1</f>
        <v>2025</v>
      </c>
      <c r="C12" s="75">
        <v>30.436</v>
      </c>
      <c r="D12" s="69">
        <v>38.786999999999999</v>
      </c>
      <c r="E12" s="76">
        <v>31.407</v>
      </c>
      <c r="F12" s="76">
        <v>31.24</v>
      </c>
      <c r="H12" s="74"/>
      <c r="I12" s="40"/>
    </row>
    <row r="13" spans="2:9" ht="15.75" x14ac:dyDescent="0.25">
      <c r="B13" s="52">
        <f t="shared" si="0"/>
        <v>2026</v>
      </c>
      <c r="C13" s="75">
        <v>23.471</v>
      </c>
      <c r="D13" s="69">
        <v>24.513000000000002</v>
      </c>
      <c r="E13" s="76">
        <v>24.847999999999999</v>
      </c>
      <c r="F13" s="76">
        <v>24.547000000000001</v>
      </c>
      <c r="H13" s="74"/>
      <c r="I13" s="40"/>
    </row>
    <row r="14" spans="2:9" ht="15.75" x14ac:dyDescent="0.25">
      <c r="B14" s="52">
        <f t="shared" si="0"/>
        <v>2027</v>
      </c>
      <c r="C14" s="75">
        <v>28.039000000000001</v>
      </c>
      <c r="D14" s="69">
        <v>29.164999999999999</v>
      </c>
      <c r="E14" s="76">
        <v>29.059000000000001</v>
      </c>
      <c r="F14" s="76">
        <v>28.504000000000001</v>
      </c>
      <c r="H14" s="74"/>
      <c r="I14" s="40"/>
    </row>
    <row r="15" spans="2:9" ht="15.75" x14ac:dyDescent="0.25">
      <c r="B15" s="52">
        <f t="shared" si="0"/>
        <v>2028</v>
      </c>
      <c r="C15" s="75">
        <v>26.062999999999999</v>
      </c>
      <c r="D15" s="69">
        <v>27.42</v>
      </c>
      <c r="E15" s="76">
        <v>27.324999999999999</v>
      </c>
      <c r="F15" s="76">
        <v>26.663</v>
      </c>
      <c r="H15" s="74"/>
      <c r="I15" s="40"/>
    </row>
    <row r="16" spans="2:9" ht="15.75" x14ac:dyDescent="0.25">
      <c r="B16" s="52">
        <f t="shared" si="0"/>
        <v>2029</v>
      </c>
      <c r="C16" s="75">
        <v>21.390999999999998</v>
      </c>
      <c r="D16" s="69">
        <v>24.231000000000002</v>
      </c>
      <c r="E16" s="76">
        <v>24.166</v>
      </c>
      <c r="F16" s="76">
        <v>23.713000000000001</v>
      </c>
      <c r="H16" s="74"/>
      <c r="I16" s="40"/>
    </row>
    <row r="17" spans="2:9" ht="15.75" x14ac:dyDescent="0.25">
      <c r="B17" s="52">
        <f t="shared" si="0"/>
        <v>2030</v>
      </c>
      <c r="C17" s="75">
        <v>25.254999999999999</v>
      </c>
      <c r="D17" s="69">
        <v>28.452999999999999</v>
      </c>
      <c r="E17" s="76">
        <v>28.436</v>
      </c>
      <c r="F17" s="76">
        <v>28.436</v>
      </c>
      <c r="H17" s="74"/>
      <c r="I17" s="40"/>
    </row>
    <row r="18" spans="2:9" ht="15.75" x14ac:dyDescent="0.25">
      <c r="B18" s="52">
        <f t="shared" si="0"/>
        <v>2031</v>
      </c>
      <c r="C18" s="75">
        <v>31.161000000000001</v>
      </c>
      <c r="D18" s="69">
        <v>33.027000000000001</v>
      </c>
      <c r="E18" s="76">
        <v>33.034999999999997</v>
      </c>
      <c r="F18" s="76">
        <v>33.034999999999997</v>
      </c>
      <c r="H18" s="74"/>
      <c r="I18" s="40"/>
    </row>
    <row r="19" spans="2:9" ht="15.75" x14ac:dyDescent="0.25">
      <c r="B19" s="52">
        <f t="shared" si="0"/>
        <v>2032</v>
      </c>
      <c r="C19" s="75">
        <v>10.897</v>
      </c>
      <c r="D19" s="69">
        <v>13.054</v>
      </c>
      <c r="E19" s="76">
        <v>12.999000000000001</v>
      </c>
      <c r="F19" s="76">
        <v>12.999000000000001</v>
      </c>
      <c r="H19" s="74"/>
      <c r="I19" s="40"/>
    </row>
    <row r="20" spans="2:9" ht="15.75" x14ac:dyDescent="0.25">
      <c r="B20" s="52">
        <f t="shared" si="0"/>
        <v>2033</v>
      </c>
      <c r="C20" s="75">
        <v>16.274999999999999</v>
      </c>
      <c r="D20" s="69">
        <v>17.201000000000001</v>
      </c>
      <c r="E20" s="76">
        <v>17.148</v>
      </c>
      <c r="F20" s="76">
        <v>17.148</v>
      </c>
      <c r="H20" s="74"/>
      <c r="I20" s="40"/>
    </row>
    <row r="21" spans="2:9" ht="15.75" x14ac:dyDescent="0.25">
      <c r="B21" s="52">
        <f t="shared" si="0"/>
        <v>2034</v>
      </c>
      <c r="C21" s="75">
        <v>15.657999999999999</v>
      </c>
      <c r="D21" s="69">
        <v>17.460999999999999</v>
      </c>
      <c r="E21" s="76">
        <v>17.434000000000001</v>
      </c>
      <c r="F21" s="76">
        <v>17.434000000000001</v>
      </c>
      <c r="H21" s="74"/>
      <c r="I21" s="40"/>
    </row>
    <row r="22" spans="2:9" ht="15.75" x14ac:dyDescent="0.25">
      <c r="B22" s="52">
        <f t="shared" si="0"/>
        <v>2035</v>
      </c>
      <c r="C22" s="75">
        <v>24.768999999999998</v>
      </c>
      <c r="D22" s="69">
        <v>25.667999999999999</v>
      </c>
      <c r="E22" s="76">
        <v>25.643999999999998</v>
      </c>
      <c r="F22" s="76">
        <v>25.643999999999998</v>
      </c>
      <c r="H22" s="74"/>
      <c r="I22" s="40"/>
    </row>
    <row r="23" spans="2:9" ht="15.75" x14ac:dyDescent="0.25">
      <c r="B23" s="52">
        <f t="shared" si="0"/>
        <v>2036</v>
      </c>
      <c r="C23" s="75">
        <v>28.704000000000001</v>
      </c>
      <c r="D23" s="69">
        <v>28.648</v>
      </c>
      <c r="E23" s="76">
        <v>28.635999999999999</v>
      </c>
      <c r="F23" s="76">
        <v>28.635999999999999</v>
      </c>
      <c r="H23" s="74"/>
      <c r="I23" s="40"/>
    </row>
    <row r="24" spans="2:9" ht="15.75" x14ac:dyDescent="0.25">
      <c r="B24" s="52">
        <f t="shared" si="0"/>
        <v>2037</v>
      </c>
      <c r="C24" s="75">
        <v>30.975999999999999</v>
      </c>
      <c r="D24" s="69">
        <v>31.097000000000001</v>
      </c>
      <c r="E24" s="76">
        <v>31.161000000000001</v>
      </c>
      <c r="F24" s="76">
        <v>31.161000000000001</v>
      </c>
      <c r="H24" s="74"/>
      <c r="I24" s="40"/>
    </row>
    <row r="25" spans="2:9" ht="15.75" x14ac:dyDescent="0.25">
      <c r="B25" s="52">
        <f t="shared" si="0"/>
        <v>2038</v>
      </c>
      <c r="C25" s="75">
        <v>33.220999999999997</v>
      </c>
      <c r="D25" s="69">
        <v>32.643999999999998</v>
      </c>
      <c r="E25" s="76">
        <v>32.670999999999999</v>
      </c>
      <c r="F25" s="76">
        <v>32.670999999999999</v>
      </c>
      <c r="H25" s="74"/>
      <c r="I25" s="40"/>
    </row>
    <row r="26" spans="2:9" ht="15.75" x14ac:dyDescent="0.25">
      <c r="B26" s="52">
        <f t="shared" si="0"/>
        <v>2039</v>
      </c>
      <c r="C26" s="75">
        <v>34.734999999999999</v>
      </c>
      <c r="D26" s="69">
        <v>35.305999999999997</v>
      </c>
      <c r="E26" s="76">
        <v>35.409999999999997</v>
      </c>
      <c r="F26" s="76">
        <v>35.409999999999997</v>
      </c>
      <c r="H26" s="74"/>
      <c r="I26" s="40"/>
    </row>
    <row r="27" spans="2:9" ht="15.75" x14ac:dyDescent="0.25">
      <c r="B27" s="52">
        <f t="shared" si="0"/>
        <v>2040</v>
      </c>
      <c r="C27" s="75">
        <v>38.601999999999997</v>
      </c>
      <c r="D27" s="69">
        <v>40.094000000000001</v>
      </c>
      <c r="E27" s="76">
        <v>40.110999999999997</v>
      </c>
      <c r="F27" s="76">
        <v>40.110999999999997</v>
      </c>
      <c r="H27" s="74"/>
      <c r="I27" s="40"/>
    </row>
    <row r="28" spans="2:9" ht="15.75" x14ac:dyDescent="0.25">
      <c r="B28" s="52">
        <f t="shared" si="0"/>
        <v>2041</v>
      </c>
      <c r="C28" s="75">
        <v>40.195</v>
      </c>
      <c r="D28" s="69">
        <v>43.203000000000003</v>
      </c>
      <c r="E28" s="76">
        <v>42.777000000000001</v>
      </c>
      <c r="F28" s="76">
        <v>42.777000000000001</v>
      </c>
      <c r="H28" s="74"/>
      <c r="I28" s="40"/>
    </row>
    <row r="29" spans="2:9" x14ac:dyDescent="0.2">
      <c r="C29" s="31"/>
      <c r="D29" s="31"/>
      <c r="E29" s="31"/>
      <c r="F29" s="31"/>
      <c r="H29" s="74"/>
      <c r="I29" s="40"/>
    </row>
    <row r="30" spans="2:9" x14ac:dyDescent="0.2">
      <c r="B30" s="18" t="str">
        <f>"Nominal Levelized Payment at "&amp;TEXT($B$41,"0.00%")&amp;" Discount Rate (3)"</f>
        <v>Nominal Levelized Payment at 6.77% Discount Rate (3)</v>
      </c>
      <c r="C30" s="31"/>
      <c r="D30" s="31"/>
      <c r="E30" s="31"/>
      <c r="F30" s="31"/>
      <c r="H30" s="74"/>
      <c r="I30" s="40"/>
    </row>
    <row r="31" spans="2:9" x14ac:dyDescent="0.2">
      <c r="B31" s="26" t="str">
        <f>B11&amp;" - "&amp;B25</f>
        <v>2024 - 2038</v>
      </c>
      <c r="C31" s="44">
        <f t="shared" ref="C31:D33" si="1">ROUND(PMT($B$41,COUNT(C11:C25),-NPV($B$41,C11:C25)),3)</f>
        <v>27.158000000000001</v>
      </c>
      <c r="D31" s="44">
        <f t="shared" si="1"/>
        <v>29.331</v>
      </c>
      <c r="E31" s="44">
        <f t="shared" ref="E31" si="2">ROUND(PMT($B$41,COUNT(E11:E25),-NPV($B$41,E11:E25)),3)</f>
        <v>28.593</v>
      </c>
      <c r="F31" s="44">
        <f t="shared" ref="F31" si="3">ROUND(PMT($B$41,COUNT(F11:F25),-NPV($B$41,F11:F25)),3)</f>
        <v>28.242000000000001</v>
      </c>
      <c r="H31" s="74"/>
      <c r="I31" s="40"/>
    </row>
    <row r="32" spans="2:9" x14ac:dyDescent="0.2">
      <c r="B32" s="26" t="str">
        <f>B12&amp;" - "&amp;B26</f>
        <v>2025 - 2039</v>
      </c>
      <c r="C32" s="44">
        <f t="shared" si="1"/>
        <v>25.167000000000002</v>
      </c>
      <c r="D32" s="44">
        <f t="shared" si="1"/>
        <v>27.251999999999999</v>
      </c>
      <c r="E32" s="44">
        <f t="shared" ref="E32:E33" si="4">ROUND(PMT($B$41,COUNT(E12:E26),-NPV($B$41,E12:E26)),3)</f>
        <v>26.510999999999999</v>
      </c>
      <c r="F32" s="44">
        <f t="shared" ref="F32:F33" si="5">ROUND(PMT($B$41,COUNT(F12:F26),-NPV($B$41,F12:F26)),3)</f>
        <v>26.324999999999999</v>
      </c>
      <c r="H32" s="74"/>
      <c r="I32" s="40"/>
    </row>
    <row r="33" spans="2:9" x14ac:dyDescent="0.2">
      <c r="B33" s="26" t="str">
        <f>B13&amp;" - "&amp;B27</f>
        <v>2026 - 2040</v>
      </c>
      <c r="C33" s="44">
        <f t="shared" si="1"/>
        <v>25.140999999999998</v>
      </c>
      <c r="D33" s="44">
        <f t="shared" si="1"/>
        <v>26.524000000000001</v>
      </c>
      <c r="E33" s="44">
        <f t="shared" si="4"/>
        <v>26.532</v>
      </c>
      <c r="F33" s="44">
        <f t="shared" si="5"/>
        <v>26.352</v>
      </c>
      <c r="H33" s="74"/>
      <c r="I33" s="40"/>
    </row>
    <row r="34" spans="2:9" x14ac:dyDescent="0.2">
      <c r="B34" s="26"/>
      <c r="C34" s="25"/>
      <c r="D34" s="25"/>
      <c r="E34" s="25"/>
      <c r="F34" s="25"/>
    </row>
    <row r="35" spans="2:9" x14ac:dyDescent="0.2">
      <c r="B35" s="26" t="str">
        <f>Total!B35</f>
        <v>(1)   Studies are sequential.  The order of the studies would affect the price impact.</v>
      </c>
    </row>
    <row r="36" spans="2:9" x14ac:dyDescent="0.2">
      <c r="B36" s="1" t="str">
        <f>"(2)   Official Forward Price Curve Dated "&amp;TEXT(B43,"MMMM YYYY")</f>
        <v>(2)   Official Forward Price Curve Dated September 2023</v>
      </c>
    </row>
    <row r="37" spans="2:9" x14ac:dyDescent="0.2">
      <c r="B37" s="26" t="str">
        <f>Total!B37</f>
        <v>(3)   Discount Rate - 2023 IRP - Calculated Annually</v>
      </c>
    </row>
    <row r="38" spans="2:9" x14ac:dyDescent="0.2">
      <c r="B38" s="26"/>
    </row>
    <row r="40" spans="2:9" x14ac:dyDescent="0.2">
      <c r="B40" s="1" t="str">
        <f>Total!B41</f>
        <v>Discount Rate - 2023 IRP</v>
      </c>
    </row>
    <row r="41" spans="2:9" x14ac:dyDescent="0.2">
      <c r="B41" s="30">
        <v>6.7699999999999996E-2</v>
      </c>
    </row>
    <row r="42" spans="2:9" x14ac:dyDescent="0.2">
      <c r="B42" s="1" t="s">
        <v>10</v>
      </c>
    </row>
    <row r="43" spans="2:9" x14ac:dyDescent="0.2">
      <c r="B43" s="15">
        <v>45198</v>
      </c>
    </row>
    <row r="44" spans="2:9" x14ac:dyDescent="0.2">
      <c r="B44"/>
      <c r="C44"/>
      <c r="D44"/>
      <c r="E44"/>
      <c r="F44"/>
    </row>
  </sheetData>
  <printOptions horizontalCentered="1"/>
  <pageMargins left="0.25" right="0.25" top="0.75" bottom="0.75" header="0.3" footer="0.2"/>
  <pageSetup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42"/>
    <pageSetUpPr fitToPage="1"/>
  </sheetPr>
  <dimension ref="B1:O43"/>
  <sheetViews>
    <sheetView tabSelected="1" view="pageBreakPreview" zoomScale="60" zoomScaleNormal="60" workbookViewId="0">
      <selection activeCell="F39" sqref="F39"/>
    </sheetView>
  </sheetViews>
  <sheetFormatPr defaultColWidth="9.140625" defaultRowHeight="15" x14ac:dyDescent="0.2"/>
  <cols>
    <col min="1" max="1" width="1.85546875" style="18" customWidth="1"/>
    <col min="2" max="2" width="20" style="18" customWidth="1"/>
    <col min="3" max="6" width="19.140625" style="18" customWidth="1"/>
    <col min="7" max="7" width="1.140625" style="18" customWidth="1"/>
    <col min="8" max="11" width="19.140625" style="18" customWidth="1"/>
    <col min="12" max="12" width="21.5703125" style="18" customWidth="1"/>
    <col min="13" max="14" width="2.140625" customWidth="1"/>
    <col min="15" max="15" width="9.140625" style="18" customWidth="1"/>
    <col min="16" max="16384" width="9.140625" style="18"/>
  </cols>
  <sheetData>
    <row r="1" spans="2:15" ht="15.75" x14ac:dyDescent="0.25">
      <c r="B1" s="16" t="str">
        <f>Total!B1</f>
        <v>Appendix C</v>
      </c>
      <c r="C1" s="16"/>
      <c r="D1" s="16"/>
      <c r="E1" s="16"/>
      <c r="F1" s="16"/>
      <c r="G1" s="17"/>
      <c r="H1" s="16"/>
      <c r="I1" s="16"/>
      <c r="J1" s="16"/>
      <c r="K1" s="16"/>
    </row>
    <row r="2" spans="2:15" ht="8.25" customHeight="1" x14ac:dyDescent="0.25">
      <c r="B2" s="16"/>
      <c r="C2" s="16"/>
      <c r="D2" s="16"/>
      <c r="E2" s="16"/>
      <c r="F2" s="16"/>
      <c r="G2" s="17"/>
      <c r="H2" s="16"/>
      <c r="I2" s="16"/>
      <c r="J2" s="16"/>
      <c r="K2" s="16"/>
    </row>
    <row r="3" spans="2:15" ht="15.75" x14ac:dyDescent="0.25">
      <c r="B3" s="16" t="str">
        <f>Total!B3</f>
        <v>Utah Quarterly Compliance Filing</v>
      </c>
      <c r="C3" s="16"/>
      <c r="D3" s="16"/>
      <c r="E3" s="16"/>
      <c r="F3" s="16"/>
      <c r="G3" s="17"/>
      <c r="H3" s="16"/>
      <c r="I3" s="16"/>
      <c r="J3" s="16"/>
      <c r="K3" s="16"/>
    </row>
    <row r="4" spans="2:15" ht="15.75" x14ac:dyDescent="0.25">
      <c r="B4" s="16" t="str">
        <f>"Step Study between "&amp;O8&amp;" and "&amp;O7&amp;" Compliance Filing"</f>
        <v>Step Study between 2023.Q3 and 2023.Q2 Compliance Filing</v>
      </c>
      <c r="C4" s="16"/>
      <c r="D4" s="16"/>
      <c r="E4" s="16"/>
      <c r="F4" s="16"/>
      <c r="G4" s="17"/>
      <c r="H4" s="16"/>
      <c r="I4" s="16"/>
      <c r="J4" s="16"/>
      <c r="K4" s="16"/>
    </row>
    <row r="5" spans="2:15" ht="15.75" x14ac:dyDescent="0.25">
      <c r="B5" s="16" t="s">
        <v>8</v>
      </c>
      <c r="C5" s="16"/>
      <c r="D5" s="16"/>
      <c r="E5" s="16"/>
      <c r="F5" s="16"/>
      <c r="G5" s="17"/>
      <c r="H5" s="16"/>
      <c r="I5" s="16"/>
      <c r="J5" s="16"/>
      <c r="K5" s="16"/>
    </row>
    <row r="6" spans="2:15" ht="15.75" x14ac:dyDescent="0.25">
      <c r="B6" s="16"/>
      <c r="C6" s="16"/>
      <c r="D6" s="16"/>
      <c r="E6" s="16"/>
      <c r="F6" s="16"/>
      <c r="H6" s="16"/>
      <c r="I6" s="16"/>
      <c r="J6" s="16"/>
      <c r="K6" s="16"/>
    </row>
    <row r="7" spans="2:15" ht="15.75" x14ac:dyDescent="0.25">
      <c r="B7" s="19"/>
      <c r="C7" s="20" t="s">
        <v>2</v>
      </c>
      <c r="D7" s="20"/>
      <c r="E7" s="20"/>
      <c r="F7" s="20"/>
      <c r="H7" s="20" t="s">
        <v>7</v>
      </c>
      <c r="I7" s="20"/>
      <c r="J7" s="20"/>
      <c r="K7" s="32"/>
      <c r="O7" s="22" t="s">
        <v>21</v>
      </c>
    </row>
    <row r="8" spans="2:15" ht="60.75" customHeight="1" x14ac:dyDescent="0.25">
      <c r="B8" s="21" t="s">
        <v>0</v>
      </c>
      <c r="C8" s="37" t="str">
        <f>Energy!C7&amp;""</f>
        <v>2023.Q2</v>
      </c>
      <c r="D8" s="37" t="str">
        <f>Energy!D7&amp;""</f>
        <v>OFPC</v>
      </c>
      <c r="E8" s="37" t="str">
        <f>Energy!E7&amp;""</f>
        <v>Queue</v>
      </c>
      <c r="F8" s="37" t="str">
        <f>O8&amp;" "</f>
        <v xml:space="preserve">2023.Q3 </v>
      </c>
      <c r="H8" s="22" t="str">
        <f>C8</f>
        <v>2023.Q2</v>
      </c>
      <c r="I8" s="22" t="str">
        <f>D8</f>
        <v>OFPC</v>
      </c>
      <c r="J8" s="22" t="str">
        <f>E8</f>
        <v>Queue</v>
      </c>
      <c r="K8" s="37" t="str">
        <f>F8</f>
        <v xml:space="preserve">2023.Q3 </v>
      </c>
      <c r="O8" s="22" t="s">
        <v>24</v>
      </c>
    </row>
    <row r="9" spans="2:15" ht="4.7" customHeight="1" x14ac:dyDescent="0.2"/>
    <row r="10" spans="2:15" ht="15.75" x14ac:dyDescent="0.25">
      <c r="B10" s="23"/>
      <c r="C10" s="24"/>
      <c r="D10" s="24"/>
      <c r="E10" s="24"/>
      <c r="F10" s="24"/>
      <c r="H10" s="24"/>
      <c r="I10" s="24"/>
      <c r="J10" s="24"/>
      <c r="K10" s="24"/>
    </row>
    <row r="11" spans="2:15" ht="15.75" x14ac:dyDescent="0.25">
      <c r="B11" s="23">
        <v>2024</v>
      </c>
      <c r="C11" s="24">
        <v>0</v>
      </c>
      <c r="D11" s="24">
        <v>0</v>
      </c>
      <c r="E11" s="24">
        <v>0</v>
      </c>
      <c r="F11" s="24">
        <v>0</v>
      </c>
      <c r="H11" s="24">
        <f t="shared" ref="H11:H27" si="0">C11*1000/(IF(MOD($B11,4)=0,8784,8760)*1)</f>
        <v>0</v>
      </c>
      <c r="I11" s="24">
        <f t="shared" ref="I11:J27" si="1">D11*1000/(IF(MOD($B11,4)=0,8784,8760)*1)</f>
        <v>0</v>
      </c>
      <c r="J11" s="24">
        <f t="shared" si="1"/>
        <v>0</v>
      </c>
      <c r="K11" s="24">
        <f t="shared" ref="K11:K27" si="2">F11*1000/(IF(MOD($B11,4)=0,8784,8760)*1)</f>
        <v>0</v>
      </c>
    </row>
    <row r="12" spans="2:15" ht="15.75" x14ac:dyDescent="0.25">
      <c r="B12" s="23">
        <f t="shared" ref="B12:B28" si="3">B11+1</f>
        <v>2025</v>
      </c>
      <c r="C12" s="24">
        <v>0</v>
      </c>
      <c r="D12" s="24">
        <v>0</v>
      </c>
      <c r="E12" s="24">
        <v>0</v>
      </c>
      <c r="F12" s="24">
        <v>0</v>
      </c>
      <c r="H12" s="24">
        <f t="shared" si="0"/>
        <v>0</v>
      </c>
      <c r="I12" s="24">
        <f t="shared" si="1"/>
        <v>0</v>
      </c>
      <c r="J12" s="24">
        <f t="shared" si="1"/>
        <v>0</v>
      </c>
      <c r="K12" s="24">
        <f t="shared" si="2"/>
        <v>0</v>
      </c>
    </row>
    <row r="13" spans="2:15" ht="15.75" x14ac:dyDescent="0.25">
      <c r="B13" s="23">
        <f t="shared" si="3"/>
        <v>2026</v>
      </c>
      <c r="C13" s="24">
        <v>0</v>
      </c>
      <c r="D13" s="24">
        <v>0</v>
      </c>
      <c r="E13" s="24">
        <v>0</v>
      </c>
      <c r="F13" s="24">
        <v>0</v>
      </c>
      <c r="H13" s="24">
        <f t="shared" si="0"/>
        <v>0</v>
      </c>
      <c r="I13" s="24">
        <f t="shared" si="1"/>
        <v>0</v>
      </c>
      <c r="J13" s="24">
        <f t="shared" si="1"/>
        <v>0</v>
      </c>
      <c r="K13" s="24">
        <f t="shared" si="2"/>
        <v>0</v>
      </c>
    </row>
    <row r="14" spans="2:15" ht="15.75" x14ac:dyDescent="0.25">
      <c r="B14" s="23">
        <f t="shared" si="3"/>
        <v>2027</v>
      </c>
      <c r="C14" s="24">
        <v>0</v>
      </c>
      <c r="D14" s="24">
        <v>0</v>
      </c>
      <c r="E14" s="24">
        <v>0</v>
      </c>
      <c r="F14" s="24">
        <v>0</v>
      </c>
      <c r="H14" s="24">
        <f t="shared" si="0"/>
        <v>0</v>
      </c>
      <c r="I14" s="24">
        <f t="shared" si="1"/>
        <v>0</v>
      </c>
      <c r="J14" s="24">
        <f t="shared" si="1"/>
        <v>0</v>
      </c>
      <c r="K14" s="24">
        <f t="shared" si="2"/>
        <v>0</v>
      </c>
    </row>
    <row r="15" spans="2:15" ht="15.75" x14ac:dyDescent="0.25">
      <c r="B15" s="23">
        <f t="shared" si="3"/>
        <v>2028</v>
      </c>
      <c r="C15" s="24">
        <v>0</v>
      </c>
      <c r="D15" s="24">
        <v>0</v>
      </c>
      <c r="E15" s="24">
        <v>0</v>
      </c>
      <c r="F15" s="24">
        <v>0</v>
      </c>
      <c r="H15" s="24">
        <f t="shared" si="0"/>
        <v>0</v>
      </c>
      <c r="I15" s="24">
        <f t="shared" si="1"/>
        <v>0</v>
      </c>
      <c r="J15" s="24">
        <f t="shared" si="1"/>
        <v>0</v>
      </c>
      <c r="K15" s="24">
        <f t="shared" si="2"/>
        <v>0</v>
      </c>
    </row>
    <row r="16" spans="2:15" ht="15.75" x14ac:dyDescent="0.25">
      <c r="B16" s="23">
        <f t="shared" si="3"/>
        <v>2029</v>
      </c>
      <c r="C16" s="24">
        <v>0</v>
      </c>
      <c r="D16" s="24">
        <v>0</v>
      </c>
      <c r="E16" s="24">
        <v>0</v>
      </c>
      <c r="F16" s="24">
        <v>0</v>
      </c>
      <c r="H16" s="24">
        <f t="shared" si="0"/>
        <v>0</v>
      </c>
      <c r="I16" s="24">
        <f t="shared" si="1"/>
        <v>0</v>
      </c>
      <c r="J16" s="24">
        <f t="shared" si="1"/>
        <v>0</v>
      </c>
      <c r="K16" s="24">
        <f t="shared" si="2"/>
        <v>0</v>
      </c>
    </row>
    <row r="17" spans="2:11" ht="15.75" x14ac:dyDescent="0.25">
      <c r="B17" s="23">
        <f t="shared" si="3"/>
        <v>2030</v>
      </c>
      <c r="C17" s="24">
        <v>153.58672376873662</v>
      </c>
      <c r="D17" s="24">
        <v>153.58672376873662</v>
      </c>
      <c r="E17" s="24">
        <v>153.58672376873662</v>
      </c>
      <c r="F17" s="24">
        <v>153.58672376873662</v>
      </c>
      <c r="H17" s="24">
        <f t="shared" si="0"/>
        <v>17.532731023828379</v>
      </c>
      <c r="I17" s="24">
        <f t="shared" si="1"/>
        <v>17.532731023828379</v>
      </c>
      <c r="J17" s="24">
        <f t="shared" si="1"/>
        <v>17.532731023828379</v>
      </c>
      <c r="K17" s="24">
        <f t="shared" si="2"/>
        <v>17.532731023828379</v>
      </c>
    </row>
    <row r="18" spans="2:11" ht="15.75" x14ac:dyDescent="0.25">
      <c r="B18" s="23">
        <f t="shared" si="3"/>
        <v>2031</v>
      </c>
      <c r="C18" s="24">
        <v>157.07708779443257</v>
      </c>
      <c r="D18" s="24">
        <v>157.07708779443257</v>
      </c>
      <c r="E18" s="24">
        <v>157.07708779443257</v>
      </c>
      <c r="F18" s="24">
        <v>157.07708779443257</v>
      </c>
      <c r="H18" s="24">
        <f t="shared" si="0"/>
        <v>17.93117440575714</v>
      </c>
      <c r="I18" s="24">
        <f t="shared" si="1"/>
        <v>17.93117440575714</v>
      </c>
      <c r="J18" s="24">
        <f t="shared" si="1"/>
        <v>17.93117440575714</v>
      </c>
      <c r="K18" s="24">
        <f t="shared" si="2"/>
        <v>17.93117440575714</v>
      </c>
    </row>
    <row r="19" spans="2:11" ht="15.75" x14ac:dyDescent="0.25">
      <c r="B19" s="23">
        <f t="shared" si="3"/>
        <v>2032</v>
      </c>
      <c r="C19" s="24">
        <v>160.64239828693789</v>
      </c>
      <c r="D19" s="24">
        <v>160.64239828693789</v>
      </c>
      <c r="E19" s="24">
        <v>160.64239828693789</v>
      </c>
      <c r="F19" s="24">
        <v>160.64239828693789</v>
      </c>
      <c r="H19" s="24">
        <f t="shared" si="0"/>
        <v>18.288069021737009</v>
      </c>
      <c r="I19" s="24">
        <f t="shared" si="1"/>
        <v>18.288069021737009</v>
      </c>
      <c r="J19" s="24">
        <f t="shared" si="1"/>
        <v>18.288069021737009</v>
      </c>
      <c r="K19" s="24">
        <f t="shared" si="2"/>
        <v>18.288069021737009</v>
      </c>
    </row>
    <row r="20" spans="2:11" ht="15.75" x14ac:dyDescent="0.25">
      <c r="B20" s="23">
        <f t="shared" si="3"/>
        <v>2033</v>
      </c>
      <c r="C20" s="24">
        <v>164.28265524625269</v>
      </c>
      <c r="D20" s="24">
        <v>164.28265524625269</v>
      </c>
      <c r="E20" s="24">
        <v>164.28265524625269</v>
      </c>
      <c r="F20" s="24">
        <v>164.28265524625269</v>
      </c>
      <c r="H20" s="24">
        <f t="shared" si="0"/>
        <v>18.753727767837066</v>
      </c>
      <c r="I20" s="24">
        <f t="shared" si="1"/>
        <v>18.753727767837066</v>
      </c>
      <c r="J20" s="24">
        <f t="shared" si="1"/>
        <v>18.753727767837066</v>
      </c>
      <c r="K20" s="24">
        <f t="shared" si="2"/>
        <v>18.753727767837066</v>
      </c>
    </row>
    <row r="21" spans="2:11" ht="15.75" x14ac:dyDescent="0.25">
      <c r="B21" s="23">
        <f t="shared" si="3"/>
        <v>2034</v>
      </c>
      <c r="C21" s="24">
        <v>168.01927194860815</v>
      </c>
      <c r="D21" s="24">
        <v>168.01927194860815</v>
      </c>
      <c r="E21" s="24">
        <v>168.01927194860815</v>
      </c>
      <c r="F21" s="24">
        <v>168.01927194860815</v>
      </c>
      <c r="H21" s="24">
        <f t="shared" si="0"/>
        <v>19.180282185914173</v>
      </c>
      <c r="I21" s="24">
        <f t="shared" si="1"/>
        <v>19.180282185914173</v>
      </c>
      <c r="J21" s="24">
        <f t="shared" si="1"/>
        <v>19.180282185914173</v>
      </c>
      <c r="K21" s="24">
        <f t="shared" si="2"/>
        <v>19.180282185914173</v>
      </c>
    </row>
    <row r="22" spans="2:11" ht="15.75" x14ac:dyDescent="0.25">
      <c r="B22" s="23">
        <f t="shared" si="3"/>
        <v>2035</v>
      </c>
      <c r="C22" s="24">
        <v>171.83083511777303</v>
      </c>
      <c r="D22" s="24">
        <v>171.83083511777303</v>
      </c>
      <c r="E22" s="24">
        <v>171.83083511777303</v>
      </c>
      <c r="F22" s="24">
        <v>171.83083511777303</v>
      </c>
      <c r="H22" s="24">
        <f t="shared" si="0"/>
        <v>19.615392136732083</v>
      </c>
      <c r="I22" s="24">
        <f t="shared" si="1"/>
        <v>19.615392136732083</v>
      </c>
      <c r="J22" s="24">
        <f t="shared" si="1"/>
        <v>19.615392136732083</v>
      </c>
      <c r="K22" s="24">
        <f t="shared" si="2"/>
        <v>19.615392136732083</v>
      </c>
    </row>
    <row r="23" spans="2:11" ht="15.75" x14ac:dyDescent="0.25">
      <c r="B23" s="23">
        <f t="shared" si="3"/>
        <v>2036</v>
      </c>
      <c r="C23" s="24">
        <v>175.73875802997861</v>
      </c>
      <c r="D23" s="24">
        <v>175.73875802997861</v>
      </c>
      <c r="E23" s="24">
        <v>175.73875802997861</v>
      </c>
      <c r="F23" s="24">
        <v>175.73875802997861</v>
      </c>
      <c r="H23" s="24">
        <f t="shared" si="0"/>
        <v>20.006689211063136</v>
      </c>
      <c r="I23" s="24">
        <f t="shared" si="1"/>
        <v>20.006689211063136</v>
      </c>
      <c r="J23" s="24">
        <f t="shared" si="1"/>
        <v>20.006689211063136</v>
      </c>
      <c r="K23" s="24">
        <f t="shared" si="2"/>
        <v>20.006689211063136</v>
      </c>
    </row>
    <row r="24" spans="2:11" ht="15.75" x14ac:dyDescent="0.25">
      <c r="B24" s="23">
        <f t="shared" si="3"/>
        <v>2037</v>
      </c>
      <c r="C24" s="24">
        <v>179.72162740899358</v>
      </c>
      <c r="D24" s="24">
        <v>179.72162740899358</v>
      </c>
      <c r="E24" s="24">
        <v>179.72162740899358</v>
      </c>
      <c r="F24" s="24">
        <v>179.72162740899358</v>
      </c>
      <c r="H24" s="24">
        <f t="shared" si="0"/>
        <v>20.516167512442188</v>
      </c>
      <c r="I24" s="24">
        <f t="shared" si="1"/>
        <v>20.516167512442188</v>
      </c>
      <c r="J24" s="24">
        <f t="shared" si="1"/>
        <v>20.516167512442188</v>
      </c>
      <c r="K24" s="24">
        <f t="shared" si="2"/>
        <v>20.516167512442188</v>
      </c>
    </row>
    <row r="25" spans="2:11" ht="15.75" x14ac:dyDescent="0.25">
      <c r="B25" s="23">
        <f t="shared" si="3"/>
        <v>2038</v>
      </c>
      <c r="C25" s="24">
        <v>183.80085653104925</v>
      </c>
      <c r="D25" s="24">
        <v>183.80085653104925</v>
      </c>
      <c r="E25" s="24">
        <v>183.80085653104925</v>
      </c>
      <c r="F25" s="24">
        <v>183.80085653104925</v>
      </c>
      <c r="H25" s="24">
        <f t="shared" si="0"/>
        <v>20.981832937334389</v>
      </c>
      <c r="I25" s="24">
        <f t="shared" si="1"/>
        <v>20.981832937334389</v>
      </c>
      <c r="J25" s="24">
        <f t="shared" si="1"/>
        <v>20.981832937334389</v>
      </c>
      <c r="K25" s="24">
        <f t="shared" si="2"/>
        <v>20.981832937334389</v>
      </c>
    </row>
    <row r="26" spans="2:11" ht="15.75" x14ac:dyDescent="0.25">
      <c r="B26" s="23">
        <f t="shared" si="3"/>
        <v>2039</v>
      </c>
      <c r="C26" s="24">
        <v>187.96573875802997</v>
      </c>
      <c r="D26" s="24">
        <v>187.96573875802997</v>
      </c>
      <c r="E26" s="24">
        <v>187.96573875802997</v>
      </c>
      <c r="F26" s="24">
        <v>187.96573875802997</v>
      </c>
      <c r="H26" s="24">
        <f t="shared" si="0"/>
        <v>21.457276113930362</v>
      </c>
      <c r="I26" s="24">
        <f t="shared" si="1"/>
        <v>21.457276113930362</v>
      </c>
      <c r="J26" s="24">
        <f t="shared" si="1"/>
        <v>21.457276113930362</v>
      </c>
      <c r="K26" s="24">
        <f t="shared" si="2"/>
        <v>21.457276113930362</v>
      </c>
    </row>
    <row r="27" spans="2:11" ht="15.75" x14ac:dyDescent="0.25">
      <c r="B27" s="23">
        <f t="shared" si="3"/>
        <v>2040</v>
      </c>
      <c r="C27" s="24">
        <v>192.23768736616705</v>
      </c>
      <c r="D27" s="24">
        <v>192.23768736616705</v>
      </c>
      <c r="E27" s="24">
        <v>192.23768736616705</v>
      </c>
      <c r="F27" s="24">
        <v>192.23768736616705</v>
      </c>
      <c r="H27" s="24">
        <f t="shared" si="0"/>
        <v>21.884982623652899</v>
      </c>
      <c r="I27" s="24">
        <f t="shared" si="1"/>
        <v>21.884982623652899</v>
      </c>
      <c r="J27" s="24">
        <f t="shared" si="1"/>
        <v>21.884982623652899</v>
      </c>
      <c r="K27" s="24">
        <f t="shared" si="2"/>
        <v>21.884982623652899</v>
      </c>
    </row>
    <row r="28" spans="2:11" ht="15.75" x14ac:dyDescent="0.25">
      <c r="B28" s="23">
        <f t="shared" si="3"/>
        <v>2041</v>
      </c>
      <c r="C28" s="24">
        <v>196.60599571734477</v>
      </c>
      <c r="D28" s="24">
        <v>196.60599571734477</v>
      </c>
      <c r="E28" s="24">
        <v>196.60599571734477</v>
      </c>
      <c r="F28" s="24">
        <v>196.60599571734477</v>
      </c>
      <c r="H28" s="24">
        <f t="shared" ref="H28" si="4">C28*1000/(IF(MOD($B28,4)=0,8784,8760)*1)</f>
        <v>22.44360681704849</v>
      </c>
      <c r="I28" s="24">
        <f t="shared" ref="I28" si="5">D28*1000/(IF(MOD($B28,4)=0,8784,8760)*1)</f>
        <v>22.44360681704849</v>
      </c>
      <c r="J28" s="24">
        <f t="shared" ref="J28" si="6">E28*1000/(IF(MOD($B28,4)=0,8784,8760)*1)</f>
        <v>22.44360681704849</v>
      </c>
      <c r="K28" s="24">
        <f t="shared" ref="K28" si="7">F28*1000/(IF(MOD($B28,4)=0,8784,8760)*1)</f>
        <v>22.44360681704849</v>
      </c>
    </row>
    <row r="29" spans="2:11" ht="15.75" x14ac:dyDescent="0.25">
      <c r="B29" s="23"/>
      <c r="C29" s="25"/>
      <c r="D29" s="25"/>
      <c r="E29" s="25"/>
      <c r="F29" s="25"/>
      <c r="H29" s="25"/>
      <c r="I29" s="25"/>
      <c r="J29" s="25"/>
    </row>
    <row r="30" spans="2:11" x14ac:dyDescent="0.2">
      <c r="B30" s="18" t="str">
        <f>"Nominal Levelized Payment at "&amp;TEXT($B$41,"0.000%")&amp;" Discount Rate (2)"</f>
        <v>Nominal Levelized Payment at 6.770% Discount Rate (2)</v>
      </c>
    </row>
    <row r="31" spans="2:11" x14ac:dyDescent="0.2">
      <c r="B31" s="26" t="str">
        <f>$B$11&amp;" - "&amp;B25</f>
        <v>2024 - 2038</v>
      </c>
      <c r="C31" s="27">
        <f t="shared" ref="C31:F33" si="8">PMT($B$41,COUNT(C11:C25),-NPV($B$41,C11:C25))</f>
        <v>80.090984058103288</v>
      </c>
      <c r="D31" s="27">
        <f t="shared" ref="D31:E31" si="9">PMT($B$41,COUNT(D11:D25),-NPV($B$41,D11:D25))</f>
        <v>80.090984058103288</v>
      </c>
      <c r="E31" s="27">
        <f t="shared" si="9"/>
        <v>80.090984058103288</v>
      </c>
      <c r="F31" s="27">
        <f t="shared" si="8"/>
        <v>80.090984058103288</v>
      </c>
      <c r="H31" s="27">
        <f t="shared" ref="H31:K33" si="10">PMT($B$41,COUNT(H11:H25),-NPV($B$41,H11:H25))</f>
        <v>9.1372687900522198</v>
      </c>
      <c r="I31" s="27">
        <f t="shared" ref="I31:J31" si="11">PMT($B$41,COUNT(I11:I25),-NPV($B$41,I11:I25))</f>
        <v>9.1372687900522198</v>
      </c>
      <c r="J31" s="27">
        <f t="shared" si="11"/>
        <v>9.1372687900522198</v>
      </c>
      <c r="K31" s="27">
        <f t="shared" si="10"/>
        <v>9.1372687900522198</v>
      </c>
    </row>
    <row r="32" spans="2:11" x14ac:dyDescent="0.2">
      <c r="B32" s="26" t="str">
        <f>$B$12&amp;" - "&amp;B26</f>
        <v>2025 - 2039</v>
      </c>
      <c r="C32" s="27">
        <f t="shared" si="8"/>
        <v>93.126697384455198</v>
      </c>
      <c r="D32" s="27">
        <f t="shared" ref="D32:E32" si="12">PMT($B$41,COUNT(D12:D26),-NPV($B$41,D12:D26))</f>
        <v>93.126697384455198</v>
      </c>
      <c r="E32" s="27">
        <f t="shared" si="12"/>
        <v>93.126697384455198</v>
      </c>
      <c r="F32" s="27">
        <f t="shared" si="8"/>
        <v>93.126697384455198</v>
      </c>
      <c r="H32" s="27">
        <f t="shared" si="10"/>
        <v>10.624989022483319</v>
      </c>
      <c r="I32" s="27">
        <f t="shared" ref="I32:J32" si="13">PMT($B$41,COUNT(I12:I26),-NPV($B$41,I12:I26))</f>
        <v>10.624989022483319</v>
      </c>
      <c r="J32" s="27">
        <f t="shared" si="13"/>
        <v>10.624989022483319</v>
      </c>
      <c r="K32" s="27">
        <f t="shared" si="10"/>
        <v>10.624989022483319</v>
      </c>
    </row>
    <row r="33" spans="2:14" x14ac:dyDescent="0.2">
      <c r="B33" s="26" t="str">
        <f>$B$13&amp;" - "&amp;B27</f>
        <v>2026 - 2040</v>
      </c>
      <c r="C33" s="27">
        <f t="shared" si="8"/>
        <v>107.21796381449253</v>
      </c>
      <c r="D33" s="27">
        <f t="shared" ref="D33:E33" si="14">PMT($B$41,COUNT(D13:D27),-NPV($B$41,D13:D27))</f>
        <v>107.21796381449253</v>
      </c>
      <c r="E33" s="27">
        <f t="shared" si="14"/>
        <v>107.21796381449253</v>
      </c>
      <c r="F33" s="27">
        <f t="shared" si="8"/>
        <v>107.21796381449253</v>
      </c>
      <c r="H33" s="27">
        <f t="shared" si="10"/>
        <v>12.230752170142148</v>
      </c>
      <c r="I33" s="27">
        <f t="shared" ref="I33:J33" si="15">PMT($B$41,COUNT(I13:I27),-NPV($B$41,I13:I27))</f>
        <v>12.230752170142148</v>
      </c>
      <c r="J33" s="27">
        <f t="shared" si="15"/>
        <v>12.230752170142148</v>
      </c>
      <c r="K33" s="27">
        <f t="shared" si="10"/>
        <v>12.230752170142148</v>
      </c>
    </row>
    <row r="35" spans="2:14" x14ac:dyDescent="0.2">
      <c r="B35" s="18" t="str">
        <f>"(1)   Capacity costs are allocated based on assumed "&amp;TEXT(B43,"00%")&amp;" capacity factor."</f>
        <v>(1)   Capacity costs are allocated based on assumed 100% capacity factor.</v>
      </c>
    </row>
    <row r="36" spans="2:14" s="1" customFormat="1" x14ac:dyDescent="0.2">
      <c r="B36" s="18" t="str">
        <f>"(2)   "&amp;MID(Total!B36,7,99)</f>
        <v>(2)   Official Forward Price Curve Dated September 2023</v>
      </c>
      <c r="C36" s="18"/>
      <c r="D36" s="18"/>
      <c r="E36" s="18"/>
      <c r="F36" s="18"/>
      <c r="G36" s="18"/>
      <c r="H36" s="18"/>
      <c r="I36" s="18"/>
      <c r="J36" s="18"/>
      <c r="M36"/>
      <c r="N36"/>
    </row>
    <row r="37" spans="2:14" x14ac:dyDescent="0.2">
      <c r="B37" s="18" t="s">
        <v>17</v>
      </c>
    </row>
    <row r="40" spans="2:14" x14ac:dyDescent="0.2">
      <c r="B40" s="18" t="str">
        <f>MID(Total!B36,7,99)</f>
        <v>Official Forward Price Curve Dated September 2023</v>
      </c>
    </row>
    <row r="41" spans="2:14" x14ac:dyDescent="0.2">
      <c r="B41" s="28">
        <f>Discount_Rate</f>
        <v>6.7699999999999996E-2</v>
      </c>
    </row>
    <row r="42" spans="2:14" x14ac:dyDescent="0.2">
      <c r="B42" s="18" t="s">
        <v>18</v>
      </c>
    </row>
    <row r="43" spans="2:14" x14ac:dyDescent="0.2">
      <c r="B43" s="71">
        <v>1</v>
      </c>
    </row>
  </sheetData>
  <printOptions horizontalCentered="1"/>
  <pageMargins left="0.25" right="0.25" top="0.75" bottom="0.75" header="0.3" footer="0.2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Fred Nass</cp:lastModifiedBy>
  <cp:lastPrinted>2015-11-10T17:35:19Z</cp:lastPrinted>
  <dcterms:created xsi:type="dcterms:W3CDTF">2006-07-10T20:43:15Z</dcterms:created>
  <dcterms:modified xsi:type="dcterms:W3CDTF">2023-12-27T18:16:00Z</dcterms:modified>
</cp:coreProperties>
</file>