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9\"/>
    </mc:Choice>
  </mc:AlternateContent>
  <xr:revisionPtr revIDLastSave="0" documentId="8_{3785B1D0-8FEA-4430-9563-71AC9E71F257}" xr6:coauthVersionLast="47" xr6:coauthVersionMax="47" xr10:uidLastSave="{00000000-0000-0000-0000-000000000000}"/>
  <bookViews>
    <workbookView xWindow="1800" yWindow="0" windowWidth="24600" windowHeight="15480" xr2:uid="{D7D22DA5-E492-4BE5-AF47-149D4486625A}"/>
  </bookViews>
  <sheets>
    <sheet name="TOTAL FUNCFAC" sheetId="1" r:id="rId1"/>
    <sheet name="TAX DEPR" sheetId="2" r:id="rId2"/>
    <sheet name="GROSS PLANT" sheetId="3" r:id="rId3"/>
    <sheet name="FORM 1" sheetId="4" r:id="rId4"/>
    <sheet name="BOOKDPR" sheetId="5" r:id="rId5"/>
    <sheet name="ELEC OPS" sheetId="6" r:id="rId6"/>
    <sheet name="GP" sheetId="7" r:id="rId7"/>
    <sheet name="IP" sheetId="8" r:id="rId8"/>
    <sheet name="SCH M" sheetId="9" r:id="rId9"/>
    <sheet name="REGASSETS&amp;DDS" sheetId="10" r:id="rId10"/>
    <sheet name="ACCUMDIT" sheetId="11" r:id="rId11"/>
  </sheets>
  <definedNames>
    <definedName name="_xlnm.Print_Area" localSheetId="10">ACCUMDIT!$A$1:$H$90</definedName>
    <definedName name="_xlnm.Print_Area" localSheetId="4">BOOKDPR!$A$1:$G$22</definedName>
    <definedName name="_xlnm.Print_Area" localSheetId="5">'ELEC OPS'!$A$1:$I$41</definedName>
    <definedName name="_xlnm.Print_Area" localSheetId="3">'FORM 1'!$A$1:$G$57</definedName>
    <definedName name="_xlnm.Print_Area" localSheetId="6">GP!$A$1:$I$51</definedName>
    <definedName name="_xlnm.Print_Area" localSheetId="2">'GROSS PLANT'!$A$1:$I$52</definedName>
    <definedName name="_xlnm.Print_Area" localSheetId="7">IP!$A$1:$H$46</definedName>
    <definedName name="_xlnm.Print_Area" localSheetId="9">'REGASSETS&amp;DDS'!$A$1:$J$84</definedName>
    <definedName name="_xlnm.Print_Area" localSheetId="8">'SCH M'!$A$1:$J$155</definedName>
    <definedName name="_xlnm.Print_Area" localSheetId="1">'TAX DEPR'!$A$1:$G$25</definedName>
    <definedName name="Z_20A63875_964B_11D5_AAED_0004762A99E9_.wvu.PrintArea" localSheetId="5" hidden="1">'ELEC OPS'!$A$7:$I$38</definedName>
    <definedName name="Z_20A63875_964B_11D5_AAED_0004762A99E9_.wvu.PrintArea" localSheetId="9" hidden="1">'REGASSETS&amp;DDS'!$B$6:$J$83</definedName>
    <definedName name="Z_20A63875_964B_11D5_AAED_0004762A99E9_.wvu.PrintArea" localSheetId="8" hidden="1">'SCH M'!$B$6:$J$155</definedName>
    <definedName name="Z_20A63875_964B_11D5_AAED_0004762A99E9_.wvu.PrintArea" localSheetId="0" hidden="1">'TOTAL FUNCFAC'!$A$7:$H$63</definedName>
    <definedName name="Z_20A63875_964B_11D5_AAED_0004762A99E9_.wvu.PrintTitles" localSheetId="5" hidden="1">'ELEC OPS'!$1:$6</definedName>
    <definedName name="Z_20A63875_964B_11D5_AAED_0004762A99E9_.wvu.PrintTitles" localSheetId="9" hidden="1">'REGASSETS&amp;DDS'!$1:$5</definedName>
    <definedName name="Z_20A63875_964B_11D5_AAED_0004762A99E9_.wvu.PrintTitles" localSheetId="8" hidden="1">'SCH M'!$1:$5</definedName>
    <definedName name="Z_20A63875_964B_11D5_AAED_0004762A99E9_.wvu.PrintTitles" localSheetId="0" hidden="1">'TOTAL FUNCFAC'!$1:$6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1" l="1"/>
  <c r="G90" i="11"/>
  <c r="D90" i="11"/>
  <c r="C88" i="11"/>
  <c r="H86" i="11"/>
  <c r="H22" i="11" s="1"/>
  <c r="G86" i="11"/>
  <c r="F86" i="11"/>
  <c r="F30" i="11" s="1"/>
  <c r="C85" i="11"/>
  <c r="C81" i="11"/>
  <c r="C80" i="11"/>
  <c r="C78" i="11"/>
  <c r="C77" i="11"/>
  <c r="C72" i="11"/>
  <c r="C66" i="11"/>
  <c r="H63" i="11"/>
  <c r="G63" i="11"/>
  <c r="F63" i="11"/>
  <c r="E63" i="11"/>
  <c r="D63" i="11"/>
  <c r="H62" i="11"/>
  <c r="G62" i="11"/>
  <c r="F62" i="11"/>
  <c r="E62" i="11"/>
  <c r="D62" i="11"/>
  <c r="H60" i="11"/>
  <c r="G60" i="11"/>
  <c r="F60" i="11"/>
  <c r="E60" i="11"/>
  <c r="D60" i="11"/>
  <c r="H59" i="11"/>
  <c r="G59" i="11"/>
  <c r="F59" i="11"/>
  <c r="E59" i="11"/>
  <c r="D59" i="11"/>
  <c r="H56" i="11"/>
  <c r="G56" i="11"/>
  <c r="F56" i="11"/>
  <c r="E56" i="11"/>
  <c r="D56" i="11"/>
  <c r="H55" i="11"/>
  <c r="G55" i="11"/>
  <c r="F55" i="11"/>
  <c r="E55" i="11"/>
  <c r="D55" i="11"/>
  <c r="H52" i="11"/>
  <c r="G52" i="11"/>
  <c r="F52" i="11"/>
  <c r="E52" i="11"/>
  <c r="D52" i="11"/>
  <c r="H51" i="11"/>
  <c r="G51" i="11"/>
  <c r="F51" i="11"/>
  <c r="E51" i="11"/>
  <c r="D51" i="11"/>
  <c r="H50" i="11"/>
  <c r="G50" i="11"/>
  <c r="F50" i="11"/>
  <c r="E50" i="11"/>
  <c r="D50" i="11"/>
  <c r="G47" i="11"/>
  <c r="G46" i="11"/>
  <c r="H45" i="11"/>
  <c r="G45" i="11"/>
  <c r="F45" i="11"/>
  <c r="E45" i="11"/>
  <c r="D45" i="11"/>
  <c r="H43" i="11"/>
  <c r="G43" i="11"/>
  <c r="F43" i="11"/>
  <c r="E43" i="11"/>
  <c r="D43" i="11"/>
  <c r="H42" i="11"/>
  <c r="G42" i="11"/>
  <c r="F42" i="11"/>
  <c r="E42" i="11"/>
  <c r="D42" i="11"/>
  <c r="G41" i="11"/>
  <c r="H39" i="11"/>
  <c r="G39" i="11"/>
  <c r="F39" i="11"/>
  <c r="E39" i="11"/>
  <c r="D39" i="11"/>
  <c r="H35" i="11"/>
  <c r="G35" i="11"/>
  <c r="F35" i="11"/>
  <c r="E35" i="11"/>
  <c r="D35" i="11"/>
  <c r="H34" i="11"/>
  <c r="G34" i="11"/>
  <c r="F34" i="11"/>
  <c r="E34" i="11"/>
  <c r="D34" i="11"/>
  <c r="H32" i="11"/>
  <c r="G32" i="11"/>
  <c r="F32" i="11"/>
  <c r="E32" i="11"/>
  <c r="D32" i="11"/>
  <c r="H31" i="11"/>
  <c r="G31" i="11"/>
  <c r="F31" i="11"/>
  <c r="E31" i="11"/>
  <c r="D31" i="11"/>
  <c r="H30" i="11"/>
  <c r="G30" i="11"/>
  <c r="G29" i="11"/>
  <c r="H24" i="11"/>
  <c r="G24" i="11"/>
  <c r="F24" i="11"/>
  <c r="E24" i="11"/>
  <c r="D24" i="11"/>
  <c r="G22" i="11"/>
  <c r="G21" i="11"/>
  <c r="H20" i="11"/>
  <c r="G20" i="11"/>
  <c r="F20" i="11"/>
  <c r="E20" i="11"/>
  <c r="D20" i="11"/>
  <c r="H19" i="11"/>
  <c r="G19" i="11"/>
  <c r="F19" i="11"/>
  <c r="E19" i="11"/>
  <c r="D19" i="11"/>
  <c r="H18" i="11"/>
  <c r="G18" i="11"/>
  <c r="F18" i="11"/>
  <c r="E18" i="11"/>
  <c r="D18" i="11"/>
  <c r="H17" i="11"/>
  <c r="G17" i="11"/>
  <c r="F17" i="11"/>
  <c r="E17" i="11"/>
  <c r="D17" i="11"/>
  <c r="H16" i="11"/>
  <c r="G16" i="11"/>
  <c r="F16" i="11"/>
  <c r="E16" i="11"/>
  <c r="D16" i="11"/>
  <c r="H15" i="11"/>
  <c r="G15" i="11"/>
  <c r="F15" i="11"/>
  <c r="E15" i="11"/>
  <c r="D15" i="11"/>
  <c r="H14" i="11"/>
  <c r="G14" i="11"/>
  <c r="F14" i="11"/>
  <c r="E14" i="11"/>
  <c r="D14" i="11"/>
  <c r="H11" i="11"/>
  <c r="G11" i="11"/>
  <c r="F11" i="11"/>
  <c r="E11" i="11"/>
  <c r="D11" i="11"/>
  <c r="H10" i="11"/>
  <c r="G10" i="11"/>
  <c r="F10" i="11"/>
  <c r="E10" i="11"/>
  <c r="D10" i="11"/>
  <c r="A2" i="11"/>
  <c r="A1" i="11"/>
  <c r="J84" i="10"/>
  <c r="I84" i="10"/>
  <c r="I14" i="10" s="1"/>
  <c r="F84" i="10"/>
  <c r="J82" i="10"/>
  <c r="J47" i="10" s="1"/>
  <c r="I82" i="10"/>
  <c r="I47" i="10" s="1"/>
  <c r="H82" i="10"/>
  <c r="F82" i="10"/>
  <c r="J80" i="10"/>
  <c r="I80" i="10"/>
  <c r="H80" i="10"/>
  <c r="J79" i="10"/>
  <c r="J7" i="10" s="1"/>
  <c r="I79" i="10"/>
  <c r="H79" i="10"/>
  <c r="H37" i="10" s="1"/>
  <c r="G79" i="10"/>
  <c r="G37" i="10" s="1"/>
  <c r="E77" i="10"/>
  <c r="E75" i="10"/>
  <c r="E74" i="10"/>
  <c r="E73" i="10"/>
  <c r="E72" i="10"/>
  <c r="E63" i="10"/>
  <c r="J61" i="10"/>
  <c r="I61" i="10"/>
  <c r="H61" i="10"/>
  <c r="G61" i="10"/>
  <c r="F61" i="10"/>
  <c r="A48" i="10"/>
  <c r="H47" i="10"/>
  <c r="F47" i="10"/>
  <c r="A47" i="10"/>
  <c r="H46" i="10"/>
  <c r="F46" i="10"/>
  <c r="H44" i="10"/>
  <c r="H42" i="10"/>
  <c r="G42" i="10"/>
  <c r="F42" i="10"/>
  <c r="J40" i="10"/>
  <c r="A40" i="10"/>
  <c r="I39" i="10"/>
  <c r="H39" i="10"/>
  <c r="F39" i="10"/>
  <c r="A39" i="10"/>
  <c r="J38" i="10"/>
  <c r="A38" i="10"/>
  <c r="I37" i="10"/>
  <c r="A37" i="10"/>
  <c r="J29" i="10"/>
  <c r="A29" i="10"/>
  <c r="J28" i="10"/>
  <c r="A28" i="10"/>
  <c r="A27" i="10"/>
  <c r="A26" i="10"/>
  <c r="A25" i="10"/>
  <c r="I24" i="10"/>
  <c r="J24" i="10"/>
  <c r="A24" i="10"/>
  <c r="I23" i="10"/>
  <c r="G23" i="10"/>
  <c r="A23" i="10"/>
  <c r="A22" i="10"/>
  <c r="F21" i="10"/>
  <c r="J21" i="10"/>
  <c r="A21" i="10"/>
  <c r="A20" i="10"/>
  <c r="H19" i="10"/>
  <c r="G19" i="10"/>
  <c r="J19" i="10"/>
  <c r="A19" i="10"/>
  <c r="I18" i="10"/>
  <c r="A18" i="10"/>
  <c r="A17" i="10"/>
  <c r="A16" i="10"/>
  <c r="F15" i="10"/>
  <c r="A15" i="10"/>
  <c r="F14" i="10"/>
  <c r="J14" i="10"/>
  <c r="A14" i="10"/>
  <c r="I13" i="10"/>
  <c r="H13" i="10"/>
  <c r="A13" i="10"/>
  <c r="I12" i="10"/>
  <c r="H12" i="10"/>
  <c r="J12" i="10"/>
  <c r="A12" i="10"/>
  <c r="A11" i="10"/>
  <c r="J10" i="10"/>
  <c r="G10" i="10"/>
  <c r="F10" i="10"/>
  <c r="I10" i="10"/>
  <c r="A10" i="10"/>
  <c r="A9" i="10"/>
  <c r="I8" i="10"/>
  <c r="H8" i="10"/>
  <c r="A8" i="10"/>
  <c r="H7" i="10"/>
  <c r="G7" i="10"/>
  <c r="I7" i="10"/>
  <c r="A7" i="10"/>
  <c r="H6" i="10"/>
  <c r="A6" i="10"/>
  <c r="B2" i="10"/>
  <c r="B1" i="10"/>
  <c r="J155" i="9"/>
  <c r="I155" i="9"/>
  <c r="F155" i="9"/>
  <c r="J153" i="9"/>
  <c r="J26" i="9" s="1"/>
  <c r="I153" i="9"/>
  <c r="H153" i="9"/>
  <c r="F153" i="9"/>
  <c r="J150" i="9"/>
  <c r="I150" i="9"/>
  <c r="H150" i="9"/>
  <c r="G150" i="9"/>
  <c r="G133" i="9" s="1"/>
  <c r="E147" i="9"/>
  <c r="E146" i="9"/>
  <c r="E144" i="9"/>
  <c r="E143" i="9"/>
  <c r="A141" i="9"/>
  <c r="A140" i="9"/>
  <c r="A138" i="9"/>
  <c r="A137" i="9"/>
  <c r="A135" i="9"/>
  <c r="A134" i="9"/>
  <c r="J133" i="9"/>
  <c r="I133" i="9"/>
  <c r="A133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J110" i="9"/>
  <c r="I110" i="9"/>
  <c r="H110" i="9"/>
  <c r="A110" i="9"/>
  <c r="A109" i="9"/>
  <c r="A108" i="9"/>
  <c r="A107" i="9"/>
  <c r="I106" i="9"/>
  <c r="G106" i="9"/>
  <c r="H106" i="9"/>
  <c r="A106" i="9"/>
  <c r="A105" i="9"/>
  <c r="A104" i="9"/>
  <c r="A103" i="9"/>
  <c r="A102" i="9"/>
  <c r="I101" i="9"/>
  <c r="J101" i="9"/>
  <c r="A101" i="9"/>
  <c r="A100" i="9"/>
  <c r="H99" i="9"/>
  <c r="A99" i="9"/>
  <c r="J98" i="9"/>
  <c r="I98" i="9"/>
  <c r="H98" i="9"/>
  <c r="A98" i="9"/>
  <c r="A97" i="9"/>
  <c r="A96" i="9"/>
  <c r="A95" i="9"/>
  <c r="A94" i="9"/>
  <c r="A93" i="9"/>
  <c r="I92" i="9"/>
  <c r="G92" i="9"/>
  <c r="F92" i="9"/>
  <c r="J92" i="9"/>
  <c r="A92" i="9"/>
  <c r="A91" i="9"/>
  <c r="A90" i="9"/>
  <c r="I89" i="9"/>
  <c r="H89" i="9"/>
  <c r="F89" i="9"/>
  <c r="G89" i="9"/>
  <c r="A89" i="9"/>
  <c r="J88" i="9"/>
  <c r="H88" i="9"/>
  <c r="I88" i="9"/>
  <c r="A88" i="9"/>
  <c r="A87" i="9"/>
  <c r="I86" i="9"/>
  <c r="A86" i="9"/>
  <c r="A85" i="9"/>
  <c r="J84" i="9"/>
  <c r="G84" i="9"/>
  <c r="A84" i="9"/>
  <c r="A83" i="9"/>
  <c r="I82" i="9"/>
  <c r="G82" i="9"/>
  <c r="A82" i="9"/>
  <c r="I81" i="9"/>
  <c r="H81" i="9"/>
  <c r="G81" i="9"/>
  <c r="F81" i="9"/>
  <c r="J81" i="9"/>
  <c r="A81" i="9"/>
  <c r="A79" i="9"/>
  <c r="A78" i="9"/>
  <c r="A77" i="9"/>
  <c r="A75" i="9"/>
  <c r="A74" i="9"/>
  <c r="A73" i="9"/>
  <c r="I72" i="9"/>
  <c r="G72" i="9"/>
  <c r="J72" i="9"/>
  <c r="A72" i="9"/>
  <c r="J71" i="9"/>
  <c r="I71" i="9"/>
  <c r="H71" i="9"/>
  <c r="A71" i="9"/>
  <c r="A70" i="9"/>
  <c r="A69" i="9"/>
  <c r="A67" i="9"/>
  <c r="A66" i="9"/>
  <c r="A64" i="9"/>
  <c r="A63" i="9"/>
  <c r="J62" i="9"/>
  <c r="I62" i="9"/>
  <c r="H62" i="9"/>
  <c r="G62" i="9"/>
  <c r="A62" i="9"/>
  <c r="J61" i="9"/>
  <c r="I61" i="9"/>
  <c r="H61" i="9"/>
  <c r="A61" i="9"/>
  <c r="A59" i="9"/>
  <c r="A57" i="9"/>
  <c r="A56" i="9"/>
  <c r="A53" i="9"/>
  <c r="A51" i="9"/>
  <c r="A50" i="9"/>
  <c r="I47" i="9"/>
  <c r="H47" i="9"/>
  <c r="A47" i="9"/>
  <c r="A46" i="9"/>
  <c r="J45" i="9"/>
  <c r="A45" i="9"/>
  <c r="A44" i="9"/>
  <c r="A43" i="9"/>
  <c r="J42" i="9"/>
  <c r="A42" i="9"/>
  <c r="G41" i="9"/>
  <c r="F41" i="9"/>
  <c r="J41" i="9"/>
  <c r="A41" i="9"/>
  <c r="J40" i="9"/>
  <c r="I40" i="9"/>
  <c r="H40" i="9"/>
  <c r="G40" i="9"/>
  <c r="F40" i="9"/>
  <c r="A40" i="9"/>
  <c r="I39" i="9"/>
  <c r="H39" i="9"/>
  <c r="G39" i="9"/>
  <c r="J39" i="9"/>
  <c r="A39" i="9"/>
  <c r="I38" i="9"/>
  <c r="H38" i="9"/>
  <c r="G38" i="9"/>
  <c r="F38" i="9"/>
  <c r="A38" i="9"/>
  <c r="A37" i="9"/>
  <c r="A36" i="9"/>
  <c r="A35" i="9"/>
  <c r="G34" i="9"/>
  <c r="J34" i="9"/>
  <c r="A34" i="9"/>
  <c r="A33" i="9"/>
  <c r="A32" i="9"/>
  <c r="I31" i="9"/>
  <c r="H31" i="9"/>
  <c r="G31" i="9"/>
  <c r="A31" i="9"/>
  <c r="I30" i="9"/>
  <c r="J30" i="9"/>
  <c r="A30" i="9"/>
  <c r="A29" i="9"/>
  <c r="A28" i="9"/>
  <c r="I27" i="9"/>
  <c r="H27" i="9"/>
  <c r="J27" i="9"/>
  <c r="A27" i="9"/>
  <c r="I26" i="9"/>
  <c r="H26" i="9"/>
  <c r="F26" i="9"/>
  <c r="A26" i="9"/>
  <c r="J25" i="9"/>
  <c r="I25" i="9"/>
  <c r="H25" i="9"/>
  <c r="A25" i="9"/>
  <c r="A24" i="9"/>
  <c r="J23" i="9"/>
  <c r="A23" i="9"/>
  <c r="A22" i="9"/>
  <c r="A21" i="9"/>
  <c r="A20" i="9"/>
  <c r="I19" i="9"/>
  <c r="H19" i="9"/>
  <c r="G19" i="9"/>
  <c r="A19" i="9"/>
  <c r="I18" i="9"/>
  <c r="J18" i="9"/>
  <c r="A18" i="9"/>
  <c r="A16" i="9"/>
  <c r="A15" i="9"/>
  <c r="A14" i="9"/>
  <c r="A13" i="9"/>
  <c r="A11" i="9"/>
  <c r="A10" i="9"/>
  <c r="A9" i="9"/>
  <c r="A8" i="9"/>
  <c r="A7" i="9"/>
  <c r="B2" i="9"/>
  <c r="B1" i="9"/>
  <c r="H45" i="8"/>
  <c r="H20" i="8" s="1"/>
  <c r="G45" i="8"/>
  <c r="F45" i="8"/>
  <c r="E45" i="8"/>
  <c r="D45" i="8"/>
  <c r="D20" i="8" s="1"/>
  <c r="C43" i="8"/>
  <c r="C42" i="8"/>
  <c r="H41" i="8"/>
  <c r="G41" i="8"/>
  <c r="D41" i="8"/>
  <c r="H40" i="8"/>
  <c r="G40" i="8"/>
  <c r="F40" i="8"/>
  <c r="F24" i="8" s="1"/>
  <c r="D40" i="8"/>
  <c r="H39" i="8"/>
  <c r="G39" i="8"/>
  <c r="F39" i="8"/>
  <c r="E39" i="8"/>
  <c r="H32" i="8"/>
  <c r="G32" i="8"/>
  <c r="F32" i="8"/>
  <c r="E32" i="8"/>
  <c r="D32" i="8"/>
  <c r="C32" i="8"/>
  <c r="H31" i="8"/>
  <c r="G31" i="8"/>
  <c r="F31" i="8"/>
  <c r="E31" i="8"/>
  <c r="D31" i="8"/>
  <c r="C31" i="8" s="1"/>
  <c r="D25" i="8"/>
  <c r="D21" i="8"/>
  <c r="F20" i="8"/>
  <c r="E20" i="8"/>
  <c r="G17" i="8"/>
  <c r="H17" i="8"/>
  <c r="G15" i="8"/>
  <c r="H15" i="8"/>
  <c r="G13" i="8"/>
  <c r="H13" i="8"/>
  <c r="H12" i="8"/>
  <c r="G12" i="8"/>
  <c r="G9" i="8"/>
  <c r="H8" i="8"/>
  <c r="G8" i="8"/>
  <c r="A2" i="8"/>
  <c r="A1" i="8"/>
  <c r="C49" i="7"/>
  <c r="C48" i="7"/>
  <c r="H47" i="7"/>
  <c r="I14" i="7" s="1"/>
  <c r="G47" i="7"/>
  <c r="H14" i="7" s="1"/>
  <c r="D47" i="7"/>
  <c r="H46" i="7"/>
  <c r="G46" i="7"/>
  <c r="F46" i="7"/>
  <c r="D46" i="7"/>
  <c r="H45" i="7"/>
  <c r="G45" i="7"/>
  <c r="H16" i="7" s="1"/>
  <c r="H26" i="7" s="1"/>
  <c r="F45" i="7"/>
  <c r="G15" i="7" s="1"/>
  <c r="E45" i="7"/>
  <c r="F20" i="7" s="1"/>
  <c r="D26" i="7"/>
  <c r="H21" i="7"/>
  <c r="E21" i="7"/>
  <c r="I21" i="7"/>
  <c r="H19" i="7"/>
  <c r="I17" i="7"/>
  <c r="H17" i="7"/>
  <c r="G17" i="7"/>
  <c r="F17" i="7"/>
  <c r="E17" i="7"/>
  <c r="F16" i="7"/>
  <c r="F26" i="7" s="1"/>
  <c r="H15" i="7"/>
  <c r="F15" i="7"/>
  <c r="E14" i="7"/>
  <c r="I12" i="7"/>
  <c r="G12" i="7"/>
  <c r="F12" i="7"/>
  <c r="H12" i="7"/>
  <c r="H11" i="7"/>
  <c r="I9" i="7"/>
  <c r="A2" i="7"/>
  <c r="A1" i="7"/>
  <c r="D37" i="6"/>
  <c r="D35" i="6"/>
  <c r="D34" i="6"/>
  <c r="I33" i="6"/>
  <c r="H33" i="6"/>
  <c r="E33" i="6"/>
  <c r="I32" i="6"/>
  <c r="I16" i="6" s="1"/>
  <c r="H32" i="6"/>
  <c r="H10" i="6" s="1"/>
  <c r="G32" i="6"/>
  <c r="E32" i="6"/>
  <c r="E16" i="6" s="1"/>
  <c r="I31" i="6"/>
  <c r="I15" i="6" s="1"/>
  <c r="H31" i="6"/>
  <c r="H15" i="6" s="1"/>
  <c r="G31" i="6"/>
  <c r="F31" i="6"/>
  <c r="F7" i="6" s="1"/>
  <c r="I18" i="6"/>
  <c r="H18" i="6"/>
  <c r="H24" i="6" s="1"/>
  <c r="G18" i="6"/>
  <c r="F18" i="6"/>
  <c r="E18" i="6"/>
  <c r="D18" i="6"/>
  <c r="G16" i="6"/>
  <c r="G15" i="6"/>
  <c r="I14" i="6"/>
  <c r="H14" i="6"/>
  <c r="G14" i="6"/>
  <c r="F14" i="6"/>
  <c r="E14" i="6"/>
  <c r="D17" i="6"/>
  <c r="I13" i="6"/>
  <c r="I21" i="6" s="1"/>
  <c r="I27" i="6" s="1"/>
  <c r="G39" i="1" s="1"/>
  <c r="H13" i="6"/>
  <c r="H21" i="6" s="1"/>
  <c r="H27" i="6" s="1"/>
  <c r="F39" i="1" s="1"/>
  <c r="G13" i="6"/>
  <c r="G21" i="6" s="1"/>
  <c r="F13" i="6"/>
  <c r="F21" i="6" s="1"/>
  <c r="E13" i="6"/>
  <c r="E21" i="6" s="1"/>
  <c r="D21" i="6"/>
  <c r="H12" i="6"/>
  <c r="G12" i="6"/>
  <c r="G20" i="6" s="1"/>
  <c r="G11" i="6"/>
  <c r="D20" i="6"/>
  <c r="G10" i="6"/>
  <c r="G9" i="6"/>
  <c r="F9" i="6"/>
  <c r="D19" i="6"/>
  <c r="H8" i="6"/>
  <c r="G8" i="6"/>
  <c r="D22" i="6"/>
  <c r="A2" i="6"/>
  <c r="A1" i="6"/>
  <c r="G21" i="5"/>
  <c r="F21" i="5"/>
  <c r="C21" i="5"/>
  <c r="G18" i="5"/>
  <c r="G8" i="5" s="1"/>
  <c r="F18" i="5"/>
  <c r="D18" i="5"/>
  <c r="C18" i="5"/>
  <c r="G17" i="5"/>
  <c r="F17" i="5"/>
  <c r="F11" i="5" s="1"/>
  <c r="E17" i="5"/>
  <c r="C17" i="5"/>
  <c r="C11" i="5" s="1"/>
  <c r="G16" i="5"/>
  <c r="F16" i="5"/>
  <c r="F9" i="5" s="1"/>
  <c r="E16" i="5"/>
  <c r="E9" i="5" s="1"/>
  <c r="D16" i="5"/>
  <c r="E11" i="5"/>
  <c r="F8" i="5"/>
  <c r="D8" i="5"/>
  <c r="C8" i="5"/>
  <c r="G7" i="5"/>
  <c r="F7" i="5"/>
  <c r="C7" i="5"/>
  <c r="E7" i="5"/>
  <c r="A2" i="5"/>
  <c r="A1" i="5"/>
  <c r="G39" i="4"/>
  <c r="F39" i="4"/>
  <c r="E39" i="4"/>
  <c r="D39" i="4"/>
  <c r="D19" i="1" s="1"/>
  <c r="B39" i="4"/>
  <c r="C37" i="4"/>
  <c r="C39" i="4" s="1"/>
  <c r="F32" i="4"/>
  <c r="F32" i="1" s="1"/>
  <c r="B32" i="4"/>
  <c r="B30" i="4"/>
  <c r="G32" i="4" s="1"/>
  <c r="G32" i="1" s="1"/>
  <c r="F23" i="4"/>
  <c r="B23" i="4" s="1"/>
  <c r="C10" i="4"/>
  <c r="B9" i="4"/>
  <c r="E8" i="4"/>
  <c r="E10" i="4" s="1"/>
  <c r="E15" i="4" s="1"/>
  <c r="D8" i="4"/>
  <c r="D10" i="4" s="1"/>
  <c r="C8" i="4"/>
  <c r="A1" i="4"/>
  <c r="D50" i="3"/>
  <c r="D49" i="3"/>
  <c r="I48" i="3"/>
  <c r="H48" i="3"/>
  <c r="E48" i="3"/>
  <c r="I47" i="3"/>
  <c r="H47" i="3"/>
  <c r="G47" i="3"/>
  <c r="E47" i="3"/>
  <c r="E10" i="3" s="1"/>
  <c r="I46" i="3"/>
  <c r="H46" i="3"/>
  <c r="G46" i="3"/>
  <c r="F46" i="3"/>
  <c r="F9" i="3" s="1"/>
  <c r="D37" i="3"/>
  <c r="C37" i="3"/>
  <c r="I37" i="3" s="1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H31" i="3"/>
  <c r="D31" i="3"/>
  <c r="C31" i="3"/>
  <c r="B31" i="3"/>
  <c r="D30" i="3"/>
  <c r="C30" i="3"/>
  <c r="B30" i="3"/>
  <c r="D29" i="3"/>
  <c r="C29" i="3"/>
  <c r="B29" i="3"/>
  <c r="D28" i="3"/>
  <c r="C28" i="3"/>
  <c r="I28" i="3" s="1"/>
  <c r="B28" i="3"/>
  <c r="D27" i="3"/>
  <c r="C27" i="3"/>
  <c r="B27" i="3"/>
  <c r="D23" i="3"/>
  <c r="C23" i="3"/>
  <c r="I23" i="3" s="1"/>
  <c r="B23" i="3"/>
  <c r="D22" i="3"/>
  <c r="C22" i="3"/>
  <c r="B22" i="3"/>
  <c r="D21" i="3"/>
  <c r="C21" i="3"/>
  <c r="B21" i="3"/>
  <c r="C20" i="3"/>
  <c r="B20" i="3"/>
  <c r="D19" i="3"/>
  <c r="C19" i="3"/>
  <c r="E19" i="3" s="1"/>
  <c r="B19" i="3"/>
  <c r="D18" i="3"/>
  <c r="C18" i="3"/>
  <c r="I18" i="3" s="1"/>
  <c r="B18" i="3"/>
  <c r="C17" i="3"/>
  <c r="B17" i="3"/>
  <c r="D16" i="3"/>
  <c r="C16" i="3"/>
  <c r="B16" i="3"/>
  <c r="D15" i="3"/>
  <c r="C15" i="3"/>
  <c r="B15" i="3"/>
  <c r="C14" i="3"/>
  <c r="B14" i="3"/>
  <c r="D12" i="3"/>
  <c r="I11" i="3"/>
  <c r="H11" i="3"/>
  <c r="G11" i="3"/>
  <c r="F11" i="3"/>
  <c r="E11" i="3"/>
  <c r="I10" i="3"/>
  <c r="H10" i="3"/>
  <c r="G10" i="3"/>
  <c r="I9" i="3"/>
  <c r="H9" i="3"/>
  <c r="A2" i="3"/>
  <c r="G330" i="2"/>
  <c r="F330" i="2"/>
  <c r="E330" i="2"/>
  <c r="D330" i="2"/>
  <c r="C330" i="2"/>
  <c r="C19" i="2"/>
  <c r="B19" i="2"/>
  <c r="G18" i="2"/>
  <c r="G21" i="2" s="1"/>
  <c r="F18" i="2"/>
  <c r="F21" i="2" s="1"/>
  <c r="E18" i="2"/>
  <c r="E21" i="2" s="1"/>
  <c r="D18" i="2"/>
  <c r="C18" i="2"/>
  <c r="C21" i="2" s="1"/>
  <c r="B14" i="2"/>
  <c r="B8" i="2"/>
  <c r="A2" i="2"/>
  <c r="A1" i="2"/>
  <c r="H73" i="1"/>
  <c r="H72" i="1"/>
  <c r="H71" i="1"/>
  <c r="H70" i="1"/>
  <c r="H69" i="1"/>
  <c r="H68" i="1"/>
  <c r="H67" i="1"/>
  <c r="H66" i="1"/>
  <c r="G64" i="1"/>
  <c r="G21" i="1" s="1"/>
  <c r="G22" i="1" s="1"/>
  <c r="F64" i="1"/>
  <c r="F21" i="1" s="1"/>
  <c r="F22" i="1" s="1"/>
  <c r="E64" i="1"/>
  <c r="G63" i="1"/>
  <c r="F63" i="1"/>
  <c r="C63" i="1"/>
  <c r="G61" i="1"/>
  <c r="F61" i="1"/>
  <c r="E61" i="1"/>
  <c r="C61" i="1"/>
  <c r="H52" i="1"/>
  <c r="H42" i="1"/>
  <c r="G40" i="1"/>
  <c r="F40" i="1"/>
  <c r="E40" i="1"/>
  <c r="D40" i="1"/>
  <c r="H28" i="1"/>
  <c r="H27" i="1"/>
  <c r="E21" i="1"/>
  <c r="E22" i="1" s="1"/>
  <c r="G19" i="1"/>
  <c r="F19" i="1"/>
  <c r="E19" i="1"/>
  <c r="C19" i="1"/>
  <c r="H18" i="1"/>
  <c r="G17" i="1"/>
  <c r="F17" i="1"/>
  <c r="D17" i="1"/>
  <c r="C17" i="1"/>
  <c r="H16" i="1"/>
  <c r="H12" i="1"/>
  <c r="H10" i="1"/>
  <c r="H9" i="1"/>
  <c r="F21" i="11" l="1"/>
  <c r="G8" i="10"/>
  <c r="J26" i="10"/>
  <c r="J22" i="10"/>
  <c r="G26" i="10"/>
  <c r="G22" i="10"/>
  <c r="G13" i="10"/>
  <c r="J23" i="10"/>
  <c r="J37" i="10"/>
  <c r="G44" i="10"/>
  <c r="G101" i="9"/>
  <c r="J87" i="9"/>
  <c r="G61" i="9"/>
  <c r="G88" i="9"/>
  <c r="G115" i="9" s="1"/>
  <c r="G27" i="9"/>
  <c r="G25" i="9"/>
  <c r="G71" i="9"/>
  <c r="E37" i="3"/>
  <c r="H29" i="3"/>
  <c r="C29" i="8"/>
  <c r="H9" i="7"/>
  <c r="I15" i="3"/>
  <c r="H21" i="3"/>
  <c r="E10" i="6"/>
  <c r="H16" i="6"/>
  <c r="E24" i="6"/>
  <c r="F11" i="6"/>
  <c r="E8" i="6"/>
  <c r="E12" i="6"/>
  <c r="G17" i="6"/>
  <c r="G23" i="6" s="1"/>
  <c r="E38" i="1" s="1"/>
  <c r="F15" i="6"/>
  <c r="G26" i="6"/>
  <c r="E36" i="1" s="1"/>
  <c r="E37" i="1" s="1"/>
  <c r="E34" i="1" s="1"/>
  <c r="I17" i="6"/>
  <c r="I23" i="6" s="1"/>
  <c r="G38" i="1" s="1"/>
  <c r="G20" i="7"/>
  <c r="E27" i="6"/>
  <c r="C39" i="1" s="1"/>
  <c r="H19" i="1"/>
  <c r="G8" i="7"/>
  <c r="G29" i="7" s="1"/>
  <c r="G16" i="7"/>
  <c r="G26" i="7" s="1"/>
  <c r="G9" i="7"/>
  <c r="C32" i="4"/>
  <c r="C32" i="1" s="1"/>
  <c r="E23" i="3"/>
  <c r="D32" i="4"/>
  <c r="D32" i="1" s="1"/>
  <c r="E18" i="5"/>
  <c r="E8" i="5" s="1"/>
  <c r="E17" i="1"/>
  <c r="H17" i="1" s="1"/>
  <c r="I31" i="3"/>
  <c r="G28" i="3"/>
  <c r="D38" i="3"/>
  <c r="F31" i="3"/>
  <c r="H28" i="3"/>
  <c r="B8" i="4"/>
  <c r="F24" i="6"/>
  <c r="H18" i="3"/>
  <c r="I21" i="3"/>
  <c r="G31" i="3"/>
  <c r="G24" i="6"/>
  <c r="G18" i="3"/>
  <c r="F28" i="3"/>
  <c r="I24" i="6"/>
  <c r="H37" i="3"/>
  <c r="F27" i="6"/>
  <c r="D39" i="1" s="1"/>
  <c r="B25" i="4"/>
  <c r="E25" i="4"/>
  <c r="G20" i="8"/>
  <c r="C45" i="8"/>
  <c r="I12" i="3"/>
  <c r="H12" i="3"/>
  <c r="D40" i="7"/>
  <c r="G12" i="3"/>
  <c r="F12" i="3"/>
  <c r="C25" i="4"/>
  <c r="G15" i="3"/>
  <c r="G9" i="3"/>
  <c r="B10" i="4"/>
  <c r="C16" i="4"/>
  <c r="D25" i="4"/>
  <c r="D16" i="4"/>
  <c r="E18" i="4"/>
  <c r="D18" i="4"/>
  <c r="D14" i="4"/>
  <c r="D17" i="4"/>
  <c r="F25" i="4"/>
  <c r="B12" i="5"/>
  <c r="B13" i="5" s="1"/>
  <c r="H23" i="3"/>
  <c r="I29" i="3"/>
  <c r="G29" i="3"/>
  <c r="F29" i="3"/>
  <c r="G25" i="4"/>
  <c r="D32" i="7"/>
  <c r="D39" i="7" s="1"/>
  <c r="D41" i="7" s="1"/>
  <c r="E7" i="7"/>
  <c r="D14" i="3"/>
  <c r="I7" i="7"/>
  <c r="H7" i="7"/>
  <c r="F7" i="7"/>
  <c r="I16" i="3"/>
  <c r="H16" i="3"/>
  <c r="G16" i="3"/>
  <c r="F16" i="3"/>
  <c r="I19" i="3"/>
  <c r="H19" i="3"/>
  <c r="G19" i="3"/>
  <c r="F19" i="3"/>
  <c r="H32" i="3"/>
  <c r="I35" i="3"/>
  <c r="E35" i="3"/>
  <c r="C13" i="4"/>
  <c r="H17" i="6"/>
  <c r="H23" i="6" s="1"/>
  <c r="F38" i="1" s="1"/>
  <c r="G7" i="7"/>
  <c r="I16" i="7"/>
  <c r="I26" i="7" s="1"/>
  <c r="I15" i="7"/>
  <c r="D27" i="7"/>
  <c r="I18" i="7"/>
  <c r="I27" i="7" s="1"/>
  <c r="H18" i="7"/>
  <c r="H27" i="7" s="1"/>
  <c r="D20" i="3"/>
  <c r="G18" i="7"/>
  <c r="G27" i="7" s="1"/>
  <c r="F18" i="7"/>
  <c r="F27" i="7" s="1"/>
  <c r="B18" i="2"/>
  <c r="D21" i="2"/>
  <c r="I27" i="3"/>
  <c r="H27" i="3"/>
  <c r="E27" i="3"/>
  <c r="H35" i="3"/>
  <c r="I22" i="3"/>
  <c r="H22" i="3"/>
  <c r="G22" i="3"/>
  <c r="F22" i="3"/>
  <c r="F27" i="3"/>
  <c r="I30" i="3"/>
  <c r="H30" i="3"/>
  <c r="E30" i="3"/>
  <c r="C30" i="8"/>
  <c r="E49" i="9"/>
  <c r="J63" i="9"/>
  <c r="F134" i="9"/>
  <c r="I9" i="9"/>
  <c r="H9" i="9"/>
  <c r="G9" i="9"/>
  <c r="J9" i="9"/>
  <c r="I32" i="3"/>
  <c r="G32" i="3"/>
  <c r="F32" i="3"/>
  <c r="G27" i="3"/>
  <c r="I33" i="3"/>
  <c r="H33" i="3"/>
  <c r="G30" i="3"/>
  <c r="F33" i="3"/>
  <c r="H22" i="8"/>
  <c r="G22" i="8"/>
  <c r="F22" i="8"/>
  <c r="E22" i="8"/>
  <c r="H15" i="3"/>
  <c r="G33" i="3"/>
  <c r="C17" i="4"/>
  <c r="H9" i="8"/>
  <c r="F9" i="8"/>
  <c r="E9" i="8"/>
  <c r="H10" i="7"/>
  <c r="H28" i="7" s="1"/>
  <c r="E10" i="7"/>
  <c r="E77" i="9"/>
  <c r="E121" i="9"/>
  <c r="E53" i="9"/>
  <c r="E14" i="9"/>
  <c r="H36" i="9"/>
  <c r="G36" i="9"/>
  <c r="J36" i="9"/>
  <c r="F10" i="8"/>
  <c r="F14" i="8"/>
  <c r="E14" i="8"/>
  <c r="I36" i="9"/>
  <c r="I8" i="6"/>
  <c r="I10" i="6"/>
  <c r="I12" i="6"/>
  <c r="G10" i="7"/>
  <c r="D30" i="7"/>
  <c r="I19" i="7"/>
  <c r="F19" i="7"/>
  <c r="D10" i="8"/>
  <c r="D14" i="8"/>
  <c r="D18" i="8"/>
  <c r="H8" i="7"/>
  <c r="H29" i="7" s="1"/>
  <c r="D29" i="7"/>
  <c r="E40" i="7" s="1"/>
  <c r="I10" i="7"/>
  <c r="E19" i="7"/>
  <c r="G10" i="8"/>
  <c r="G14" i="8"/>
  <c r="G18" i="8"/>
  <c r="H24" i="8"/>
  <c r="G24" i="8"/>
  <c r="D24" i="8"/>
  <c r="B15" i="4"/>
  <c r="F8" i="7"/>
  <c r="F29" i="7" s="1"/>
  <c r="E11" i="7"/>
  <c r="G19" i="7"/>
  <c r="H10" i="8"/>
  <c r="H14" i="8"/>
  <c r="H18" i="8"/>
  <c r="E18" i="3"/>
  <c r="E21" i="3"/>
  <c r="H7" i="8"/>
  <c r="F7" i="8"/>
  <c r="E7" i="8"/>
  <c r="D7" i="8"/>
  <c r="H11" i="8"/>
  <c r="F11" i="8"/>
  <c r="E11" i="8"/>
  <c r="H24" i="9"/>
  <c r="G24" i="9"/>
  <c r="F24" i="9"/>
  <c r="J24" i="9"/>
  <c r="F15" i="3"/>
  <c r="F18" i="3"/>
  <c r="F21" i="3"/>
  <c r="E32" i="4"/>
  <c r="E32" i="1" s="1"/>
  <c r="D9" i="5"/>
  <c r="G11" i="5"/>
  <c r="G19" i="6"/>
  <c r="G25" i="6" s="1"/>
  <c r="E35" i="1" s="1"/>
  <c r="G27" i="6"/>
  <c r="E39" i="1" s="1"/>
  <c r="I8" i="7"/>
  <c r="I29" i="7" s="1"/>
  <c r="I20" i="7"/>
  <c r="G7" i="8"/>
  <c r="G11" i="8"/>
  <c r="H25" i="8"/>
  <c r="G25" i="8"/>
  <c r="G63" i="9"/>
  <c r="I24" i="9"/>
  <c r="H7" i="6"/>
  <c r="D28" i="7"/>
  <c r="F8" i="8"/>
  <c r="E8" i="8"/>
  <c r="F12" i="8"/>
  <c r="E12" i="8"/>
  <c r="J8" i="9"/>
  <c r="I8" i="9"/>
  <c r="H8" i="9"/>
  <c r="G21" i="3"/>
  <c r="H9" i="6"/>
  <c r="H19" i="6" s="1"/>
  <c r="H25" i="6" s="1"/>
  <c r="F35" i="1" s="1"/>
  <c r="H11" i="6"/>
  <c r="H20" i="6" s="1"/>
  <c r="H26" i="6" s="1"/>
  <c r="F36" i="1" s="1"/>
  <c r="F37" i="1" s="1"/>
  <c r="D17" i="3"/>
  <c r="D7" i="5"/>
  <c r="G9" i="5"/>
  <c r="I7" i="6"/>
  <c r="I9" i="6"/>
  <c r="I11" i="6"/>
  <c r="F9" i="7"/>
  <c r="I11" i="7"/>
  <c r="H21" i="8"/>
  <c r="G21" i="8"/>
  <c r="F21" i="8"/>
  <c r="E21" i="8"/>
  <c r="C28" i="8"/>
  <c r="G8" i="9"/>
  <c r="J47" i="9"/>
  <c r="E50" i="9"/>
  <c r="J90" i="9"/>
  <c r="G90" i="9"/>
  <c r="E114" i="9"/>
  <c r="H134" i="9"/>
  <c r="J16" i="10"/>
  <c r="I16" i="10"/>
  <c r="H16" i="10"/>
  <c r="F16" i="10"/>
  <c r="J19" i="9"/>
  <c r="J31" i="9"/>
  <c r="F42" i="9"/>
  <c r="E48" i="9"/>
  <c r="G16" i="10"/>
  <c r="H20" i="7"/>
  <c r="H30" i="7" s="1"/>
  <c r="D13" i="8"/>
  <c r="D17" i="8"/>
  <c r="F18" i="9"/>
  <c r="G23" i="9"/>
  <c r="F30" i="9"/>
  <c r="J38" i="9"/>
  <c r="G42" i="9"/>
  <c r="H90" i="9"/>
  <c r="E12" i="7"/>
  <c r="E13" i="8"/>
  <c r="E15" i="8"/>
  <c r="G18" i="9"/>
  <c r="H23" i="9"/>
  <c r="G30" i="9"/>
  <c r="H42" i="9"/>
  <c r="G86" i="9"/>
  <c r="I90" i="9"/>
  <c r="D31" i="7"/>
  <c r="F13" i="8"/>
  <c r="F15" i="8"/>
  <c r="F17" i="8"/>
  <c r="H18" i="9"/>
  <c r="I23" i="9"/>
  <c r="H30" i="9"/>
  <c r="I42" i="9"/>
  <c r="H84" i="9"/>
  <c r="H86" i="9"/>
  <c r="I99" i="9"/>
  <c r="G99" i="9"/>
  <c r="F99" i="9"/>
  <c r="J99" i="9"/>
  <c r="J115" i="9"/>
  <c r="E52" i="10"/>
  <c r="E33" i="10"/>
  <c r="E51" i="9"/>
  <c r="F96" i="9"/>
  <c r="J96" i="9"/>
  <c r="I96" i="9"/>
  <c r="H96" i="9"/>
  <c r="J102" i="9"/>
  <c r="I102" i="9"/>
  <c r="G7" i="6"/>
  <c r="G22" i="6" s="1"/>
  <c r="G28" i="6" s="1"/>
  <c r="F34" i="9"/>
  <c r="E63" i="9"/>
  <c r="H82" i="9"/>
  <c r="H113" i="9" s="1"/>
  <c r="F82" i="9"/>
  <c r="F113" i="9" s="1"/>
  <c r="J82" i="9"/>
  <c r="J113" i="9" s="1"/>
  <c r="I84" i="9"/>
  <c r="J86" i="9"/>
  <c r="G96" i="9"/>
  <c r="E120" i="9"/>
  <c r="F63" i="9"/>
  <c r="H102" i="9"/>
  <c r="I6" i="10"/>
  <c r="G6" i="10"/>
  <c r="J6" i="10"/>
  <c r="H34" i="9"/>
  <c r="G45" i="9"/>
  <c r="F47" i="9"/>
  <c r="I87" i="9"/>
  <c r="I114" i="9" s="1"/>
  <c r="J9" i="10"/>
  <c r="I9" i="10"/>
  <c r="G9" i="10"/>
  <c r="E115" i="9"/>
  <c r="G113" i="9"/>
  <c r="J134" i="9"/>
  <c r="E113" i="9"/>
  <c r="E76" i="9"/>
  <c r="I134" i="9"/>
  <c r="E118" i="9"/>
  <c r="G134" i="9"/>
  <c r="E116" i="9"/>
  <c r="E52" i="9"/>
  <c r="E119" i="9"/>
  <c r="I115" i="9"/>
  <c r="H115" i="9"/>
  <c r="E112" i="9"/>
  <c r="E117" i="9"/>
  <c r="I113" i="9"/>
  <c r="E13" i="9"/>
  <c r="F19" i="9"/>
  <c r="F31" i="9"/>
  <c r="I34" i="9"/>
  <c r="H41" i="9"/>
  <c r="H45" i="9"/>
  <c r="H63" i="9"/>
  <c r="F87" i="9"/>
  <c r="I41" i="9"/>
  <c r="I45" i="9"/>
  <c r="I63" i="9"/>
  <c r="H87" i="9"/>
  <c r="E134" i="9"/>
  <c r="H133" i="9"/>
  <c r="H101" i="9"/>
  <c r="H9" i="10"/>
  <c r="G15" i="10"/>
  <c r="J18" i="10"/>
  <c r="E31" i="10"/>
  <c r="F98" i="9"/>
  <c r="J106" i="9"/>
  <c r="J13" i="10"/>
  <c r="H15" i="10"/>
  <c r="F29" i="10"/>
  <c r="J89" i="9"/>
  <c r="G98" i="9"/>
  <c r="G110" i="9"/>
  <c r="J8" i="10"/>
  <c r="H10" i="10"/>
  <c r="F12" i="10"/>
  <c r="I15" i="10"/>
  <c r="H22" i="10"/>
  <c r="F24" i="10"/>
  <c r="G29" i="10"/>
  <c r="J39" i="10"/>
  <c r="J50" i="10" s="1"/>
  <c r="I42" i="10"/>
  <c r="I44" i="10"/>
  <c r="I46" i="10"/>
  <c r="G12" i="10"/>
  <c r="J15" i="10"/>
  <c r="F19" i="10"/>
  <c r="I22" i="10"/>
  <c r="G24" i="10"/>
  <c r="H29" i="10"/>
  <c r="J42" i="10"/>
  <c r="J44" i="10"/>
  <c r="J46" i="10"/>
  <c r="F46" i="11"/>
  <c r="H24" i="10"/>
  <c r="I29" i="10"/>
  <c r="G38" i="10"/>
  <c r="E49" i="10"/>
  <c r="E51" i="10"/>
  <c r="E65" i="10" s="1"/>
  <c r="H38" i="10"/>
  <c r="H50" i="10" s="1"/>
  <c r="F40" i="10"/>
  <c r="F51" i="10"/>
  <c r="F29" i="11"/>
  <c r="H46" i="11"/>
  <c r="I19" i="10"/>
  <c r="G21" i="10"/>
  <c r="H26" i="10"/>
  <c r="F28" i="10"/>
  <c r="E30" i="10"/>
  <c r="E32" i="10"/>
  <c r="I38" i="10"/>
  <c r="I50" i="10" s="1"/>
  <c r="G40" i="10"/>
  <c r="G51" i="10" s="1"/>
  <c r="H21" i="11"/>
  <c r="H21" i="10"/>
  <c r="I26" i="10"/>
  <c r="G28" i="10"/>
  <c r="H40" i="10"/>
  <c r="H51" i="10" s="1"/>
  <c r="H29" i="11"/>
  <c r="F41" i="11"/>
  <c r="I21" i="10"/>
  <c r="H28" i="10"/>
  <c r="I40" i="10"/>
  <c r="I51" i="10" s="1"/>
  <c r="F47" i="11"/>
  <c r="H72" i="9"/>
  <c r="H92" i="9"/>
  <c r="F106" i="9"/>
  <c r="G18" i="10"/>
  <c r="H23" i="10"/>
  <c r="I28" i="10"/>
  <c r="J51" i="10"/>
  <c r="F22" i="11"/>
  <c r="H41" i="11"/>
  <c r="H18" i="10"/>
  <c r="E50" i="10"/>
  <c r="H47" i="11"/>
  <c r="J114" i="9" l="1"/>
  <c r="J124" i="9" s="1"/>
  <c r="G57" i="1" s="1"/>
  <c r="H28" i="8"/>
  <c r="H33" i="8" s="1"/>
  <c r="G29" i="1" s="1"/>
  <c r="H36" i="7"/>
  <c r="F25" i="1" s="1"/>
  <c r="I28" i="7"/>
  <c r="I34" i="7" s="1"/>
  <c r="G24" i="1" s="1"/>
  <c r="D24" i="6"/>
  <c r="H39" i="1"/>
  <c r="E33" i="1"/>
  <c r="I124" i="9"/>
  <c r="F57" i="1" s="1"/>
  <c r="H34" i="7"/>
  <c r="F24" i="1" s="1"/>
  <c r="E66" i="9"/>
  <c r="H32" i="1"/>
  <c r="G28" i="8"/>
  <c r="G33" i="8" s="1"/>
  <c r="F29" i="1" s="1"/>
  <c r="H54" i="10"/>
  <c r="E15" i="1" s="1"/>
  <c r="F35" i="7"/>
  <c r="H35" i="7"/>
  <c r="I54" i="10"/>
  <c r="F15" i="1" s="1"/>
  <c r="E137" i="9"/>
  <c r="I35" i="7"/>
  <c r="F123" i="9"/>
  <c r="H114" i="9"/>
  <c r="H124" i="9" s="1"/>
  <c r="E57" i="1" s="1"/>
  <c r="H123" i="9"/>
  <c r="I123" i="9"/>
  <c r="G125" i="9"/>
  <c r="E67" i="10"/>
  <c r="J125" i="9"/>
  <c r="J123" i="9"/>
  <c r="H125" i="9"/>
  <c r="I125" i="9"/>
  <c r="G123" i="9"/>
  <c r="E90" i="11"/>
  <c r="G84" i="10"/>
  <c r="G155" i="9"/>
  <c r="D21" i="5"/>
  <c r="F48" i="3"/>
  <c r="E47" i="7"/>
  <c r="B18" i="4"/>
  <c r="B21" i="5" s="1"/>
  <c r="D63" i="1"/>
  <c r="E41" i="8"/>
  <c r="F33" i="6"/>
  <c r="J135" i="9"/>
  <c r="J64" i="9"/>
  <c r="F90" i="11"/>
  <c r="H84" i="10"/>
  <c r="H14" i="10" s="1"/>
  <c r="H155" i="9"/>
  <c r="F41" i="8"/>
  <c r="F47" i="7"/>
  <c r="G33" i="6"/>
  <c r="E21" i="5"/>
  <c r="E63" i="1"/>
  <c r="G48" i="3"/>
  <c r="G17" i="3"/>
  <c r="I17" i="3"/>
  <c r="H17" i="3"/>
  <c r="E17" i="3"/>
  <c r="G20" i="3"/>
  <c r="F20" i="3"/>
  <c r="H20" i="3"/>
  <c r="I20" i="3"/>
  <c r="F79" i="10"/>
  <c r="F150" i="9"/>
  <c r="D39" i="8"/>
  <c r="D45" i="7"/>
  <c r="E46" i="3"/>
  <c r="E20" i="3" s="1"/>
  <c r="C16" i="5"/>
  <c r="C9" i="5" s="1"/>
  <c r="C40" i="1"/>
  <c r="H40" i="1" s="1"/>
  <c r="E31" i="6"/>
  <c r="B13" i="4"/>
  <c r="B16" i="5" s="1"/>
  <c r="E87" i="11"/>
  <c r="G152" i="9"/>
  <c r="G81" i="10"/>
  <c r="D20" i="5"/>
  <c r="D10" i="5" s="1"/>
  <c r="E44" i="8"/>
  <c r="F36" i="6"/>
  <c r="F51" i="3"/>
  <c r="F34" i="3" s="1"/>
  <c r="D65" i="1"/>
  <c r="E50" i="7"/>
  <c r="F13" i="7" s="1"/>
  <c r="F64" i="9"/>
  <c r="F33" i="1"/>
  <c r="F34" i="1"/>
  <c r="D84" i="11"/>
  <c r="F78" i="10"/>
  <c r="F149" i="9"/>
  <c r="C31" i="1"/>
  <c r="F84" i="11"/>
  <c r="H78" i="10"/>
  <c r="H149" i="9"/>
  <c r="E31" i="1"/>
  <c r="G135" i="9"/>
  <c r="F80" i="10"/>
  <c r="F151" i="9"/>
  <c r="D86" i="11"/>
  <c r="C64" i="1"/>
  <c r="B17" i="4"/>
  <c r="F55" i="10"/>
  <c r="I135" i="9"/>
  <c r="H55" i="10"/>
  <c r="E14" i="1" s="1"/>
  <c r="J55" i="10"/>
  <c r="G14" i="1" s="1"/>
  <c r="F28" i="8"/>
  <c r="F33" i="8" s="1"/>
  <c r="E29" i="1" s="1"/>
  <c r="H22" i="6"/>
  <c r="H28" i="6" s="1"/>
  <c r="H84" i="11"/>
  <c r="J78" i="10"/>
  <c r="J149" i="9"/>
  <c r="G31" i="1"/>
  <c r="G55" i="10"/>
  <c r="D14" i="1" s="1"/>
  <c r="J54" i="10"/>
  <c r="G15" i="1" s="1"/>
  <c r="H64" i="9"/>
  <c r="E84" i="11"/>
  <c r="G78" i="10"/>
  <c r="G149" i="9"/>
  <c r="D31" i="1"/>
  <c r="F40" i="7"/>
  <c r="I64" i="9"/>
  <c r="F135" i="9"/>
  <c r="H135" i="9"/>
  <c r="G64" i="9"/>
  <c r="D24" i="2"/>
  <c r="F81" i="10"/>
  <c r="D87" i="11"/>
  <c r="F152" i="9"/>
  <c r="D44" i="8"/>
  <c r="E36" i="6"/>
  <c r="E51" i="3"/>
  <c r="C65" i="1"/>
  <c r="D50" i="7"/>
  <c r="C20" i="5"/>
  <c r="C10" i="5" s="1"/>
  <c r="I55" i="10"/>
  <c r="F14" i="1" s="1"/>
  <c r="I20" i="6"/>
  <c r="I26" i="6" s="1"/>
  <c r="G36" i="1" s="1"/>
  <c r="G37" i="1" s="1"/>
  <c r="I30" i="7"/>
  <c r="I36" i="7" s="1"/>
  <c r="G25" i="1" s="1"/>
  <c r="D24" i="3"/>
  <c r="D40" i="3" s="1"/>
  <c r="G14" i="3"/>
  <c r="I14" i="3"/>
  <c r="H14" i="3"/>
  <c r="E14" i="3"/>
  <c r="F14" i="3"/>
  <c r="G84" i="11"/>
  <c r="I78" i="10"/>
  <c r="I149" i="9"/>
  <c r="F31" i="1"/>
  <c r="G16" i="4"/>
  <c r="F16" i="4"/>
  <c r="E16" i="4"/>
  <c r="I19" i="6"/>
  <c r="I25" i="6" s="1"/>
  <c r="G35" i="1" s="1"/>
  <c r="G35" i="7"/>
  <c r="G80" i="10"/>
  <c r="G151" i="9"/>
  <c r="G102" i="9" s="1"/>
  <c r="E86" i="11"/>
  <c r="D64" i="1"/>
  <c r="D21" i="1" s="1"/>
  <c r="D22" i="1" s="1"/>
  <c r="I22" i="6"/>
  <c r="I28" i="6" s="1"/>
  <c r="B18" i="5"/>
  <c r="B19" i="5"/>
  <c r="D27" i="6"/>
  <c r="G82" i="10"/>
  <c r="G153" i="9"/>
  <c r="E40" i="8"/>
  <c r="F32" i="6"/>
  <c r="B14" i="4"/>
  <c r="B17" i="5" s="1"/>
  <c r="F47" i="3"/>
  <c r="D61" i="1"/>
  <c r="H61" i="1" s="1"/>
  <c r="E46" i="7"/>
  <c r="D17" i="5"/>
  <c r="D11" i="5" s="1"/>
  <c r="B21" i="2"/>
  <c r="C90" i="11" l="1"/>
  <c r="D12" i="5"/>
  <c r="D13" i="5" s="1"/>
  <c r="D8" i="1" s="1"/>
  <c r="C84" i="11"/>
  <c r="E155" i="9"/>
  <c r="E123" i="9"/>
  <c r="E135" i="9"/>
  <c r="F103" i="9"/>
  <c r="F91" i="9"/>
  <c r="F116" i="9" s="1"/>
  <c r="F126" i="9" s="1"/>
  <c r="F95" i="9"/>
  <c r="F33" i="9"/>
  <c r="F29" i="9"/>
  <c r="F75" i="9"/>
  <c r="F46" i="9"/>
  <c r="F11" i="9"/>
  <c r="F85" i="9"/>
  <c r="F37" i="9"/>
  <c r="F73" i="9"/>
  <c r="F111" i="9"/>
  <c r="C86" i="11"/>
  <c r="D30" i="11"/>
  <c r="D22" i="11"/>
  <c r="D47" i="11"/>
  <c r="D41" i="11"/>
  <c r="D29" i="11"/>
  <c r="D21" i="11"/>
  <c r="D46" i="11"/>
  <c r="G33" i="1"/>
  <c r="G34" i="1"/>
  <c r="F20" i="10"/>
  <c r="F60" i="10"/>
  <c r="F62" i="10"/>
  <c r="F27" i="10"/>
  <c r="F45" i="10"/>
  <c r="E151" i="9"/>
  <c r="F102" i="9"/>
  <c r="G103" i="9"/>
  <c r="G91" i="9"/>
  <c r="G116" i="9" s="1"/>
  <c r="G126" i="9" s="1"/>
  <c r="D59" i="1" s="1"/>
  <c r="G29" i="9"/>
  <c r="G37" i="9"/>
  <c r="G95" i="9"/>
  <c r="G33" i="9"/>
  <c r="G75" i="9"/>
  <c r="G85" i="9"/>
  <c r="G11" i="9"/>
  <c r="G73" i="9"/>
  <c r="G111" i="9"/>
  <c r="G46" i="9"/>
  <c r="G37" i="3"/>
  <c r="G35" i="3"/>
  <c r="G23" i="3"/>
  <c r="E84" i="10"/>
  <c r="G14" i="10"/>
  <c r="F23" i="3"/>
  <c r="D48" i="3"/>
  <c r="F35" i="3"/>
  <c r="F37" i="3"/>
  <c r="F48" i="10"/>
  <c r="F49" i="10" s="1"/>
  <c r="F53" i="10" s="1"/>
  <c r="F58" i="10"/>
  <c r="E78" i="10"/>
  <c r="F59" i="10"/>
  <c r="F11" i="10"/>
  <c r="F25" i="10"/>
  <c r="F43" i="10"/>
  <c r="F17" i="10"/>
  <c r="G20" i="10"/>
  <c r="G60" i="10"/>
  <c r="G62" i="10"/>
  <c r="G27" i="10"/>
  <c r="G45" i="10"/>
  <c r="E80" i="10"/>
  <c r="G87" i="11"/>
  <c r="I152" i="9"/>
  <c r="I81" i="10"/>
  <c r="G50" i="7"/>
  <c r="H13" i="7" s="1"/>
  <c r="H36" i="6"/>
  <c r="H51" i="3"/>
  <c r="H34" i="3" s="1"/>
  <c r="G44" i="8"/>
  <c r="F65" i="1"/>
  <c r="F20" i="5"/>
  <c r="F10" i="5" s="1"/>
  <c r="F12" i="5" s="1"/>
  <c r="F13" i="5" s="1"/>
  <c r="F8" i="1" s="1"/>
  <c r="D23" i="8"/>
  <c r="D16" i="8"/>
  <c r="E149" i="9"/>
  <c r="F70" i="9"/>
  <c r="F32" i="9"/>
  <c r="D46" i="8"/>
  <c r="F7" i="9"/>
  <c r="E52" i="3"/>
  <c r="F44" i="9"/>
  <c r="F100" i="9"/>
  <c r="F74" i="9"/>
  <c r="F76" i="9" s="1"/>
  <c r="F78" i="9" s="1"/>
  <c r="F109" i="9"/>
  <c r="F10" i="9"/>
  <c r="F94" i="9"/>
  <c r="F22" i="9"/>
  <c r="E30" i="11"/>
  <c r="E22" i="11"/>
  <c r="E47" i="11"/>
  <c r="E41" i="11"/>
  <c r="E29" i="11"/>
  <c r="E21" i="11"/>
  <c r="E46" i="11"/>
  <c r="I94" i="9"/>
  <c r="I74" i="9"/>
  <c r="I76" i="9" s="1"/>
  <c r="I78" i="9" s="1"/>
  <c r="F54" i="1" s="1"/>
  <c r="I44" i="9"/>
  <c r="I7" i="9"/>
  <c r="I32" i="9"/>
  <c r="G46" i="8"/>
  <c r="G19" i="8" s="1"/>
  <c r="H52" i="3"/>
  <c r="H36" i="3" s="1"/>
  <c r="I70" i="9"/>
  <c r="I109" i="9"/>
  <c r="I100" i="9"/>
  <c r="I22" i="9"/>
  <c r="I49" i="9" s="1"/>
  <c r="I55" i="9" s="1"/>
  <c r="F47" i="1" s="1"/>
  <c r="I10" i="9"/>
  <c r="G154" i="9"/>
  <c r="G105" i="9" s="1"/>
  <c r="G119" i="9" s="1"/>
  <c r="G129" i="9" s="1"/>
  <c r="E89" i="11"/>
  <c r="G83" i="10"/>
  <c r="D62" i="1"/>
  <c r="E64" i="9"/>
  <c r="D31" i="6"/>
  <c r="E7" i="6"/>
  <c r="E15" i="6"/>
  <c r="E17" i="6" s="1"/>
  <c r="E23" i="6" s="1"/>
  <c r="E11" i="6"/>
  <c r="E20" i="6" s="1"/>
  <c r="E26" i="6" s="1"/>
  <c r="E9" i="6"/>
  <c r="E19" i="6" s="1"/>
  <c r="E25" i="6" s="1"/>
  <c r="G47" i="10"/>
  <c r="E82" i="10"/>
  <c r="G46" i="10"/>
  <c r="G39" i="10"/>
  <c r="G14" i="7"/>
  <c r="G21" i="7"/>
  <c r="G30" i="7" s="1"/>
  <c r="G36" i="7" s="1"/>
  <c r="E25" i="1" s="1"/>
  <c r="G11" i="7"/>
  <c r="D33" i="6"/>
  <c r="E16" i="8"/>
  <c r="E23" i="8"/>
  <c r="C21" i="1"/>
  <c r="H64" i="1"/>
  <c r="E79" i="10"/>
  <c r="F22" i="10"/>
  <c r="F8" i="10"/>
  <c r="F9" i="10"/>
  <c r="F38" i="10"/>
  <c r="F50" i="10" s="1"/>
  <c r="F54" i="10" s="1"/>
  <c r="F7" i="10"/>
  <c r="F23" i="10"/>
  <c r="F44" i="10"/>
  <c r="F18" i="10"/>
  <c r="F26" i="10"/>
  <c r="F6" i="10"/>
  <c r="F37" i="10"/>
  <c r="F13" i="10"/>
  <c r="H87" i="11"/>
  <c r="J152" i="9"/>
  <c r="J81" i="10"/>
  <c r="H44" i="8"/>
  <c r="H50" i="7"/>
  <c r="I13" i="7" s="1"/>
  <c r="I51" i="3"/>
  <c r="I34" i="3" s="1"/>
  <c r="I36" i="6"/>
  <c r="D36" i="6" s="1"/>
  <c r="G65" i="1"/>
  <c r="G20" i="5"/>
  <c r="G10" i="5" s="1"/>
  <c r="G12" i="5" s="1"/>
  <c r="G13" i="5" s="1"/>
  <c r="G8" i="1" s="1"/>
  <c r="G94" i="9"/>
  <c r="G100" i="9"/>
  <c r="G74" i="9"/>
  <c r="G76" i="9" s="1"/>
  <c r="G78" i="9" s="1"/>
  <c r="D54" i="1" s="1"/>
  <c r="G32" i="9"/>
  <c r="G52" i="9" s="1"/>
  <c r="G58" i="9" s="1"/>
  <c r="D50" i="1" s="1"/>
  <c r="E46" i="8"/>
  <c r="E19" i="8" s="1"/>
  <c r="G7" i="9"/>
  <c r="G22" i="9"/>
  <c r="G49" i="9" s="1"/>
  <c r="G55" i="9" s="1"/>
  <c r="D47" i="1" s="1"/>
  <c r="F52" i="3"/>
  <c r="F36" i="3" s="1"/>
  <c r="G109" i="9"/>
  <c r="G10" i="9"/>
  <c r="G44" i="9"/>
  <c r="G70" i="9"/>
  <c r="G58" i="10"/>
  <c r="G25" i="10"/>
  <c r="G59" i="10"/>
  <c r="G48" i="10"/>
  <c r="G17" i="10"/>
  <c r="G11" i="10"/>
  <c r="G43" i="10"/>
  <c r="H100" i="9"/>
  <c r="H32" i="9"/>
  <c r="F46" i="8"/>
  <c r="F19" i="8" s="1"/>
  <c r="H7" i="9"/>
  <c r="G52" i="3"/>
  <c r="G36" i="3" s="1"/>
  <c r="H74" i="9"/>
  <c r="H76" i="9" s="1"/>
  <c r="H78" i="9" s="1"/>
  <c r="E54" i="1" s="1"/>
  <c r="H10" i="9"/>
  <c r="H109" i="9"/>
  <c r="H70" i="9"/>
  <c r="H22" i="9"/>
  <c r="H49" i="9" s="1"/>
  <c r="H55" i="9" s="1"/>
  <c r="E47" i="1" s="1"/>
  <c r="H94" i="9"/>
  <c r="H44" i="9"/>
  <c r="C12" i="5"/>
  <c r="C13" i="5" s="1"/>
  <c r="C8" i="1" s="1"/>
  <c r="F25" i="8"/>
  <c r="F18" i="8"/>
  <c r="C41" i="8"/>
  <c r="E25" i="8"/>
  <c r="E18" i="8"/>
  <c r="E150" i="9"/>
  <c r="F72" i="9"/>
  <c r="F133" i="9"/>
  <c r="F61" i="9"/>
  <c r="F39" i="9"/>
  <c r="F27" i="9"/>
  <c r="F88" i="9"/>
  <c r="F115" i="9" s="1"/>
  <c r="F125" i="9" s="1"/>
  <c r="E125" i="9" s="1"/>
  <c r="F101" i="9"/>
  <c r="F71" i="9"/>
  <c r="F62" i="9"/>
  <c r="F84" i="9"/>
  <c r="F8" i="9"/>
  <c r="F25" i="9"/>
  <c r="F45" i="9"/>
  <c r="F9" i="9"/>
  <c r="F86" i="9"/>
  <c r="F114" i="9" s="1"/>
  <c r="F124" i="9" s="1"/>
  <c r="F36" i="9"/>
  <c r="F90" i="9"/>
  <c r="F110" i="9"/>
  <c r="F23" i="9"/>
  <c r="F87" i="11"/>
  <c r="C87" i="11" s="1"/>
  <c r="H81" i="10"/>
  <c r="F44" i="8"/>
  <c r="C44" i="8" s="1"/>
  <c r="H152" i="9"/>
  <c r="F50" i="7"/>
  <c r="G13" i="7" s="1"/>
  <c r="G36" i="6"/>
  <c r="G51" i="3"/>
  <c r="G34" i="3" s="1"/>
  <c r="E65" i="1"/>
  <c r="H65" i="1" s="1"/>
  <c r="E20" i="5"/>
  <c r="E10" i="5" s="1"/>
  <c r="E12" i="5" s="1"/>
  <c r="E13" i="5" s="1"/>
  <c r="E8" i="1" s="1"/>
  <c r="E24" i="2"/>
  <c r="F24" i="2"/>
  <c r="C24" i="2"/>
  <c r="G24" i="2"/>
  <c r="E34" i="3"/>
  <c r="J100" i="9"/>
  <c r="J32" i="9"/>
  <c r="H46" i="8"/>
  <c r="H19" i="8" s="1"/>
  <c r="I52" i="3"/>
  <c r="I36" i="3" s="1"/>
  <c r="J44" i="9"/>
  <c r="J109" i="9"/>
  <c r="J74" i="9"/>
  <c r="J76" i="9" s="1"/>
  <c r="J78" i="9" s="1"/>
  <c r="G54" i="1" s="1"/>
  <c r="J94" i="9"/>
  <c r="J7" i="9"/>
  <c r="J70" i="9"/>
  <c r="J22" i="9"/>
  <c r="J49" i="9" s="1"/>
  <c r="J55" i="9" s="1"/>
  <c r="G47" i="1" s="1"/>
  <c r="J10" i="9"/>
  <c r="H59" i="10"/>
  <c r="H48" i="10"/>
  <c r="H49" i="10" s="1"/>
  <c r="H53" i="10" s="1"/>
  <c r="H58" i="10"/>
  <c r="H25" i="10"/>
  <c r="H43" i="10"/>
  <c r="H11" i="10"/>
  <c r="H17" i="10"/>
  <c r="E28" i="3"/>
  <c r="E31" i="3"/>
  <c r="D46" i="3"/>
  <c r="E22" i="3"/>
  <c r="E12" i="3"/>
  <c r="E9" i="3"/>
  <c r="E15" i="3"/>
  <c r="E33" i="3"/>
  <c r="E16" i="3"/>
  <c r="E24" i="3" s="1"/>
  <c r="E29" i="3"/>
  <c r="E32" i="3"/>
  <c r="H63" i="1"/>
  <c r="F10" i="3"/>
  <c r="D47" i="3"/>
  <c r="F30" i="3"/>
  <c r="E17" i="8"/>
  <c r="C40" i="8"/>
  <c r="E10" i="8"/>
  <c r="E24" i="8"/>
  <c r="E153" i="9"/>
  <c r="G26" i="9"/>
  <c r="G47" i="9"/>
  <c r="G87" i="9"/>
  <c r="G114" i="9" s="1"/>
  <c r="G124" i="9" s="1"/>
  <c r="D57" i="1" s="1"/>
  <c r="I59" i="10"/>
  <c r="I48" i="10"/>
  <c r="I49" i="10" s="1"/>
  <c r="I53" i="10" s="1"/>
  <c r="I58" i="10"/>
  <c r="I25" i="10"/>
  <c r="I11" i="10"/>
  <c r="I17" i="10"/>
  <c r="I43" i="10"/>
  <c r="E13" i="7"/>
  <c r="H24" i="3"/>
  <c r="J59" i="10"/>
  <c r="J48" i="10"/>
  <c r="J49" i="10" s="1"/>
  <c r="J53" i="10" s="1"/>
  <c r="J58" i="10"/>
  <c r="J17" i="10"/>
  <c r="J25" i="10"/>
  <c r="J11" i="10"/>
  <c r="J43" i="10"/>
  <c r="E55" i="10"/>
  <c r="C14" i="1"/>
  <c r="H14" i="1" s="1"/>
  <c r="C45" i="7"/>
  <c r="E20" i="7"/>
  <c r="E30" i="7" s="1"/>
  <c r="E36" i="7" s="1"/>
  <c r="E16" i="7"/>
  <c r="E26" i="7" s="1"/>
  <c r="E15" i="7"/>
  <c r="E18" i="7"/>
  <c r="E27" i="7" s="1"/>
  <c r="E8" i="7"/>
  <c r="E9" i="7"/>
  <c r="E28" i="7" s="1"/>
  <c r="E34" i="7" s="1"/>
  <c r="F17" i="3"/>
  <c r="F24" i="3" s="1"/>
  <c r="F16" i="6"/>
  <c r="F17" i="6" s="1"/>
  <c r="F23" i="6" s="1"/>
  <c r="D38" i="1" s="1"/>
  <c r="F12" i="6"/>
  <c r="F20" i="6" s="1"/>
  <c r="F26" i="6" s="1"/>
  <c r="D36" i="1" s="1"/>
  <c r="D37" i="1" s="1"/>
  <c r="F10" i="6"/>
  <c r="F19" i="6" s="1"/>
  <c r="F25" i="6" s="1"/>
  <c r="D35" i="1" s="1"/>
  <c r="F8" i="6"/>
  <c r="D32" i="6"/>
  <c r="C46" i="7"/>
  <c r="F10" i="7"/>
  <c r="I24" i="3"/>
  <c r="B16" i="4"/>
  <c r="B20" i="5" s="1"/>
  <c r="H31" i="1"/>
  <c r="C39" i="8"/>
  <c r="D11" i="8"/>
  <c r="D15" i="8"/>
  <c r="D22" i="8"/>
  <c r="D29" i="8" s="1"/>
  <c r="D34" i="8" s="1"/>
  <c r="D8" i="8"/>
  <c r="D12" i="8"/>
  <c r="D9" i="8"/>
  <c r="F14" i="7"/>
  <c r="F31" i="7" s="1"/>
  <c r="F37" i="7" s="1"/>
  <c r="F11" i="7"/>
  <c r="C47" i="7"/>
  <c r="F21" i="7"/>
  <c r="F30" i="7" s="1"/>
  <c r="F36" i="7" s="1"/>
  <c r="D25" i="1" s="1"/>
  <c r="G13" i="9" l="1"/>
  <c r="G15" i="9" s="1"/>
  <c r="D44" i="1" s="1"/>
  <c r="F13" i="9"/>
  <c r="F15" i="9" s="1"/>
  <c r="F52" i="9"/>
  <c r="F58" i="9" s="1"/>
  <c r="C50" i="1" s="1"/>
  <c r="F38" i="3"/>
  <c r="G32" i="10"/>
  <c r="G35" i="10" s="1"/>
  <c r="G145" i="9" s="1"/>
  <c r="D28" i="8"/>
  <c r="D33" i="8" s="1"/>
  <c r="F22" i="6"/>
  <c r="F28" i="6" s="1"/>
  <c r="G77" i="9"/>
  <c r="G79" i="9" s="1"/>
  <c r="D53" i="1" s="1"/>
  <c r="I38" i="3"/>
  <c r="I40" i="3" s="1"/>
  <c r="I42" i="3" s="1"/>
  <c r="G23" i="1" s="1"/>
  <c r="G63" i="10"/>
  <c r="G65" i="10" s="1"/>
  <c r="F32" i="10"/>
  <c r="F35" i="10" s="1"/>
  <c r="F145" i="9" s="1"/>
  <c r="F30" i="10"/>
  <c r="F34" i="10" s="1"/>
  <c r="C13" i="1" s="1"/>
  <c r="F77" i="9"/>
  <c r="F79" i="9" s="1"/>
  <c r="C53" i="1" s="1"/>
  <c r="G31" i="10"/>
  <c r="C46" i="8"/>
  <c r="D19" i="8"/>
  <c r="D30" i="8" s="1"/>
  <c r="D35" i="8" s="1"/>
  <c r="G24" i="3"/>
  <c r="E22" i="6"/>
  <c r="E28" i="6" s="1"/>
  <c r="D28" i="6" s="1"/>
  <c r="I60" i="10"/>
  <c r="I62" i="10"/>
  <c r="I20" i="10"/>
  <c r="I45" i="10"/>
  <c r="I52" i="10" s="1"/>
  <c r="I27" i="10"/>
  <c r="I32" i="10" s="1"/>
  <c r="I35" i="10" s="1"/>
  <c r="C50" i="7"/>
  <c r="G38" i="3"/>
  <c r="C44" i="1"/>
  <c r="G30" i="10"/>
  <c r="G34" i="10" s="1"/>
  <c r="D13" i="1" s="1"/>
  <c r="G33" i="10"/>
  <c r="I31" i="7"/>
  <c r="I37" i="7" s="1"/>
  <c r="I32" i="7"/>
  <c r="I38" i="7" s="1"/>
  <c r="G28" i="7"/>
  <c r="G34" i="7" s="1"/>
  <c r="E24" i="1" s="1"/>
  <c r="G32" i="7"/>
  <c r="G38" i="7" s="1"/>
  <c r="F49" i="9"/>
  <c r="F55" i="9" s="1"/>
  <c r="E31" i="7"/>
  <c r="E37" i="7" s="1"/>
  <c r="I103" i="9"/>
  <c r="I91" i="9"/>
  <c r="I116" i="9" s="1"/>
  <c r="I126" i="9" s="1"/>
  <c r="F59" i="1" s="1"/>
  <c r="I37" i="9"/>
  <c r="I46" i="9"/>
  <c r="I95" i="9"/>
  <c r="I33" i="9"/>
  <c r="I52" i="9" s="1"/>
  <c r="I58" i="9" s="1"/>
  <c r="F50" i="1" s="1"/>
  <c r="I73" i="9"/>
  <c r="I11" i="9"/>
  <c r="I13" i="9" s="1"/>
  <c r="I15" i="9" s="1"/>
  <c r="F44" i="1" s="1"/>
  <c r="I111" i="9"/>
  <c r="I85" i="9"/>
  <c r="I29" i="9"/>
  <c r="I75" i="9"/>
  <c r="E28" i="8"/>
  <c r="E33" i="8" s="1"/>
  <c r="D29" i="1" s="1"/>
  <c r="E30" i="8"/>
  <c r="E35" i="8" s="1"/>
  <c r="D26" i="1" s="1"/>
  <c r="H16" i="8"/>
  <c r="H23" i="8"/>
  <c r="H29" i="8" s="1"/>
  <c r="H34" i="8" s="1"/>
  <c r="G30" i="1" s="1"/>
  <c r="C15" i="1"/>
  <c r="F63" i="10"/>
  <c r="F65" i="10" s="1"/>
  <c r="E124" i="9"/>
  <c r="C57" i="1"/>
  <c r="H57" i="1" s="1"/>
  <c r="J30" i="10"/>
  <c r="J34" i="10" s="1"/>
  <c r="G13" i="1" s="1"/>
  <c r="D51" i="3"/>
  <c r="G31" i="7"/>
  <c r="G37" i="7" s="1"/>
  <c r="G14" i="9"/>
  <c r="G16" i="9" s="1"/>
  <c r="D43" i="1" s="1"/>
  <c r="J62" i="10"/>
  <c r="J60" i="10"/>
  <c r="J45" i="10"/>
  <c r="J52" i="10" s="1"/>
  <c r="J20" i="10"/>
  <c r="J33" i="10" s="1"/>
  <c r="J27" i="10"/>
  <c r="J32" i="10" s="1"/>
  <c r="J35" i="10" s="1"/>
  <c r="D23" i="6"/>
  <c r="C38" i="1"/>
  <c r="H38" i="1" s="1"/>
  <c r="H31" i="7"/>
  <c r="H37" i="7" s="1"/>
  <c r="H32" i="7"/>
  <c r="H38" i="7" s="1"/>
  <c r="C30" i="1"/>
  <c r="D34" i="1"/>
  <c r="D33" i="1"/>
  <c r="I30" i="10"/>
  <c r="I34" i="10" s="1"/>
  <c r="F13" i="1" s="1"/>
  <c r="H37" i="9"/>
  <c r="H33" i="9"/>
  <c r="H52" i="9" s="1"/>
  <c r="H58" i="9" s="1"/>
  <c r="E50" i="1" s="1"/>
  <c r="H11" i="9"/>
  <c r="H13" i="9" s="1"/>
  <c r="H15" i="9" s="1"/>
  <c r="H85" i="9"/>
  <c r="H73" i="9"/>
  <c r="H46" i="9"/>
  <c r="H91" i="9"/>
  <c r="H116" i="9" s="1"/>
  <c r="H126" i="9" s="1"/>
  <c r="E59" i="1" s="1"/>
  <c r="H103" i="9"/>
  <c r="H29" i="9"/>
  <c r="H75" i="9"/>
  <c r="H111" i="9"/>
  <c r="H95" i="9"/>
  <c r="J103" i="9"/>
  <c r="J91" i="9"/>
  <c r="J116" i="9" s="1"/>
  <c r="J126" i="9" s="1"/>
  <c r="G59" i="1" s="1"/>
  <c r="J46" i="9"/>
  <c r="J85" i="9"/>
  <c r="J11" i="9"/>
  <c r="J13" i="9" s="1"/>
  <c r="J15" i="9" s="1"/>
  <c r="G44" i="1" s="1"/>
  <c r="J37" i="9"/>
  <c r="J29" i="9"/>
  <c r="J33" i="9"/>
  <c r="J73" i="9"/>
  <c r="J111" i="9"/>
  <c r="J75" i="9"/>
  <c r="J95" i="9"/>
  <c r="G52" i="10"/>
  <c r="G50" i="10"/>
  <c r="G54" i="10" s="1"/>
  <c r="D15" i="1" s="1"/>
  <c r="D36" i="7"/>
  <c r="C25" i="1"/>
  <c r="H25" i="1" s="1"/>
  <c r="F16" i="8"/>
  <c r="F23" i="8"/>
  <c r="F29" i="8" s="1"/>
  <c r="F34" i="8" s="1"/>
  <c r="E30" i="1" s="1"/>
  <c r="E78" i="9"/>
  <c r="C54" i="1"/>
  <c r="H54" i="1" s="1"/>
  <c r="E152" i="9"/>
  <c r="F28" i="7"/>
  <c r="F34" i="7" s="1"/>
  <c r="D24" i="1" s="1"/>
  <c r="F32" i="7"/>
  <c r="F38" i="7" s="1"/>
  <c r="C29" i="1"/>
  <c r="C24" i="1"/>
  <c r="J154" i="9"/>
  <c r="J105" i="9" s="1"/>
  <c r="J119" i="9" s="1"/>
  <c r="J129" i="9" s="1"/>
  <c r="H89" i="11"/>
  <c r="J83" i="10"/>
  <c r="G62" i="1"/>
  <c r="H60" i="10"/>
  <c r="H62" i="10"/>
  <c r="H20" i="10"/>
  <c r="H27" i="10"/>
  <c r="H32" i="10" s="1"/>
  <c r="H35" i="10" s="1"/>
  <c r="H45" i="10"/>
  <c r="H52" i="10" s="1"/>
  <c r="C59" i="1"/>
  <c r="E29" i="7"/>
  <c r="E35" i="7" s="1"/>
  <c r="D35" i="7" s="1"/>
  <c r="E32" i="7"/>
  <c r="E38" i="7" s="1"/>
  <c r="F40" i="3"/>
  <c r="F42" i="3" s="1"/>
  <c r="F83" i="10"/>
  <c r="D89" i="11"/>
  <c r="F154" i="9"/>
  <c r="C62" i="1"/>
  <c r="B24" i="2"/>
  <c r="F52" i="10"/>
  <c r="G49" i="10"/>
  <c r="G53" i="10" s="1"/>
  <c r="E53" i="10" s="1"/>
  <c r="G16" i="8"/>
  <c r="G23" i="8"/>
  <c r="G29" i="8" s="1"/>
  <c r="G34" i="8" s="1"/>
  <c r="F30" i="1" s="1"/>
  <c r="I154" i="9"/>
  <c r="I105" i="9" s="1"/>
  <c r="I119" i="9" s="1"/>
  <c r="I129" i="9" s="1"/>
  <c r="G89" i="11"/>
  <c r="I83" i="10"/>
  <c r="F62" i="1"/>
  <c r="F33" i="10"/>
  <c r="H21" i="1"/>
  <c r="C22" i="1"/>
  <c r="H22" i="1" s="1"/>
  <c r="D25" i="6"/>
  <c r="C35" i="1"/>
  <c r="H35" i="1" s="1"/>
  <c r="D52" i="3"/>
  <c r="E36" i="3"/>
  <c r="E38" i="3" s="1"/>
  <c r="H38" i="3"/>
  <c r="H40" i="3" s="1"/>
  <c r="H42" i="3" s="1"/>
  <c r="F31" i="10"/>
  <c r="E81" i="10"/>
  <c r="H30" i="10"/>
  <c r="H34" i="10" s="1"/>
  <c r="E13" i="1" s="1"/>
  <c r="F89" i="11"/>
  <c r="H83" i="10"/>
  <c r="H154" i="9"/>
  <c r="H105" i="9" s="1"/>
  <c r="H119" i="9" s="1"/>
  <c r="H129" i="9" s="1"/>
  <c r="E62" i="1"/>
  <c r="H8" i="1"/>
  <c r="E29" i="8"/>
  <c r="E34" i="8" s="1"/>
  <c r="D30" i="1" s="1"/>
  <c r="D26" i="6"/>
  <c r="C36" i="1"/>
  <c r="F14" i="9"/>
  <c r="F16" i="9" s="1"/>
  <c r="I33" i="10" l="1"/>
  <c r="I67" i="10" s="1"/>
  <c r="H63" i="10"/>
  <c r="H65" i="10" s="1"/>
  <c r="D11" i="1"/>
  <c r="E79" i="11"/>
  <c r="I31" i="10"/>
  <c r="C11" i="1"/>
  <c r="D79" i="11"/>
  <c r="H83" i="11"/>
  <c r="I63" i="10"/>
  <c r="I65" i="10" s="1"/>
  <c r="F67" i="10"/>
  <c r="H30" i="8"/>
  <c r="H35" i="8" s="1"/>
  <c r="G26" i="1" s="1"/>
  <c r="H51" i="7"/>
  <c r="E40" i="3"/>
  <c r="E42" i="3" s="1"/>
  <c r="D83" i="11" s="1"/>
  <c r="J148" i="9"/>
  <c r="J93" i="9" s="1"/>
  <c r="J117" i="9" s="1"/>
  <c r="J127" i="9" s="1"/>
  <c r="G60" i="1" s="1"/>
  <c r="J76" i="10"/>
  <c r="H33" i="10"/>
  <c r="H67" i="10" s="1"/>
  <c r="I77" i="9"/>
  <c r="I79" i="9" s="1"/>
  <c r="F53" i="1" s="1"/>
  <c r="J77" i="9"/>
  <c r="J79" i="9" s="1"/>
  <c r="G53" i="1" s="1"/>
  <c r="I14" i="9"/>
  <c r="I16" i="9" s="1"/>
  <c r="F43" i="1" s="1"/>
  <c r="G40" i="3"/>
  <c r="G42" i="3" s="1"/>
  <c r="F51" i="7" s="1"/>
  <c r="H77" i="9"/>
  <c r="H79" i="9" s="1"/>
  <c r="E53" i="1" s="1"/>
  <c r="E83" i="10"/>
  <c r="J67" i="10"/>
  <c r="J63" i="10"/>
  <c r="J65" i="10" s="1"/>
  <c r="E44" i="1"/>
  <c r="H44" i="1" s="1"/>
  <c r="E15" i="9"/>
  <c r="H29" i="1"/>
  <c r="F79" i="11"/>
  <c r="H145" i="9"/>
  <c r="E11" i="1"/>
  <c r="G76" i="10"/>
  <c r="G148" i="9"/>
  <c r="E83" i="11"/>
  <c r="E51" i="7"/>
  <c r="D23" i="1"/>
  <c r="C33" i="8"/>
  <c r="D37" i="7"/>
  <c r="H13" i="1"/>
  <c r="F30" i="8"/>
  <c r="F35" i="8" s="1"/>
  <c r="E26" i="1" s="1"/>
  <c r="C26" i="1"/>
  <c r="E35" i="10"/>
  <c r="D82" i="11"/>
  <c r="D38" i="7"/>
  <c r="B22" i="5" s="1"/>
  <c r="C22" i="5"/>
  <c r="C20" i="1"/>
  <c r="E82" i="11"/>
  <c r="D22" i="5"/>
  <c r="D20" i="1"/>
  <c r="H30" i="1"/>
  <c r="H82" i="11"/>
  <c r="G20" i="1"/>
  <c r="G22" i="5"/>
  <c r="E34" i="10"/>
  <c r="C34" i="8"/>
  <c r="H14" i="9"/>
  <c r="H16" i="9" s="1"/>
  <c r="E43" i="1" s="1"/>
  <c r="G30" i="8"/>
  <c r="G35" i="8" s="1"/>
  <c r="F26" i="1" s="1"/>
  <c r="I145" i="9"/>
  <c r="G79" i="11"/>
  <c r="F11" i="1"/>
  <c r="G82" i="11"/>
  <c r="F22" i="5"/>
  <c r="F20" i="1"/>
  <c r="G67" i="10"/>
  <c r="J14" i="9"/>
  <c r="J16" i="9" s="1"/>
  <c r="G43" i="1" s="1"/>
  <c r="H15" i="1"/>
  <c r="J104" i="9"/>
  <c r="H59" i="1"/>
  <c r="C43" i="1"/>
  <c r="E126" i="9"/>
  <c r="E54" i="10"/>
  <c r="F82" i="11"/>
  <c r="E20" i="1"/>
  <c r="E22" i="5"/>
  <c r="G107" i="9"/>
  <c r="G97" i="9"/>
  <c r="H36" i="1"/>
  <c r="C37" i="1"/>
  <c r="I148" i="9"/>
  <c r="G83" i="11"/>
  <c r="I76" i="10"/>
  <c r="G51" i="7"/>
  <c r="F23" i="1"/>
  <c r="H62" i="1"/>
  <c r="H31" i="10"/>
  <c r="E154" i="9"/>
  <c r="F105" i="9"/>
  <c r="F119" i="9" s="1"/>
  <c r="F129" i="9" s="1"/>
  <c r="E129" i="9" s="1"/>
  <c r="H24" i="1"/>
  <c r="E55" i="9"/>
  <c r="C47" i="1"/>
  <c r="H47" i="1" s="1"/>
  <c r="F107" i="9"/>
  <c r="F97" i="9"/>
  <c r="J31" i="10"/>
  <c r="C89" i="11"/>
  <c r="D34" i="7"/>
  <c r="H79" i="11"/>
  <c r="J145" i="9"/>
  <c r="G11" i="1"/>
  <c r="J52" i="9"/>
  <c r="J58" i="9" s="1"/>
  <c r="G50" i="1" s="1"/>
  <c r="H50" i="1" s="1"/>
  <c r="C23" i="1" l="1"/>
  <c r="H23" i="1" s="1"/>
  <c r="J108" i="9"/>
  <c r="J28" i="9"/>
  <c r="J50" i="9" s="1"/>
  <c r="J56" i="9" s="1"/>
  <c r="G49" i="1" s="1"/>
  <c r="J43" i="9"/>
  <c r="J51" i="9" s="1"/>
  <c r="J57" i="9" s="1"/>
  <c r="G48" i="1" s="1"/>
  <c r="J83" i="9"/>
  <c r="J20" i="9"/>
  <c r="D51" i="7"/>
  <c r="F148" i="9"/>
  <c r="F93" i="9" s="1"/>
  <c r="F117" i="9" s="1"/>
  <c r="F127" i="9" s="1"/>
  <c r="J21" i="9"/>
  <c r="J48" i="9" s="1"/>
  <c r="J54" i="9" s="1"/>
  <c r="G46" i="1" s="1"/>
  <c r="E23" i="1"/>
  <c r="H148" i="9"/>
  <c r="H20" i="9" s="1"/>
  <c r="H76" i="10"/>
  <c r="F83" i="11"/>
  <c r="C83" i="11" s="1"/>
  <c r="F76" i="10"/>
  <c r="J35" i="9"/>
  <c r="H53" i="1"/>
  <c r="H11" i="1"/>
  <c r="E145" i="9"/>
  <c r="E79" i="9"/>
  <c r="D42" i="3"/>
  <c r="C79" i="11"/>
  <c r="G61" i="11"/>
  <c r="G53" i="11"/>
  <c r="G37" i="11"/>
  <c r="G40" i="11"/>
  <c r="G23" i="11"/>
  <c r="G33" i="11"/>
  <c r="G28" i="11"/>
  <c r="G12" i="11"/>
  <c r="H20" i="1"/>
  <c r="E58" i="9"/>
  <c r="F61" i="11"/>
  <c r="F53" i="11"/>
  <c r="F37" i="11"/>
  <c r="F40" i="11"/>
  <c r="F23" i="11"/>
  <c r="F33" i="11"/>
  <c r="F28" i="11"/>
  <c r="F12" i="11"/>
  <c r="I107" i="9"/>
  <c r="I97" i="9"/>
  <c r="I93" i="9"/>
  <c r="I117" i="9" s="1"/>
  <c r="I127" i="9" s="1"/>
  <c r="F60" i="1" s="1"/>
  <c r="I104" i="9"/>
  <c r="I21" i="9"/>
  <c r="I48" i="9" s="1"/>
  <c r="I54" i="9" s="1"/>
  <c r="F46" i="1" s="1"/>
  <c r="I20" i="9"/>
  <c r="I83" i="9"/>
  <c r="I28" i="9"/>
  <c r="I50" i="9" s="1"/>
  <c r="I56" i="9" s="1"/>
  <c r="F49" i="1" s="1"/>
  <c r="I108" i="9"/>
  <c r="I43" i="9"/>
  <c r="I51" i="9" s="1"/>
  <c r="I57" i="9" s="1"/>
  <c r="F48" i="1" s="1"/>
  <c r="I35" i="9"/>
  <c r="J107" i="9"/>
  <c r="J97" i="9"/>
  <c r="J118" i="9" s="1"/>
  <c r="J128" i="9" s="1"/>
  <c r="C34" i="1"/>
  <c r="H34" i="1" s="1"/>
  <c r="C33" i="1"/>
  <c r="H33" i="1" s="1"/>
  <c r="H37" i="1"/>
  <c r="D33" i="11"/>
  <c r="D28" i="11"/>
  <c r="D12" i="11"/>
  <c r="C82" i="11"/>
  <c r="D61" i="11"/>
  <c r="D53" i="11"/>
  <c r="D37" i="11"/>
  <c r="D40" i="11"/>
  <c r="D23" i="11"/>
  <c r="H61" i="11"/>
  <c r="H53" i="11"/>
  <c r="H37" i="11"/>
  <c r="H40" i="11"/>
  <c r="H23" i="11"/>
  <c r="H33" i="11"/>
  <c r="H28" i="11"/>
  <c r="H12" i="11"/>
  <c r="J112" i="9"/>
  <c r="J122" i="9" s="1"/>
  <c r="G56" i="1" s="1"/>
  <c r="G104" i="9"/>
  <c r="G93" i="9"/>
  <c r="G117" i="9" s="1"/>
  <c r="G127" i="9" s="1"/>
  <c r="D60" i="1" s="1"/>
  <c r="G83" i="9"/>
  <c r="G20" i="9"/>
  <c r="G21" i="9"/>
  <c r="G48" i="9" s="1"/>
  <c r="G54" i="9" s="1"/>
  <c r="D46" i="1" s="1"/>
  <c r="G28" i="9"/>
  <c r="G50" i="9" s="1"/>
  <c r="G56" i="9" s="1"/>
  <c r="D49" i="1" s="1"/>
  <c r="G108" i="9"/>
  <c r="G120" i="9" s="1"/>
  <c r="G130" i="9" s="1"/>
  <c r="D58" i="1" s="1"/>
  <c r="G35" i="9"/>
  <c r="G43" i="9"/>
  <c r="G51" i="9" s="1"/>
  <c r="G57" i="9" s="1"/>
  <c r="D48" i="1" s="1"/>
  <c r="C51" i="7"/>
  <c r="C35" i="8"/>
  <c r="H93" i="9"/>
  <c r="H117" i="9" s="1"/>
  <c r="H127" i="9" s="1"/>
  <c r="E60" i="1" s="1"/>
  <c r="H21" i="9"/>
  <c r="H48" i="9" s="1"/>
  <c r="H54" i="9" s="1"/>
  <c r="E46" i="1" s="1"/>
  <c r="H28" i="9"/>
  <c r="H50" i="9" s="1"/>
  <c r="H56" i="9" s="1"/>
  <c r="E49" i="1" s="1"/>
  <c r="H83" i="9"/>
  <c r="H108" i="9"/>
  <c r="H43" i="9"/>
  <c r="H51" i="9" s="1"/>
  <c r="H57" i="9" s="1"/>
  <c r="E48" i="1" s="1"/>
  <c r="H35" i="9"/>
  <c r="H104" i="9"/>
  <c r="E28" i="11"/>
  <c r="E12" i="11"/>
  <c r="E61" i="11"/>
  <c r="E53" i="11"/>
  <c r="E37" i="11"/>
  <c r="E40" i="11"/>
  <c r="E23" i="11"/>
  <c r="E33" i="11"/>
  <c r="H43" i="1"/>
  <c r="F20" i="9"/>
  <c r="F104" i="9"/>
  <c r="F118" i="9" s="1"/>
  <c r="F128" i="9" s="1"/>
  <c r="F35" i="9"/>
  <c r="F108" i="9"/>
  <c r="F43" i="9"/>
  <c r="F51" i="9" s="1"/>
  <c r="F57" i="9" s="1"/>
  <c r="F28" i="9"/>
  <c r="F50" i="9" s="1"/>
  <c r="F56" i="9" s="1"/>
  <c r="H26" i="1"/>
  <c r="E16" i="9"/>
  <c r="H107" i="9"/>
  <c r="H97" i="9"/>
  <c r="H118" i="9" l="1"/>
  <c r="H128" i="9" s="1"/>
  <c r="E76" i="10"/>
  <c r="F21" i="9"/>
  <c r="F48" i="9" s="1"/>
  <c r="F54" i="9" s="1"/>
  <c r="E54" i="9" s="1"/>
  <c r="F83" i="9"/>
  <c r="E148" i="9"/>
  <c r="I118" i="9"/>
  <c r="I128" i="9" s="1"/>
  <c r="J120" i="9"/>
  <c r="J130" i="9" s="1"/>
  <c r="G58" i="1" s="1"/>
  <c r="I120" i="9"/>
  <c r="I130" i="9" s="1"/>
  <c r="F58" i="1" s="1"/>
  <c r="J53" i="9"/>
  <c r="J66" i="9" s="1"/>
  <c r="J67" i="9" s="1"/>
  <c r="G41" i="1" s="1"/>
  <c r="H120" i="9"/>
  <c r="H130" i="9" s="1"/>
  <c r="E58" i="1" s="1"/>
  <c r="J121" i="9"/>
  <c r="J131" i="9" s="1"/>
  <c r="G55" i="1" s="1"/>
  <c r="G66" i="11"/>
  <c r="G68" i="11" s="1"/>
  <c r="F7" i="1" s="1"/>
  <c r="F66" i="11"/>
  <c r="F68" i="11" s="1"/>
  <c r="E7" i="1" s="1"/>
  <c r="E22" i="7"/>
  <c r="G22" i="7"/>
  <c r="E25" i="7"/>
  <c r="D24" i="7"/>
  <c r="I23" i="7"/>
  <c r="E24" i="7"/>
  <c r="D25" i="7"/>
  <c r="F23" i="7"/>
  <c r="F22" i="7"/>
  <c r="H25" i="7"/>
  <c r="I24" i="7"/>
  <c r="H22" i="7"/>
  <c r="E23" i="7"/>
  <c r="G25" i="7"/>
  <c r="I25" i="7"/>
  <c r="G24" i="7"/>
  <c r="D22" i="7"/>
  <c r="I22" i="7"/>
  <c r="D23" i="7"/>
  <c r="F24" i="7"/>
  <c r="F25" i="7"/>
  <c r="G23" i="7"/>
  <c r="H23" i="7"/>
  <c r="H24" i="7"/>
  <c r="H66" i="11"/>
  <c r="H68" i="11" s="1"/>
  <c r="G7" i="1" s="1"/>
  <c r="E57" i="9"/>
  <c r="C48" i="1"/>
  <c r="H48" i="1" s="1"/>
  <c r="H53" i="9"/>
  <c r="F53" i="9"/>
  <c r="F112" i="9"/>
  <c r="F122" i="9" s="1"/>
  <c r="F121" i="9"/>
  <c r="D66" i="11"/>
  <c r="D68" i="11" s="1"/>
  <c r="C7" i="1" s="1"/>
  <c r="I121" i="9"/>
  <c r="I112" i="9"/>
  <c r="I122" i="9" s="1"/>
  <c r="F56" i="1" s="1"/>
  <c r="E56" i="9"/>
  <c r="C49" i="1"/>
  <c r="H49" i="1" s="1"/>
  <c r="G112" i="9"/>
  <c r="G122" i="9" s="1"/>
  <c r="D56" i="1" s="1"/>
  <c r="G121" i="9"/>
  <c r="I53" i="9"/>
  <c r="E66" i="11"/>
  <c r="E68" i="11" s="1"/>
  <c r="D7" i="1" s="1"/>
  <c r="H112" i="9"/>
  <c r="H122" i="9" s="1"/>
  <c r="E56" i="1" s="1"/>
  <c r="H121" i="9"/>
  <c r="E127" i="9"/>
  <c r="C60" i="1"/>
  <c r="H60" i="1" s="1"/>
  <c r="G53" i="9"/>
  <c r="C46" i="1" l="1"/>
  <c r="J59" i="9"/>
  <c r="G45" i="1" s="1"/>
  <c r="J137" i="9"/>
  <c r="J138" i="9" s="1"/>
  <c r="G51" i="1" s="1"/>
  <c r="E122" i="9"/>
  <c r="C56" i="1"/>
  <c r="H56" i="1" s="1"/>
  <c r="F131" i="9"/>
  <c r="F137" i="9"/>
  <c r="F138" i="9" s="1"/>
  <c r="G131" i="9"/>
  <c r="D55" i="1" s="1"/>
  <c r="G137" i="9"/>
  <c r="G138" i="9" s="1"/>
  <c r="G59" i="9"/>
  <c r="D45" i="1" s="1"/>
  <c r="G66" i="9"/>
  <c r="G67" i="9" s="1"/>
  <c r="D41" i="1" s="1"/>
  <c r="F59" i="9"/>
  <c r="F66" i="9"/>
  <c r="F67" i="9" s="1"/>
  <c r="I59" i="9"/>
  <c r="F45" i="1" s="1"/>
  <c r="I66" i="9"/>
  <c r="I67" i="9" s="1"/>
  <c r="F41" i="1" s="1"/>
  <c r="H131" i="9"/>
  <c r="E55" i="1" s="1"/>
  <c r="H137" i="9"/>
  <c r="H138" i="9" s="1"/>
  <c r="E51" i="1" s="1"/>
  <c r="I131" i="9"/>
  <c r="F55" i="1" s="1"/>
  <c r="I137" i="9"/>
  <c r="I138" i="9" s="1"/>
  <c r="F51" i="1" s="1"/>
  <c r="H59" i="9"/>
  <c r="E45" i="1" s="1"/>
  <c r="H66" i="9"/>
  <c r="H67" i="9" s="1"/>
  <c r="E41" i="1" s="1"/>
  <c r="H7" i="1"/>
  <c r="E67" i="9" l="1"/>
  <c r="C41" i="1"/>
  <c r="H41" i="1" s="1"/>
  <c r="E59" i="9"/>
  <c r="C45" i="1"/>
  <c r="H45" i="1" s="1"/>
  <c r="D51" i="1"/>
  <c r="G118" i="9"/>
  <c r="G128" i="9" s="1"/>
  <c r="E128" i="9" s="1"/>
  <c r="E138" i="9"/>
  <c r="C51" i="1"/>
  <c r="F120" i="9"/>
  <c r="F130" i="9" s="1"/>
  <c r="E131" i="9"/>
  <c r="C55" i="1"/>
  <c r="H55" i="1" s="1"/>
  <c r="H51" i="1" l="1"/>
  <c r="E130" i="9"/>
  <c r="C58" i="1"/>
  <c r="H58" i="1" s="1"/>
</calcChain>
</file>

<file path=xl/sharedStrings.xml><?xml version="1.0" encoding="utf-8"?>
<sst xmlns="http://schemas.openxmlformats.org/spreadsheetml/2006/main" count="1087" uniqueCount="373">
  <si>
    <t>PacifiCorp</t>
  </si>
  <si>
    <t>12 Months Ended December 2022</t>
  </si>
  <si>
    <t xml:space="preserve">FUNCTIONAL FACTORS </t>
  </si>
  <si>
    <t>Function</t>
  </si>
  <si>
    <t>Description</t>
  </si>
  <si>
    <t>Production</t>
  </si>
  <si>
    <t>Transmission</t>
  </si>
  <si>
    <t>DPW</t>
  </si>
  <si>
    <t>CUST</t>
  </si>
  <si>
    <t>DMSC</t>
  </si>
  <si>
    <t>Total</t>
  </si>
  <si>
    <t>ACCMDIT</t>
  </si>
  <si>
    <t>Deferred Income Tax</t>
  </si>
  <si>
    <t>BOOKDEPR</t>
  </si>
  <si>
    <t>Book Depreciation</t>
  </si>
  <si>
    <t>COM_EQ</t>
  </si>
  <si>
    <t>Communication Equipment Acct 397</t>
  </si>
  <si>
    <t>Distribution Retail</t>
  </si>
  <si>
    <t>DDS2</t>
  </si>
  <si>
    <t>Deferred Debits - Situs</t>
  </si>
  <si>
    <t>DDS6</t>
  </si>
  <si>
    <t>DDSO2</t>
  </si>
  <si>
    <t>Deferred Debits - System Overhead</t>
  </si>
  <si>
    <t>DDSO6</t>
  </si>
  <si>
    <t>DEFSG</t>
  </si>
  <si>
    <t>Deferred Debit - System Generation</t>
  </si>
  <si>
    <t>Distribution Miscellaneous</t>
  </si>
  <si>
    <t>Distribution Poles &amp; Wires</t>
  </si>
  <si>
    <t>ESD</t>
  </si>
  <si>
    <t>Environmental Services Department</t>
  </si>
  <si>
    <t>FERC</t>
  </si>
  <si>
    <t>FERC Fees</t>
  </si>
  <si>
    <t>G</t>
  </si>
  <si>
    <t>General Plant</t>
  </si>
  <si>
    <t>G-DGP</t>
  </si>
  <si>
    <t>General Plant - DGP Factor</t>
  </si>
  <si>
    <t>G-DGU</t>
  </si>
  <si>
    <t>General Plant - DGU Factor</t>
  </si>
  <si>
    <t>GP</t>
  </si>
  <si>
    <t>Total Plant</t>
  </si>
  <si>
    <t>G-SG</t>
  </si>
  <si>
    <t>General Plant - SG Factor</t>
  </si>
  <si>
    <t>G-SITUS</t>
  </si>
  <si>
    <t>General Plant - SITUS Factor</t>
  </si>
  <si>
    <t>I</t>
  </si>
  <si>
    <t>Intangible Plant</t>
  </si>
  <si>
    <t>I-DGP</t>
  </si>
  <si>
    <t>Intangible Plant - DGP Factor</t>
  </si>
  <si>
    <t>I-DGU</t>
  </si>
  <si>
    <t>Intangible Plant - DGU Factor</t>
  </si>
  <si>
    <t>I-SG</t>
  </si>
  <si>
    <t>Intangible Plant - SG Factor</t>
  </si>
  <si>
    <t>I-SITUS</t>
  </si>
  <si>
    <t>Intangible Plant - SITUS Factor</t>
  </si>
  <si>
    <t>LABOR</t>
  </si>
  <si>
    <t>Direct Labor Expense</t>
  </si>
  <si>
    <t>MSS</t>
  </si>
  <si>
    <t>Materials &amp; Supplies</t>
  </si>
  <si>
    <t>OTHDGP</t>
  </si>
  <si>
    <t>Other Revenues - DGP Factor</t>
  </si>
  <si>
    <t>OTHDGU</t>
  </si>
  <si>
    <t>Other Revenues - DGU Factor</t>
  </si>
  <si>
    <t>OTHSE</t>
  </si>
  <si>
    <t>Other Revenues - SE Factor</t>
  </si>
  <si>
    <t>OTHSG</t>
  </si>
  <si>
    <t>Other Revenues - SG Factor</t>
  </si>
  <si>
    <t>OTHSGR</t>
  </si>
  <si>
    <t>Other Revenues - Rolled-In SG Factor</t>
  </si>
  <si>
    <t>OTHSITUS</t>
  </si>
  <si>
    <t>Other Revenues - SITUS</t>
  </si>
  <si>
    <t>OTHSO</t>
  </si>
  <si>
    <t>Other Revenues - SO Factor</t>
  </si>
  <si>
    <t>P</t>
  </si>
  <si>
    <t>SCHMA</t>
  </si>
  <si>
    <t>Schedule M Additions</t>
  </si>
  <si>
    <t>SCHMAF</t>
  </si>
  <si>
    <t>Schedule M Additions - Flow Through</t>
  </si>
  <si>
    <t>SCHMAP</t>
  </si>
  <si>
    <t>Schedule M Additions - Permanent</t>
  </si>
  <si>
    <t>SCHMAP-SO</t>
  </si>
  <si>
    <t>Schedule M Additions - Permanent-SO</t>
  </si>
  <si>
    <t>SCHMAT</t>
  </si>
  <si>
    <t>Schedule M Additions - Temporary</t>
  </si>
  <si>
    <t>SCHMAT-GPS</t>
  </si>
  <si>
    <t>Schedule M Additions - Temporary-GPS</t>
  </si>
  <si>
    <t>SCHMAT-SE</t>
  </si>
  <si>
    <t>Schedule M Additions - Temporary-SE</t>
  </si>
  <si>
    <t>SCHMAT-SITUS</t>
  </si>
  <si>
    <t>Schedule M Additions - Temporary-SITUS</t>
  </si>
  <si>
    <t>SCHMAT-SNP</t>
  </si>
  <si>
    <t>Schedule M Additions - Temporary-SNP</t>
  </si>
  <si>
    <t>SCHMAT-SO</t>
  </si>
  <si>
    <t>Schedule M Additions - Temporary-SO</t>
  </si>
  <si>
    <t>SCHMD</t>
  </si>
  <si>
    <t>Schedule M Deductions</t>
  </si>
  <si>
    <t>SCHMDF</t>
  </si>
  <si>
    <t>Schedule M Deductions - Flow Through</t>
  </si>
  <si>
    <t>SCHMDP</t>
  </si>
  <si>
    <t>Schedule M Deductions - Permanent</t>
  </si>
  <si>
    <t>SCHMDP-SO</t>
  </si>
  <si>
    <t>Schedule M Deductions - Permanent- SO</t>
  </si>
  <si>
    <t>SCHMDT</t>
  </si>
  <si>
    <t>Schedule M Deductions - Temporary</t>
  </si>
  <si>
    <t>SCHMDT-GPS</t>
  </si>
  <si>
    <t>Schedule M Deductions - Temporary-GPS</t>
  </si>
  <si>
    <t>SCHMDT-SG</t>
  </si>
  <si>
    <t>Schedule M Deductions - Temporary-SG</t>
  </si>
  <si>
    <t>SCHMDT-SITUS</t>
  </si>
  <si>
    <t>Schedule M Deductions - Temporary-SITUS</t>
  </si>
  <si>
    <t>SCHMDT-SNP</t>
  </si>
  <si>
    <t>Schedule M Deductions - Temporary-SNP</t>
  </si>
  <si>
    <t>SCHMDT-SO</t>
  </si>
  <si>
    <t>Schedule M Deductions - Temporary-SO</t>
  </si>
  <si>
    <t>T</t>
  </si>
  <si>
    <t xml:space="preserve">TAXDEPR </t>
  </si>
  <si>
    <t xml:space="preserve">Tax Depreciation </t>
  </si>
  <si>
    <t>TD</t>
  </si>
  <si>
    <t>Transmission / Distribution</t>
  </si>
  <si>
    <t>PT</t>
  </si>
  <si>
    <t>Production / Transmission</t>
  </si>
  <si>
    <t>PTD</t>
  </si>
  <si>
    <t>Prod, Trans, Dist Plant</t>
  </si>
  <si>
    <t>CWC</t>
  </si>
  <si>
    <t>Cash Working Capital</t>
  </si>
  <si>
    <t>DITEXP</t>
  </si>
  <si>
    <t>Deferred Income Tax - Expense</t>
  </si>
  <si>
    <t>FIT</t>
  </si>
  <si>
    <t>Federal Income Taxes</t>
  </si>
  <si>
    <t>IBT</t>
  </si>
  <si>
    <t>Income Before Taxes</t>
  </si>
  <si>
    <t>NONE</t>
  </si>
  <si>
    <t>Not Functionalized</t>
  </si>
  <si>
    <t>NUTIL</t>
  </si>
  <si>
    <t>Non-Utility</t>
  </si>
  <si>
    <t>REVREQ</t>
  </si>
  <si>
    <t>Revenue Requirement</t>
  </si>
  <si>
    <t>SIT</t>
  </si>
  <si>
    <t>State Income Taxes</t>
  </si>
  <si>
    <t>Tax Depreciation</t>
  </si>
  <si>
    <t>Distribution</t>
  </si>
  <si>
    <t>General</t>
  </si>
  <si>
    <t>Mining</t>
  </si>
  <si>
    <t>Conversion to COS Functions</t>
  </si>
  <si>
    <t>Pro</t>
  </si>
  <si>
    <t>Trn</t>
  </si>
  <si>
    <t>Dis</t>
  </si>
  <si>
    <t>Retail</t>
  </si>
  <si>
    <t>Misc</t>
  </si>
  <si>
    <t>Percent of GenPlant in Functions</t>
  </si>
  <si>
    <t>Allocation of GenPlant to Functions</t>
  </si>
  <si>
    <t>Assignment of Mining to Prod Function</t>
  </si>
  <si>
    <t>Adjusted Totals</t>
  </si>
  <si>
    <t>TAXDEPR FACTOR</t>
  </si>
  <si>
    <t>TAXDEPR Factor</t>
  </si>
  <si>
    <t>Gross Plant</t>
  </si>
  <si>
    <t>(In 000's)</t>
  </si>
  <si>
    <t>Alloc.</t>
  </si>
  <si>
    <t>Factor</t>
  </si>
  <si>
    <t>Funct.</t>
  </si>
  <si>
    <t>Amount</t>
  </si>
  <si>
    <t>Transmisssion</t>
  </si>
  <si>
    <t>CUSTOMER</t>
  </si>
  <si>
    <t>DMISC</t>
  </si>
  <si>
    <t>Production Plant</t>
  </si>
  <si>
    <t>Transmission Plant</t>
  </si>
  <si>
    <t>Distribution Plant</t>
  </si>
  <si>
    <t>SE</t>
  </si>
  <si>
    <t>Business Centers</t>
  </si>
  <si>
    <t>Utah Mine</t>
  </si>
  <si>
    <t>Total General Plant</t>
  </si>
  <si>
    <t>Customer Service Sys</t>
  </si>
  <si>
    <t>Washington Hydro</t>
  </si>
  <si>
    <t>Utah Hydro</t>
  </si>
  <si>
    <t>Colorado Steam-UPD</t>
  </si>
  <si>
    <t>Oregon Trans</t>
  </si>
  <si>
    <t>Utah</t>
  </si>
  <si>
    <t>Utah G/O</t>
  </si>
  <si>
    <t>Total Intangible Plant</t>
  </si>
  <si>
    <t>Total Gross Plant</t>
  </si>
  <si>
    <t>GP Factor</t>
  </si>
  <si>
    <t>Functional Allocators:</t>
  </si>
  <si>
    <t>Prod</t>
  </si>
  <si>
    <t>Trans</t>
  </si>
  <si>
    <t>12 Months Ended December 2018</t>
  </si>
  <si>
    <t>FERC FORM 1 Funtionalization Factors</t>
  </si>
  <si>
    <t>PLANT</t>
  </si>
  <si>
    <t>UNCLASSIFIED PLANT</t>
  </si>
  <si>
    <t>TOTAL PLANT</t>
  </si>
  <si>
    <t>PLANT %</t>
  </si>
  <si>
    <t>LABOR %</t>
  </si>
  <si>
    <t>Material &amp; Supplies</t>
  </si>
  <si>
    <t>Material &amp; Supplies %</t>
  </si>
  <si>
    <t>FERC (MWh)</t>
  </si>
  <si>
    <t>FERC %</t>
  </si>
  <si>
    <t>Depreciation Expense</t>
  </si>
  <si>
    <t>BookDepr Factor</t>
  </si>
  <si>
    <t>Account 456</t>
  </si>
  <si>
    <t>Main</t>
  </si>
  <si>
    <t>Account</t>
  </si>
  <si>
    <t>Customer</t>
  </si>
  <si>
    <t>456</t>
  </si>
  <si>
    <t>OTHER</t>
  </si>
  <si>
    <t>SG</t>
  </si>
  <si>
    <t>SO</t>
  </si>
  <si>
    <t>SITUS</t>
  </si>
  <si>
    <t>Total Situs Revenues</t>
  </si>
  <si>
    <t>Total CN Revenues</t>
  </si>
  <si>
    <t>Total SE Revenues</t>
  </si>
  <si>
    <t>Total SG Revenues</t>
  </si>
  <si>
    <t>Total SO Revenues</t>
  </si>
  <si>
    <t>Total Operation</t>
  </si>
  <si>
    <t>CN Factor</t>
  </si>
  <si>
    <t>Total Operation Factor</t>
  </si>
  <si>
    <t>BASED ON TOTAL COMPANY DATA</t>
  </si>
  <si>
    <t>CN</t>
  </si>
  <si>
    <t>SSGCH</t>
  </si>
  <si>
    <t>SSGCT</t>
  </si>
  <si>
    <t>Total-CUST</t>
  </si>
  <si>
    <t>Total-TD</t>
  </si>
  <si>
    <t>Total-PTD</t>
  </si>
  <si>
    <t>Total-DPW</t>
  </si>
  <si>
    <t>Total-SSGCH</t>
  </si>
  <si>
    <t>Total-SSGCT</t>
  </si>
  <si>
    <t>Total-G-SG</t>
  </si>
  <si>
    <t>Total-SE</t>
  </si>
  <si>
    <t>Total-G-Situs</t>
  </si>
  <si>
    <t>Total-SO</t>
  </si>
  <si>
    <t>Total-General Plant</t>
  </si>
  <si>
    <t>G-SG Factor</t>
  </si>
  <si>
    <t>.</t>
  </si>
  <si>
    <t>G-SITUS Factor</t>
  </si>
  <si>
    <t>SO Factor</t>
  </si>
  <si>
    <t>G Allocator</t>
  </si>
  <si>
    <t>Total Gen. Plant</t>
  </si>
  <si>
    <t>acct 399 from JAM</t>
  </si>
  <si>
    <t xml:space="preserve">Total </t>
  </si>
  <si>
    <t>SG-P</t>
  </si>
  <si>
    <t>SG-U</t>
  </si>
  <si>
    <t>Total-DGP</t>
  </si>
  <si>
    <t>Total-DGU</t>
  </si>
  <si>
    <t>Total-SG</t>
  </si>
  <si>
    <t>Total-SITUS</t>
  </si>
  <si>
    <t>Total-Intangible</t>
  </si>
  <si>
    <t>I-DGP FACTOR</t>
  </si>
  <si>
    <t>I-DGU FACTOR</t>
  </si>
  <si>
    <t>I-SG FACTOR</t>
  </si>
  <si>
    <t>I-Situs FACTOR</t>
  </si>
  <si>
    <t>I FACTOR</t>
  </si>
  <si>
    <t>Schedule M</t>
  </si>
  <si>
    <t>Primary</t>
  </si>
  <si>
    <t>PITA</t>
  </si>
  <si>
    <t>Poles &amp; Wires</t>
  </si>
  <si>
    <t>Customers</t>
  </si>
  <si>
    <t>Miscellaneous</t>
  </si>
  <si>
    <t>ADDITIONS</t>
  </si>
  <si>
    <t>SCHMDEXP</t>
  </si>
  <si>
    <t>Total SCHMAP</t>
  </si>
  <si>
    <t>SCHMAP FACTOR</t>
  </si>
  <si>
    <t>CIAC</t>
  </si>
  <si>
    <t>BADDEBT</t>
  </si>
  <si>
    <t>GPS</t>
  </si>
  <si>
    <t>SGCT</t>
  </si>
  <si>
    <t>SNP</t>
  </si>
  <si>
    <t>SNPD</t>
  </si>
  <si>
    <t>TROJD</t>
  </si>
  <si>
    <t>Total-GPS</t>
  </si>
  <si>
    <t>Total-SNP</t>
  </si>
  <si>
    <t>Total-SCHMAT</t>
  </si>
  <si>
    <t>SCHMAT FACTOR</t>
  </si>
  <si>
    <t>DGP</t>
  </si>
  <si>
    <t>TROJP</t>
  </si>
  <si>
    <t>Total-SCHMAF</t>
  </si>
  <si>
    <t>SCHMAF FACTOR</t>
  </si>
  <si>
    <t>Total-SCHMA</t>
  </si>
  <si>
    <t>SCHMA FACTOR</t>
  </si>
  <si>
    <t>DEDUCTIONS</t>
  </si>
  <si>
    <t>Total-SCHMDP</t>
  </si>
  <si>
    <t>SCHMDP FACTOR</t>
  </si>
  <si>
    <t>TAXDEPR</t>
  </si>
  <si>
    <t>Total-CN</t>
  </si>
  <si>
    <t>Total SO</t>
  </si>
  <si>
    <t>Total OTHER</t>
  </si>
  <si>
    <t>Total TAXDEPR</t>
  </si>
  <si>
    <t>Total SCHMDT</t>
  </si>
  <si>
    <t>SCHMDT-CN</t>
  </si>
  <si>
    <t>SCHMDT-SE</t>
  </si>
  <si>
    <t>SCHMDT-OTHER</t>
  </si>
  <si>
    <t>SCHMDT-TAXDEPR</t>
  </si>
  <si>
    <t>SCHMDT FACTOR</t>
  </si>
  <si>
    <t>Total-SCHMDF</t>
  </si>
  <si>
    <t>SCHMDF FACTOR</t>
  </si>
  <si>
    <t>Total-SCHMD</t>
  </si>
  <si>
    <t>SCHMD FACTOR</t>
  </si>
  <si>
    <t>Net SCHM</t>
  </si>
  <si>
    <t>Reg Assets / Deferred Debits</t>
  </si>
  <si>
    <t>Pri-Acct</t>
  </si>
  <si>
    <t>182M</t>
  </si>
  <si>
    <t>Total-OTHER</t>
  </si>
  <si>
    <t>Total SITUS</t>
  </si>
  <si>
    <t>Total RA</t>
  </si>
  <si>
    <t>DDSO2 FACTOR</t>
  </si>
  <si>
    <t>DDS2 FACTOR</t>
  </si>
  <si>
    <t>186M</t>
  </si>
  <si>
    <t>DD-OTHER</t>
  </si>
  <si>
    <t>Total SG</t>
  </si>
  <si>
    <t>Total-DD</t>
  </si>
  <si>
    <t>DDS6 FACTOR</t>
  </si>
  <si>
    <t>DEFSG FACTOR</t>
  </si>
  <si>
    <t>DDSO6 FACTOR</t>
  </si>
  <si>
    <t>Major Adjustment</t>
  </si>
  <si>
    <t>1998 Early Retirement</t>
  </si>
  <si>
    <t>1999 Early Retirement</t>
  </si>
  <si>
    <t>Transition Planning</t>
  </si>
  <si>
    <t>Environmental Clean-up</t>
  </si>
  <si>
    <t>Y2K</t>
  </si>
  <si>
    <t>Subtotal Major Adjustments</t>
  </si>
  <si>
    <t>Total 186M SO</t>
  </si>
  <si>
    <t>Total 182 &amp;186</t>
  </si>
  <si>
    <t>RETAIL</t>
  </si>
  <si>
    <t>Deferred Income Tax - Balance</t>
  </si>
  <si>
    <t>DITBALRL</t>
  </si>
  <si>
    <t>Pacific Division</t>
  </si>
  <si>
    <t>Division</t>
  </si>
  <si>
    <t>CHOLLA UNIT 4 2006+</t>
  </si>
  <si>
    <t>DISTRIBUTION 2006+</t>
  </si>
  <si>
    <t>GENERAL 2006+</t>
  </si>
  <si>
    <t>NON UTILITY</t>
  </si>
  <si>
    <t>OREGON EXTRA BOOK DEPR</t>
  </si>
  <si>
    <t>PRODUCTION 2006+</t>
  </si>
  <si>
    <t>STEAM</t>
  </si>
  <si>
    <t>TRANSMISSION</t>
  </si>
  <si>
    <t>TRANSMISSION 2006+</t>
  </si>
  <si>
    <t>UTAH EXTRA BOOK DEPR</t>
  </si>
  <si>
    <t>WCA - CAEE 2007+</t>
  </si>
  <si>
    <t>WCA - CAGE 2007+</t>
  </si>
  <si>
    <t>WCA - CAGW 2007+</t>
  </si>
  <si>
    <t>WCA - General 2007+</t>
  </si>
  <si>
    <t>WCA - JBG 2007+</t>
  </si>
  <si>
    <t>Total PacifiCorp 2006 and After:</t>
  </si>
  <si>
    <t>PacifiCorp Post-Merger</t>
  </si>
  <si>
    <t>BK INTANG</t>
  </si>
  <si>
    <t>CAGE</t>
  </si>
  <si>
    <t>CAGW</t>
  </si>
  <si>
    <t>COAL MINE</t>
  </si>
  <si>
    <t>DISTRIBUTION</t>
  </si>
  <si>
    <t>GENERAL</t>
  </si>
  <si>
    <t>HYDRO P</t>
  </si>
  <si>
    <t xml:space="preserve"> </t>
  </si>
  <si>
    <t>HYDRO U</t>
  </si>
  <si>
    <t>ID Situs</t>
  </si>
  <si>
    <t>INTANGIBLES</t>
  </si>
  <si>
    <t>OTHER PROD</t>
  </si>
  <si>
    <t>P GENERAL</t>
  </si>
  <si>
    <t>UT Situs</t>
  </si>
  <si>
    <t>WASHINGTON EXTRA BOOK DEPR</t>
  </si>
  <si>
    <t>Total PacifiCorp Post-Merger:</t>
  </si>
  <si>
    <t>PPL Pre-Merger</t>
  </si>
  <si>
    <t>MALIN</t>
  </si>
  <si>
    <t>P COAL MINE</t>
  </si>
  <si>
    <t>P DISTRIBUTION</t>
  </si>
  <si>
    <t>P NON UTILITY</t>
  </si>
  <si>
    <t>P PRODUCTION</t>
  </si>
  <si>
    <t>P TRANSMISSION</t>
  </si>
  <si>
    <t>Total PPL Pre-Merger:</t>
  </si>
  <si>
    <t>UPL Pre-Merger</t>
  </si>
  <si>
    <t>U COAL MINE</t>
  </si>
  <si>
    <t>U DISTRIBUTION</t>
  </si>
  <si>
    <t>U GENERAL</t>
  </si>
  <si>
    <t>U PRODUCTION</t>
  </si>
  <si>
    <t>U TRANSMISSION</t>
  </si>
  <si>
    <t xml:space="preserve">Total Deferred Taxes </t>
  </si>
  <si>
    <t>ACCMDITRL FACTOR</t>
  </si>
  <si>
    <t>ACCUMDIT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</si>
</sst>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3" formatCode="_(* #,##0.00_);_(* \(#,##0.00\);_(* &quot;-&quot;??_);_(@_)"/>
    <numFmt numFmtId="164" formatCode="0.0000%"/>
    <numFmt numFmtId="165" formatCode="_(* #,##0.000000_);_(* \(#,##0.000000\);_(* &quot;-&quot;??_);_(@_)"/>
    <numFmt numFmtId="166" formatCode="_(* #,##0_);_(* \(#,##0\);_(* &quot;-&quot;??_);_(@_)"/>
    <numFmt numFmtId="167" formatCode="[$-409]mmm\-yy;@"/>
    <numFmt numFmtId="168" formatCode="&quot;$&quot;#,##0"/>
    <numFmt numFmtId="169" formatCode="[$$-409]#,##0.00_);\([$$-409]#,##0.00\)"/>
  </numFmts>
  <fonts count="18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2"/>
      <name val="Arial MT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color indexed="14"/>
      <name val="Arial"/>
      <family val="2"/>
    </font>
    <font>
      <sz val="10"/>
      <name val="Arial MT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72">
    <xf numFmtId="0" fontId="0" fillId="0" borderId="0" xfId="0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64" fontId="1" fillId="0" borderId="0" xfId="2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left"/>
    </xf>
    <xf numFmtId="9" fontId="1" fillId="0" borderId="0" xfId="2" applyFon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1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166" fontId="1" fillId="0" borderId="0" xfId="1" applyNumberFormat="1" applyFont="1" applyFill="1"/>
    <xf numFmtId="166" fontId="1" fillId="0" borderId="2" xfId="1" applyNumberFormat="1" applyFont="1" applyFill="1" applyBorder="1"/>
    <xf numFmtId="166" fontId="1" fillId="0" borderId="5" xfId="1" applyNumberFormat="1" applyFont="1" applyFill="1" applyBorder="1"/>
    <xf numFmtId="166" fontId="1" fillId="0" borderId="6" xfId="1" applyNumberFormat="1" applyFont="1" applyFill="1" applyBorder="1"/>
    <xf numFmtId="164" fontId="1" fillId="0" borderId="0" xfId="2" applyNumberFormat="1" applyFont="1" applyFill="1"/>
    <xf numFmtId="164" fontId="9" fillId="0" borderId="0" xfId="2" applyNumberFormat="1" applyFont="1" applyFill="1" applyAlignment="1">
      <alignment horizontal="center"/>
    </xf>
    <xf numFmtId="164" fontId="1" fillId="0" borderId="0" xfId="0" applyNumberFormat="1" applyFont="1"/>
    <xf numFmtId="166" fontId="1" fillId="0" borderId="0" xfId="0" applyNumberFormat="1" applyFont="1"/>
    <xf numFmtId="166" fontId="1" fillId="0" borderId="3" xfId="1" applyNumberFormat="1" applyFont="1" applyFill="1" applyBorder="1"/>
    <xf numFmtId="164" fontId="1" fillId="0" borderId="3" xfId="2" applyNumberFormat="1" applyFont="1" applyFill="1" applyBorder="1"/>
    <xf numFmtId="166" fontId="1" fillId="0" borderId="0" xfId="1" applyNumberFormat="1" applyFont="1" applyFill="1" applyBorder="1"/>
    <xf numFmtId="164" fontId="1" fillId="0" borderId="0" xfId="2" applyNumberFormat="1" applyFont="1" applyFill="1" applyBorder="1"/>
    <xf numFmtId="0" fontId="4" fillId="0" borderId="0" xfId="0" applyFont="1" applyAlignment="1">
      <alignment horizontal="left"/>
    </xf>
    <xf numFmtId="0" fontId="1" fillId="0" borderId="0" xfId="4" applyFont="1"/>
    <xf numFmtId="0" fontId="11" fillId="0" borderId="0" xfId="0" quotePrefix="1" applyFont="1" applyAlignment="1">
      <alignment horizontal="centerContinuous"/>
    </xf>
    <xf numFmtId="166" fontId="1" fillId="0" borderId="0" xfId="1" applyNumberFormat="1" applyFont="1" applyFill="1" applyBorder="1" applyAlignment="1" applyProtection="1">
      <alignment horizontal="center"/>
    </xf>
    <xf numFmtId="166" fontId="13" fillId="0" borderId="0" xfId="1" applyNumberFormat="1" applyFont="1" applyFill="1" applyAlignment="1" applyProtection="1">
      <alignment horizontal="center"/>
    </xf>
    <xf numFmtId="0" fontId="1" fillId="0" borderId="0" xfId="4" applyFont="1" applyAlignment="1">
      <alignment horizontal="left"/>
    </xf>
    <xf numFmtId="43" fontId="1" fillId="0" borderId="0" xfId="1" applyFont="1" applyFill="1" applyBorder="1" applyProtection="1"/>
    <xf numFmtId="43" fontId="1" fillId="0" borderId="0" xfId="1" applyFont="1" applyFill="1"/>
    <xf numFmtId="0" fontId="4" fillId="0" borderId="0" xfId="0" applyFont="1" applyAlignment="1">
      <alignment horizontal="centerContinuous"/>
    </xf>
    <xf numFmtId="166" fontId="15" fillId="0" borderId="0" xfId="1" applyNumberFormat="1" applyFont="1" applyFill="1" applyBorder="1" applyAlignment="1" applyProtection="1">
      <alignment horizontal="center"/>
    </xf>
    <xf numFmtId="169" fontId="1" fillId="0" borderId="0" xfId="1" applyNumberFormat="1" applyFont="1" applyFill="1" applyBorder="1"/>
    <xf numFmtId="169" fontId="13" fillId="0" borderId="0" xfId="1" applyNumberFormat="1" applyFont="1" applyFill="1" applyBorder="1"/>
    <xf numFmtId="169" fontId="4" fillId="0" borderId="0" xfId="1" applyNumberFormat="1" applyFont="1" applyFill="1" applyBorder="1"/>
    <xf numFmtId="43" fontId="0" fillId="0" borderId="0" xfId="1" applyFont="1" applyFill="1"/>
    <xf numFmtId="37" fontId="1" fillId="0" borderId="0" xfId="1" applyNumberFormat="1" applyFont="1" applyFill="1" applyBorder="1"/>
    <xf numFmtId="10" fontId="4" fillId="0" borderId="0" xfId="2" applyNumberFormat="1" applyFont="1" applyFill="1" applyBorder="1"/>
    <xf numFmtId="164" fontId="4" fillId="0" borderId="0" xfId="2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3" xfId="0" applyFont="1" applyBorder="1"/>
    <xf numFmtId="37" fontId="1" fillId="0" borderId="0" xfId="0" applyNumberFormat="1" applyFont="1"/>
    <xf numFmtId="0" fontId="1" fillId="0" borderId="0" xfId="5" applyFont="1"/>
    <xf numFmtId="10" fontId="1" fillId="0" borderId="0" xfId="2" applyNumberFormat="1" applyFont="1" applyFill="1"/>
    <xf numFmtId="0" fontId="4" fillId="0" borderId="0" xfId="5" applyFont="1"/>
    <xf numFmtId="37" fontId="1" fillId="0" borderId="0" xfId="5" applyNumberFormat="1" applyFont="1"/>
    <xf numFmtId="10" fontId="4" fillId="0" borderId="0" xfId="2" applyNumberFormat="1" applyFont="1" applyFill="1" applyBorder="1" applyProtection="1"/>
    <xf numFmtId="164" fontId="4" fillId="0" borderId="0" xfId="2" applyNumberFormat="1" applyFont="1" applyFill="1" applyBorder="1" applyProtection="1"/>
    <xf numFmtId="166" fontId="1" fillId="0" borderId="0" xfId="1" applyNumberFormat="1" applyFont="1" applyFill="1" applyBorder="1" applyProtection="1"/>
    <xf numFmtId="166" fontId="1" fillId="0" borderId="0" xfId="1" applyNumberFormat="1" applyFont="1" applyFill="1" applyBorder="1" applyAlignment="1">
      <alignment vertical="center"/>
    </xf>
    <xf numFmtId="10" fontId="1" fillId="0" borderId="0" xfId="2" applyNumberFormat="1" applyFont="1" applyFill="1" applyBorder="1"/>
    <xf numFmtId="0" fontId="4" fillId="0" borderId="0" xfId="5" applyFont="1" applyAlignment="1">
      <alignment horizontal="centerContinuous"/>
    </xf>
    <xf numFmtId="0" fontId="1" fillId="0" borderId="0" xfId="5" applyFont="1" applyAlignment="1">
      <alignment horizontal="centerContinuous"/>
    </xf>
    <xf numFmtId="0" fontId="1" fillId="0" borderId="0" xfId="5" applyFont="1" applyAlignment="1">
      <alignment horizontal="center"/>
    </xf>
    <xf numFmtId="0" fontId="1" fillId="0" borderId="8" xfId="5" applyFont="1" applyBorder="1" applyAlignment="1">
      <alignment horizontal="center"/>
    </xf>
    <xf numFmtId="0" fontId="1" fillId="0" borderId="0" xfId="5" applyFont="1" applyAlignment="1">
      <alignment horizontal="left"/>
    </xf>
    <xf numFmtId="37" fontId="1" fillId="0" borderId="0" xfId="1" applyNumberFormat="1" applyFont="1" applyFill="1" applyBorder="1" applyAlignment="1" applyProtection="1">
      <alignment horizontal="right"/>
    </xf>
    <xf numFmtId="166" fontId="1" fillId="0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left"/>
    </xf>
    <xf numFmtId="0" fontId="13" fillId="0" borderId="0" xfId="5" applyFont="1" applyAlignment="1">
      <alignment horizontal="left"/>
    </xf>
    <xf numFmtId="0" fontId="13" fillId="0" borderId="0" xfId="5" applyFont="1" applyAlignment="1">
      <alignment horizontal="center"/>
    </xf>
    <xf numFmtId="0" fontId="4" fillId="0" borderId="0" xfId="0" quotePrefix="1" applyFont="1" applyAlignment="1">
      <alignment horizontal="centerContinuous"/>
    </xf>
    <xf numFmtId="0" fontId="16" fillId="0" borderId="0" xfId="0" applyFont="1" applyAlignment="1">
      <alignment horizontal="centerContinuous"/>
    </xf>
    <xf numFmtId="166" fontId="1" fillId="0" borderId="0" xfId="1" applyNumberFormat="1" applyFont="1" applyFill="1" applyBorder="1" applyAlignment="1" applyProtection="1">
      <alignment vertical="center"/>
    </xf>
    <xf numFmtId="164" fontId="0" fillId="0" borderId="0" xfId="0" applyNumberFormat="1"/>
    <xf numFmtId="166" fontId="1" fillId="0" borderId="0" xfId="1" applyNumberFormat="1" applyFont="1" applyFill="1" applyAlignment="1">
      <alignment horizontal="centerContinuous"/>
    </xf>
    <xf numFmtId="0" fontId="1" fillId="0" borderId="3" xfId="0" applyFont="1" applyBorder="1" applyAlignment="1">
      <alignment vertical="center"/>
    </xf>
    <xf numFmtId="166" fontId="4" fillId="0" borderId="0" xfId="1" applyNumberFormat="1" applyFont="1" applyFill="1" applyBorder="1"/>
    <xf numFmtId="0" fontId="13" fillId="0" borderId="0" xfId="0" applyFont="1" applyAlignment="1">
      <alignment horizontal="right"/>
    </xf>
    <xf numFmtId="8" fontId="1" fillId="0" borderId="0" xfId="0" applyNumberFormat="1" applyFont="1"/>
    <xf numFmtId="0" fontId="4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7" fontId="1" fillId="0" borderId="0" xfId="1" applyNumberFormat="1" applyFont="1" applyFill="1"/>
    <xf numFmtId="3" fontId="1" fillId="0" borderId="0" xfId="1" applyNumberFormat="1" applyFont="1" applyFill="1"/>
    <xf numFmtId="37" fontId="17" fillId="0" borderId="0" xfId="1" applyNumberFormat="1" applyFont="1" applyFill="1"/>
    <xf numFmtId="10" fontId="4" fillId="0" borderId="0" xfId="2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left" indent="2"/>
    </xf>
    <xf numFmtId="10" fontId="4" fillId="0" borderId="0" xfId="2" applyNumberFormat="1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5" fontId="6" fillId="0" borderId="0" xfId="2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6" fontId="6" fillId="0" borderId="0" xfId="1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1" fillId="0" borderId="3" xfId="0" applyNumberFormat="1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1" fillId="0" borderId="7" xfId="0" applyFont="1" applyBorder="1"/>
    <xf numFmtId="0" fontId="4" fillId="0" borderId="0" xfId="3" applyFont="1" applyAlignment="1">
      <alignment horizontal="centerContinuous"/>
    </xf>
    <xf numFmtId="0" fontId="1" fillId="0" borderId="0" xfId="4" applyFont="1" applyAlignment="1">
      <alignment horizontal="centerContinuous"/>
    </xf>
    <xf numFmtId="0" fontId="4" fillId="0" borderId="0" xfId="4" applyFont="1" applyAlignment="1">
      <alignment horizontal="centerContinuous"/>
    </xf>
    <xf numFmtId="0" fontId="11" fillId="0" borderId="0" xfId="0" applyFont="1" applyAlignment="1">
      <alignment horizontal="center"/>
    </xf>
    <xf numFmtId="0" fontId="4" fillId="0" borderId="0" xfId="4" applyFont="1" applyAlignment="1">
      <alignment horizontal="left"/>
    </xf>
    <xf numFmtId="166" fontId="1" fillId="0" borderId="0" xfId="4" applyNumberFormat="1" applyFont="1"/>
    <xf numFmtId="0" fontId="4" fillId="0" borderId="0" xfId="4" applyFont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0" xfId="4" applyFont="1"/>
    <xf numFmtId="0" fontId="1" fillId="0" borderId="0" xfId="4" applyFont="1" applyAlignment="1">
      <alignment horizontal="center"/>
    </xf>
    <xf numFmtId="37" fontId="1" fillId="0" borderId="0" xfId="4" applyNumberFormat="1" applyFont="1"/>
    <xf numFmtId="0" fontId="13" fillId="0" borderId="0" xfId="4" applyFont="1" applyAlignment="1">
      <alignment horizontal="center"/>
    </xf>
    <xf numFmtId="0" fontId="1" fillId="0" borderId="0" xfId="3" applyFont="1"/>
    <xf numFmtId="0" fontId="1" fillId="0" borderId="0" xfId="3" applyFont="1" applyAlignment="1">
      <alignment horizontal="center"/>
    </xf>
    <xf numFmtId="37" fontId="1" fillId="0" borderId="9" xfId="4" applyNumberFormat="1" applyFont="1" applyBorder="1"/>
    <xf numFmtId="37" fontId="1" fillId="0" borderId="10" xfId="4" applyNumberFormat="1" applyFont="1" applyBorder="1"/>
    <xf numFmtId="43" fontId="1" fillId="0" borderId="0" xfId="4" applyNumberFormat="1" applyFont="1"/>
    <xf numFmtId="0" fontId="4" fillId="0" borderId="11" xfId="4" applyFont="1" applyBorder="1"/>
    <xf numFmtId="0" fontId="4" fillId="0" borderId="12" xfId="4" applyFont="1" applyBorder="1"/>
    <xf numFmtId="164" fontId="4" fillId="0" borderId="12" xfId="4" applyNumberFormat="1" applyFont="1" applyBorder="1"/>
    <xf numFmtId="164" fontId="4" fillId="0" borderId="13" xfId="4" applyNumberFormat="1" applyFont="1" applyBorder="1"/>
    <xf numFmtId="164" fontId="1" fillId="0" borderId="0" xfId="4" applyNumberFormat="1" applyFont="1"/>
    <xf numFmtId="164" fontId="13" fillId="0" borderId="0" xfId="4" applyNumberFormat="1" applyFont="1" applyAlignment="1">
      <alignment horizontal="center"/>
    </xf>
    <xf numFmtId="164" fontId="4" fillId="0" borderId="0" xfId="4" applyNumberFormat="1" applyFont="1"/>
    <xf numFmtId="17" fontId="4" fillId="0" borderId="0" xfId="0" quotePrefix="1" applyNumberFormat="1" applyFont="1" applyAlignment="1">
      <alignment horizontal="centerContinuous"/>
    </xf>
    <xf numFmtId="17" fontId="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"/>
    </xf>
    <xf numFmtId="38" fontId="1" fillId="0" borderId="0" xfId="0" applyNumberFormat="1" applyFont="1"/>
    <xf numFmtId="164" fontId="1" fillId="0" borderId="14" xfId="0" applyNumberFormat="1" applyFont="1" applyBorder="1"/>
    <xf numFmtId="164" fontId="1" fillId="0" borderId="5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164" fontId="1" fillId="0" borderId="7" xfId="0" applyNumberFormat="1" applyFont="1" applyBorder="1"/>
    <xf numFmtId="167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1" fillId="0" borderId="0" xfId="0" applyFont="1" applyAlignment="1">
      <alignment horizontal="right"/>
    </xf>
    <xf numFmtId="0" fontId="12" fillId="0" borderId="0" xfId="0" applyFont="1"/>
    <xf numFmtId="0" fontId="1" fillId="0" borderId="3" xfId="0" applyFont="1" applyBorder="1" applyAlignment="1">
      <alignment horizontal="center"/>
    </xf>
    <xf numFmtId="0" fontId="13" fillId="0" borderId="0" xfId="5" applyFont="1" applyAlignment="1">
      <alignment horizontal="right"/>
    </xf>
    <xf numFmtId="0" fontId="1" fillId="0" borderId="0" xfId="3" applyFont="1" applyAlignment="1">
      <alignment horizontal="centerContinuous"/>
    </xf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8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3" xfId="3" applyFont="1" applyBorder="1" applyAlignment="1">
      <alignment horizontal="left"/>
    </xf>
    <xf numFmtId="37" fontId="1" fillId="0" borderId="3" xfId="3" applyNumberFormat="1" applyFont="1" applyBorder="1"/>
    <xf numFmtId="0" fontId="1" fillId="0" borderId="0" xfId="3" applyFont="1" applyAlignment="1">
      <alignment horizontal="left"/>
    </xf>
    <xf numFmtId="37" fontId="1" fillId="0" borderId="0" xfId="3" applyNumberFormat="1" applyFont="1"/>
    <xf numFmtId="0" fontId="1" fillId="0" borderId="14" xfId="3" applyFont="1" applyBorder="1" applyAlignment="1">
      <alignment horizontal="center"/>
    </xf>
    <xf numFmtId="0" fontId="1" fillId="0" borderId="14" xfId="3" applyFont="1" applyBorder="1" applyAlignment="1">
      <alignment horizontal="left"/>
    </xf>
    <xf numFmtId="37" fontId="1" fillId="0" borderId="14" xfId="3" applyNumberFormat="1" applyFont="1" applyBorder="1"/>
    <xf numFmtId="37" fontId="1" fillId="0" borderId="3" xfId="5" applyNumberFormat="1" applyFont="1" applyBorder="1"/>
    <xf numFmtId="0" fontId="3" fillId="0" borderId="0" xfId="3" applyFont="1" applyAlignment="1">
      <alignment horizontal="right"/>
    </xf>
    <xf numFmtId="0" fontId="4" fillId="0" borderId="8" xfId="3" applyFont="1" applyBorder="1"/>
    <xf numFmtId="0" fontId="1" fillId="0" borderId="8" xfId="3" applyFont="1" applyBorder="1"/>
    <xf numFmtId="37" fontId="1" fillId="0" borderId="8" xfId="3" applyNumberFormat="1" applyFont="1" applyBorder="1"/>
    <xf numFmtId="164" fontId="4" fillId="0" borderId="0" xfId="3" applyNumberFormat="1" applyFont="1"/>
    <xf numFmtId="0" fontId="13" fillId="0" borderId="0" xfId="3" applyFont="1" applyAlignment="1">
      <alignment horizontal="center"/>
    </xf>
  </cellXfs>
  <cellStyles count="6">
    <cellStyle name="Comma" xfId="1" builtinId="3"/>
    <cellStyle name="Normal" xfId="0" builtinId="0"/>
    <cellStyle name="Normal_G-FACT" xfId="3" xr:uid="{B4AEDC6C-FBAB-4694-B9D4-253F4F563FF9}"/>
    <cellStyle name="Normal_GP-FACT" xfId="4" xr:uid="{8288A2EC-2CF2-473C-BF30-9829D579E497}"/>
    <cellStyle name="Normal_I-FACT" xfId="5" xr:uid="{76F1F80B-AD91-4176-83C9-24E25B53564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321D-5253-418B-88E1-D41E31CF01BC}">
  <dimension ref="A1:L76"/>
  <sheetViews>
    <sheetView tabSelected="1" view="pageBreakPreview" zoomScale="70" zoomScaleNormal="75" zoomScaleSheetLayoutView="70" workbookViewId="0"/>
  </sheetViews>
  <sheetFormatPr defaultColWidth="9.140625" defaultRowHeight="12.75"/>
  <cols>
    <col min="1" max="1" width="15.5703125" style="3" bestFit="1" customWidth="1"/>
    <col min="2" max="2" width="39.85546875" style="3" bestFit="1" customWidth="1"/>
    <col min="3" max="8" width="13.7109375" style="89" customWidth="1"/>
    <col min="9" max="9" width="10" style="88" bestFit="1" customWidth="1"/>
    <col min="10" max="16384" width="9.140625" style="88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12" ht="1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12" ht="15" customHeight="1">
      <c r="H4" s="90"/>
    </row>
    <row r="5" spans="1:12" ht="15" customHeight="1">
      <c r="H5" s="90"/>
    </row>
    <row r="6" spans="1:12" ht="15" customHeight="1" thickBot="1">
      <c r="A6" s="91" t="s">
        <v>3</v>
      </c>
      <c r="B6" s="91" t="s">
        <v>4</v>
      </c>
      <c r="C6" s="91" t="s">
        <v>5</v>
      </c>
      <c r="D6" s="91" t="s">
        <v>6</v>
      </c>
      <c r="E6" s="91" t="s">
        <v>7</v>
      </c>
      <c r="F6" s="91" t="s">
        <v>8</v>
      </c>
      <c r="G6" s="91" t="s">
        <v>9</v>
      </c>
      <c r="H6" s="91" t="s">
        <v>10</v>
      </c>
    </row>
    <row r="7" spans="1:12" s="93" customFormat="1" ht="15" customHeight="1">
      <c r="A7" s="3" t="s">
        <v>11</v>
      </c>
      <c r="B7" s="3" t="s">
        <v>12</v>
      </c>
      <c r="C7" s="4">
        <f>ACCUMDIT!D68</f>
        <v>0.44639916228159593</v>
      </c>
      <c r="D7" s="4">
        <f>ACCUMDIT!E68</f>
        <v>0.30337997764156804</v>
      </c>
      <c r="E7" s="4">
        <f>ACCUMDIT!F68</f>
        <v>0.24965623976430248</v>
      </c>
      <c r="F7" s="4">
        <f>ACCUMDIT!G68</f>
        <v>5.6462031253353589E-4</v>
      </c>
      <c r="G7" s="4">
        <f>ACCUMDIT!H68</f>
        <v>0</v>
      </c>
      <c r="H7" s="92">
        <f t="shared" ref="H7:H32" si="0">ROUND(SUM(C7:G7),4)</f>
        <v>1</v>
      </c>
      <c r="J7" s="94"/>
    </row>
    <row r="8" spans="1:12" s="93" customFormat="1" ht="15" customHeight="1">
      <c r="A8" s="3" t="s">
        <v>13</v>
      </c>
      <c r="B8" s="3" t="s">
        <v>14</v>
      </c>
      <c r="C8" s="4">
        <f>BOOKDPR!C13</f>
        <v>0.63023260995049679</v>
      </c>
      <c r="D8" s="4">
        <f>BOOKDPR!D13</f>
        <v>0.14901800149112956</v>
      </c>
      <c r="E8" s="4">
        <f>BOOKDPR!E13</f>
        <v>0.21978809818115044</v>
      </c>
      <c r="F8" s="4">
        <f>BOOKDPR!F13</f>
        <v>9.6129037722328576E-4</v>
      </c>
      <c r="G8" s="4">
        <f>BOOKDPR!G13</f>
        <v>0</v>
      </c>
      <c r="H8" s="92">
        <f t="shared" si="0"/>
        <v>1</v>
      </c>
      <c r="J8" s="94"/>
    </row>
    <row r="9" spans="1:12" s="93" customFormat="1" ht="15" customHeight="1">
      <c r="A9" s="3" t="s">
        <v>15</v>
      </c>
      <c r="B9" s="3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92">
        <f t="shared" si="0"/>
        <v>0</v>
      </c>
      <c r="J9" s="94"/>
    </row>
    <row r="10" spans="1:12" s="93" customFormat="1" ht="15" customHeight="1">
      <c r="A10" s="3" t="s">
        <v>8</v>
      </c>
      <c r="B10" s="3" t="s">
        <v>17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92">
        <f t="shared" si="0"/>
        <v>1</v>
      </c>
      <c r="J10" s="94"/>
    </row>
    <row r="11" spans="1:12" s="93" customFormat="1" ht="15" customHeight="1">
      <c r="A11" s="3" t="s">
        <v>18</v>
      </c>
      <c r="B11" s="3" t="s">
        <v>19</v>
      </c>
      <c r="C11" s="4">
        <f>'REGASSETS&amp;DDS'!F35</f>
        <v>1.256967079992769</v>
      </c>
      <c r="D11" s="4">
        <f>'REGASSETS&amp;DDS'!G35</f>
        <v>-4.0038591442276561E-2</v>
      </c>
      <c r="E11" s="4">
        <f>'REGASSETS&amp;DDS'!H35</f>
        <v>-0.19389595525200468</v>
      </c>
      <c r="F11" s="4">
        <f>'REGASSETS&amp;DDS'!I35</f>
        <v>-2.5254607296955285E-2</v>
      </c>
      <c r="G11" s="4">
        <f>'REGASSETS&amp;DDS'!J35</f>
        <v>2.2220739984675324E-3</v>
      </c>
      <c r="H11" s="92">
        <f t="shared" si="0"/>
        <v>1</v>
      </c>
      <c r="J11" s="94"/>
    </row>
    <row r="12" spans="1:12" s="93" customFormat="1" ht="15" customHeight="1">
      <c r="A12" s="3" t="s">
        <v>20</v>
      </c>
      <c r="B12" s="3" t="s">
        <v>19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92">
        <f t="shared" si="0"/>
        <v>0</v>
      </c>
      <c r="J12" s="94"/>
    </row>
    <row r="13" spans="1:12" s="93" customFormat="1" ht="15" customHeight="1">
      <c r="A13" s="3" t="s">
        <v>21</v>
      </c>
      <c r="B13" s="3" t="s">
        <v>22</v>
      </c>
      <c r="C13" s="4">
        <f>'REGASSETS&amp;DDS'!F34</f>
        <v>0.40656606532069467</v>
      </c>
      <c r="D13" s="4">
        <f>'REGASSETS&amp;DDS'!G34</f>
        <v>9.4753847813365169E-2</v>
      </c>
      <c r="E13" s="4">
        <f>'REGASSETS&amp;DDS'!H34</f>
        <v>0.38773566987247454</v>
      </c>
      <c r="F13" s="4">
        <f>'REGASSETS&amp;DDS'!I34</f>
        <v>9.8535809851044875E-2</v>
      </c>
      <c r="G13" s="4">
        <f>'REGASSETS&amp;DDS'!J34</f>
        <v>1.2408607142420558E-2</v>
      </c>
      <c r="H13" s="92">
        <f t="shared" si="0"/>
        <v>1</v>
      </c>
      <c r="J13" s="94"/>
    </row>
    <row r="14" spans="1:12" s="96" customFormat="1" ht="15" customHeight="1">
      <c r="A14" s="3" t="s">
        <v>23</v>
      </c>
      <c r="B14" s="3" t="s">
        <v>22</v>
      </c>
      <c r="C14" s="4">
        <f>IF('REGASSETS&amp;DDS'!F55=0,0,'REGASSETS&amp;DDS'!F55)</f>
        <v>0</v>
      </c>
      <c r="D14" s="4">
        <f>'REGASSETS&amp;DDS'!G55</f>
        <v>0</v>
      </c>
      <c r="E14" s="4">
        <f>'REGASSETS&amp;DDS'!H55</f>
        <v>0</v>
      </c>
      <c r="F14" s="4">
        <f>'REGASSETS&amp;DDS'!I55</f>
        <v>0</v>
      </c>
      <c r="G14" s="4">
        <f>'REGASSETS&amp;DDS'!J55</f>
        <v>1</v>
      </c>
      <c r="H14" s="92">
        <f t="shared" si="0"/>
        <v>1</v>
      </c>
      <c r="I14" s="95"/>
      <c r="J14" s="95"/>
      <c r="K14" s="95"/>
      <c r="L14" s="95"/>
    </row>
    <row r="15" spans="1:12" s="96" customFormat="1" ht="15" customHeight="1">
      <c r="A15" s="3" t="s">
        <v>24</v>
      </c>
      <c r="B15" s="3" t="s">
        <v>25</v>
      </c>
      <c r="C15" s="4">
        <f>'REGASSETS&amp;DDS'!F54</f>
        <v>0.98246954095322514</v>
      </c>
      <c r="D15" s="4">
        <f>'REGASSETS&amp;DDS'!G54</f>
        <v>1.7530459046774909E-2</v>
      </c>
      <c r="E15" s="4">
        <f>'REGASSETS&amp;DDS'!H54</f>
        <v>0</v>
      </c>
      <c r="F15" s="4">
        <f>'REGASSETS&amp;DDS'!I54</f>
        <v>0</v>
      </c>
      <c r="G15" s="4">
        <f>'REGASSETS&amp;DDS'!J54</f>
        <v>0</v>
      </c>
      <c r="H15" s="92">
        <f t="shared" si="0"/>
        <v>1</v>
      </c>
      <c r="J15" s="97"/>
    </row>
    <row r="16" spans="1:12" s="96" customFormat="1" ht="15" customHeight="1">
      <c r="A16" s="3" t="s">
        <v>9</v>
      </c>
      <c r="B16" s="3" t="s">
        <v>26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92">
        <f t="shared" si="0"/>
        <v>1</v>
      </c>
      <c r="J16" s="97"/>
    </row>
    <row r="17" spans="1:10" s="96" customFormat="1" ht="15" customHeight="1">
      <c r="A17" s="3" t="s">
        <v>7</v>
      </c>
      <c r="B17" s="3" t="s">
        <v>27</v>
      </c>
      <c r="C17" s="4">
        <f>'FORM 1'!C15</f>
        <v>0</v>
      </c>
      <c r="D17" s="4">
        <f>'FORM 1'!D15</f>
        <v>0</v>
      </c>
      <c r="E17" s="4">
        <f>'FORM 1'!E15</f>
        <v>1</v>
      </c>
      <c r="F17" s="4">
        <f>'FORM 1'!F15</f>
        <v>0</v>
      </c>
      <c r="G17" s="4">
        <f>'FORM 1'!G15</f>
        <v>0</v>
      </c>
      <c r="H17" s="92">
        <f t="shared" si="0"/>
        <v>1</v>
      </c>
      <c r="J17" s="97"/>
    </row>
    <row r="18" spans="1:10" s="96" customFormat="1" ht="15" customHeight="1">
      <c r="A18" s="3" t="s">
        <v>28</v>
      </c>
      <c r="B18" s="3" t="s">
        <v>29</v>
      </c>
      <c r="C18" s="4">
        <v>0.3</v>
      </c>
      <c r="D18" s="4">
        <v>0.1</v>
      </c>
      <c r="E18" s="4">
        <v>0.6</v>
      </c>
      <c r="F18" s="4">
        <v>0</v>
      </c>
      <c r="G18" s="4">
        <v>0</v>
      </c>
      <c r="H18" s="92">
        <f t="shared" si="0"/>
        <v>1</v>
      </c>
      <c r="J18" s="97"/>
    </row>
    <row r="19" spans="1:10" s="96" customFormat="1" ht="15" customHeight="1">
      <c r="A19" s="3" t="s">
        <v>30</v>
      </c>
      <c r="B19" s="3" t="s">
        <v>31</v>
      </c>
      <c r="C19" s="4">
        <f>'FORM 1'!C39</f>
        <v>0.42427826998824053</v>
      </c>
      <c r="D19" s="4">
        <f>'FORM 1'!D39</f>
        <v>0.57572173001175952</v>
      </c>
      <c r="E19" s="4">
        <f>'FORM 1'!E39</f>
        <v>0</v>
      </c>
      <c r="F19" s="4">
        <f>'FORM 1'!F39</f>
        <v>0</v>
      </c>
      <c r="G19" s="4">
        <f>'FORM 1'!G39</f>
        <v>0</v>
      </c>
      <c r="H19" s="92">
        <f t="shared" si="0"/>
        <v>1</v>
      </c>
      <c r="J19" s="97"/>
    </row>
    <row r="20" spans="1:10" s="96" customFormat="1" ht="15" customHeight="1">
      <c r="A20" s="3" t="s">
        <v>32</v>
      </c>
      <c r="B20" s="3" t="s">
        <v>33</v>
      </c>
      <c r="C20" s="4">
        <f>GP!E38</f>
        <v>0.20014057788057571</v>
      </c>
      <c r="D20" s="4">
        <f>GP!F38</f>
        <v>0.35198617626679318</v>
      </c>
      <c r="E20" s="4">
        <f>GP!G38</f>
        <v>0.43574982278046454</v>
      </c>
      <c r="F20" s="4">
        <f>GP!H38</f>
        <v>1.2123423072166489E-2</v>
      </c>
      <c r="G20" s="4">
        <f>GP!I38</f>
        <v>0</v>
      </c>
      <c r="H20" s="92">
        <f t="shared" si="0"/>
        <v>1</v>
      </c>
      <c r="J20" s="97"/>
    </row>
    <row r="21" spans="1:10" s="96" customFormat="1" ht="15" customHeight="1">
      <c r="A21" s="3" t="s">
        <v>34</v>
      </c>
      <c r="B21" s="3" t="s">
        <v>35</v>
      </c>
      <c r="C21" s="4">
        <f>C64</f>
        <v>0.62978967201258707</v>
      </c>
      <c r="D21" s="4">
        <f t="shared" ref="D21:G21" si="1">D64</f>
        <v>0.37021032798741293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92">
        <f t="shared" si="0"/>
        <v>1</v>
      </c>
      <c r="J21" s="97"/>
    </row>
    <row r="22" spans="1:10" s="96" customFormat="1" ht="15" customHeight="1">
      <c r="A22" s="3" t="s">
        <v>36</v>
      </c>
      <c r="B22" s="3" t="s">
        <v>37</v>
      </c>
      <c r="C22" s="4">
        <f>+C21</f>
        <v>0.62978967201258707</v>
      </c>
      <c r="D22" s="4">
        <f>+D21</f>
        <v>0.37021032798741293</v>
      </c>
      <c r="E22" s="4">
        <f>+E21</f>
        <v>0</v>
      </c>
      <c r="F22" s="4">
        <f>+F21</f>
        <v>0</v>
      </c>
      <c r="G22" s="4">
        <f>+G21</f>
        <v>0</v>
      </c>
      <c r="H22" s="92">
        <f t="shared" si="0"/>
        <v>1</v>
      </c>
      <c r="J22" s="97"/>
    </row>
    <row r="23" spans="1:10" s="96" customFormat="1" ht="15" customHeight="1">
      <c r="A23" s="3" t="s">
        <v>38</v>
      </c>
      <c r="B23" s="3" t="s">
        <v>39</v>
      </c>
      <c r="C23" s="4">
        <f>'GROSS PLANT'!E42</f>
        <v>0.44726448202864683</v>
      </c>
      <c r="D23" s="4">
        <f>'GROSS PLANT'!F42</f>
        <v>0.26769933588391837</v>
      </c>
      <c r="E23" s="4">
        <f>'GROSS PLANT'!G42</f>
        <v>0.27741768892117574</v>
      </c>
      <c r="F23" s="4">
        <f>'GROSS PLANT'!H42</f>
        <v>7.6184931662590443E-3</v>
      </c>
      <c r="G23" s="4">
        <f>'GROSS PLANT'!I42</f>
        <v>0</v>
      </c>
      <c r="H23" s="92">
        <f t="shared" si="0"/>
        <v>1</v>
      </c>
      <c r="J23" s="97"/>
    </row>
    <row r="24" spans="1:10" s="96" customFormat="1" ht="15" customHeight="1">
      <c r="A24" s="3" t="s">
        <v>40</v>
      </c>
      <c r="B24" s="3" t="s">
        <v>41</v>
      </c>
      <c r="C24" s="4">
        <f>GP!E34</f>
        <v>0.40832729143812402</v>
      </c>
      <c r="D24" s="4">
        <f>GP!F34</f>
        <v>0.59167270856187604</v>
      </c>
      <c r="E24" s="4">
        <f>GP!G34</f>
        <v>0</v>
      </c>
      <c r="F24" s="4">
        <f>GP!H34</f>
        <v>0</v>
      </c>
      <c r="G24" s="4">
        <f>GP!I34</f>
        <v>0</v>
      </c>
      <c r="H24" s="92">
        <f t="shared" si="0"/>
        <v>1</v>
      </c>
      <c r="J24" s="97"/>
    </row>
    <row r="25" spans="1:10" s="96" customFormat="1" ht="15" customHeight="1">
      <c r="A25" s="3" t="s">
        <v>42</v>
      </c>
      <c r="B25" s="3" t="s">
        <v>43</v>
      </c>
      <c r="C25" s="4">
        <f>GP!E36</f>
        <v>0</v>
      </c>
      <c r="D25" s="4">
        <f>GP!F36</f>
        <v>0.29249122150445284</v>
      </c>
      <c r="E25" s="4">
        <f>GP!G36</f>
        <v>0.70750877849554705</v>
      </c>
      <c r="F25" s="4">
        <f>GP!H36</f>
        <v>0</v>
      </c>
      <c r="G25" s="4">
        <f>GP!I36</f>
        <v>0</v>
      </c>
      <c r="H25" s="92">
        <f t="shared" si="0"/>
        <v>1</v>
      </c>
      <c r="J25" s="97"/>
    </row>
    <row r="26" spans="1:10" s="96" customFormat="1" ht="15" customHeight="1">
      <c r="A26" s="3" t="s">
        <v>44</v>
      </c>
      <c r="B26" s="3" t="s">
        <v>45</v>
      </c>
      <c r="C26" s="4">
        <f>IP!D35</f>
        <v>0.47840643561333279</v>
      </c>
      <c r="D26" s="4">
        <f>IP!E35</f>
        <v>0.16646965936522015</v>
      </c>
      <c r="E26" s="4">
        <f>IP!F35</f>
        <v>0.11303279600124741</v>
      </c>
      <c r="F26" s="4">
        <f>IP!G35</f>
        <v>0.24209110902019965</v>
      </c>
      <c r="G26" s="4">
        <f>IP!H35</f>
        <v>0</v>
      </c>
      <c r="H26" s="92">
        <f t="shared" si="0"/>
        <v>1</v>
      </c>
      <c r="J26" s="97"/>
    </row>
    <row r="27" spans="1:10" s="96" customFormat="1" ht="15" customHeight="1">
      <c r="A27" s="3" t="s">
        <v>46</v>
      </c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92">
        <f t="shared" si="0"/>
        <v>1</v>
      </c>
      <c r="J27" s="97"/>
    </row>
    <row r="28" spans="1:10" s="96" customFormat="1" ht="15" customHeight="1">
      <c r="A28" s="3" t="s">
        <v>48</v>
      </c>
      <c r="B28" s="3" t="s">
        <v>49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92">
        <f t="shared" si="0"/>
        <v>1</v>
      </c>
      <c r="J28" s="97"/>
    </row>
    <row r="29" spans="1:10" s="96" customFormat="1" ht="15" customHeight="1">
      <c r="A29" s="3" t="s">
        <v>50</v>
      </c>
      <c r="B29" s="3" t="s">
        <v>51</v>
      </c>
      <c r="C29" s="4">
        <f>IP!D33</f>
        <v>0.81702749850546386</v>
      </c>
      <c r="D29" s="4">
        <f>IP!E33</f>
        <v>0.18297250149453595</v>
      </c>
      <c r="E29" s="4">
        <f>IP!F33</f>
        <v>0</v>
      </c>
      <c r="F29" s="4">
        <f>IP!G33</f>
        <v>0</v>
      </c>
      <c r="G29" s="4">
        <f>IP!H33</f>
        <v>0</v>
      </c>
      <c r="H29" s="92">
        <f t="shared" si="0"/>
        <v>1</v>
      </c>
      <c r="J29" s="97"/>
    </row>
    <row r="30" spans="1:10" s="96" customFormat="1" ht="15" customHeight="1">
      <c r="A30" s="3" t="s">
        <v>52</v>
      </c>
      <c r="B30" s="3" t="s">
        <v>53</v>
      </c>
      <c r="C30" s="4">
        <f>IP!D34</f>
        <v>0</v>
      </c>
      <c r="D30" s="4">
        <f>IP!E34</f>
        <v>-5.6813281223044049E-2</v>
      </c>
      <c r="E30" s="4">
        <f>IP!F34</f>
        <v>1.056813281223044</v>
      </c>
      <c r="F30" s="4">
        <f>IP!G34</f>
        <v>0</v>
      </c>
      <c r="G30" s="4">
        <f>IP!H34</f>
        <v>0</v>
      </c>
      <c r="H30" s="92">
        <f t="shared" si="0"/>
        <v>1</v>
      </c>
      <c r="J30" s="97"/>
    </row>
    <row r="31" spans="1:10" s="96" customFormat="1" ht="15" customHeight="1">
      <c r="A31" s="3" t="s">
        <v>54</v>
      </c>
      <c r="B31" s="3" t="s">
        <v>55</v>
      </c>
      <c r="C31" s="4">
        <f>'FORM 1'!C25</f>
        <v>0.42836100153567491</v>
      </c>
      <c r="D31" s="4">
        <f>'FORM 1'!D25</f>
        <v>9.5362892375417618E-2</v>
      </c>
      <c r="E31" s="4">
        <f>'FORM 1'!E25</f>
        <v>0.36138829440728865</v>
      </c>
      <c r="F31" s="4">
        <f>'FORM 1'!F25</f>
        <v>0.11488781168161885</v>
      </c>
      <c r="G31" s="4">
        <f>'FORM 1'!G25</f>
        <v>0</v>
      </c>
      <c r="H31" s="92">
        <f t="shared" si="0"/>
        <v>1</v>
      </c>
      <c r="J31" s="97"/>
    </row>
    <row r="32" spans="1:10" s="96" customFormat="1" ht="15" customHeight="1">
      <c r="A32" s="3" t="s">
        <v>56</v>
      </c>
      <c r="B32" s="3" t="s">
        <v>57</v>
      </c>
      <c r="C32" s="4">
        <f>'FORM 1'!C32</f>
        <v>0.73858527086805514</v>
      </c>
      <c r="D32" s="4">
        <f>'FORM 1'!D32</f>
        <v>1.5024304671246954E-2</v>
      </c>
      <c r="E32" s="4">
        <f>'FORM 1'!E32</f>
        <v>0.24639042446069795</v>
      </c>
      <c r="F32" s="4">
        <f>'FORM 1'!F32</f>
        <v>0</v>
      </c>
      <c r="G32" s="4">
        <f>'FORM 1'!G32</f>
        <v>0</v>
      </c>
      <c r="H32" s="92">
        <f t="shared" si="0"/>
        <v>1</v>
      </c>
      <c r="J32" s="97"/>
    </row>
    <row r="33" spans="1:10" s="96" customFormat="1" ht="15" customHeight="1">
      <c r="A33" s="3" t="s">
        <v>58</v>
      </c>
      <c r="B33" s="3" t="s">
        <v>59</v>
      </c>
      <c r="C33" s="4">
        <f>C37</f>
        <v>0.1413470609030614</v>
      </c>
      <c r="D33" s="4">
        <f>D37</f>
        <v>0.85865293909693852</v>
      </c>
      <c r="E33" s="4">
        <f>E37</f>
        <v>0</v>
      </c>
      <c r="F33" s="4">
        <f>F37</f>
        <v>0</v>
      </c>
      <c r="G33" s="4">
        <f>G37</f>
        <v>0</v>
      </c>
      <c r="H33" s="92">
        <f t="shared" ref="H33:H60" si="2">ROUND(SUM(C33:G33),4)</f>
        <v>1</v>
      </c>
      <c r="J33" s="97"/>
    </row>
    <row r="34" spans="1:10" s="96" customFormat="1" ht="15" customHeight="1">
      <c r="A34" s="3" t="s">
        <v>60</v>
      </c>
      <c r="B34" s="3" t="s">
        <v>61</v>
      </c>
      <c r="C34" s="4">
        <f>C37</f>
        <v>0.1413470609030614</v>
      </c>
      <c r="D34" s="4">
        <f>D37</f>
        <v>0.85865293909693852</v>
      </c>
      <c r="E34" s="4">
        <f>E37</f>
        <v>0</v>
      </c>
      <c r="F34" s="4">
        <f>F37</f>
        <v>0</v>
      </c>
      <c r="G34" s="4">
        <f>G37</f>
        <v>0</v>
      </c>
      <c r="H34" s="92">
        <f t="shared" si="2"/>
        <v>1</v>
      </c>
      <c r="J34" s="97"/>
    </row>
    <row r="35" spans="1:10" s="96" customFormat="1" ht="15" customHeight="1">
      <c r="A35" s="3" t="s">
        <v>62</v>
      </c>
      <c r="B35" s="3" t="s">
        <v>63</v>
      </c>
      <c r="C35" s="4">
        <f>'ELEC OPS'!E25</f>
        <v>0</v>
      </c>
      <c r="D35" s="4">
        <f>'ELEC OPS'!F25</f>
        <v>1</v>
      </c>
      <c r="E35" s="4">
        <f>'ELEC OPS'!G25</f>
        <v>0</v>
      </c>
      <c r="F35" s="4">
        <f>'ELEC OPS'!H25</f>
        <v>0</v>
      </c>
      <c r="G35" s="4">
        <f>'ELEC OPS'!I25</f>
        <v>0</v>
      </c>
      <c r="H35" s="92">
        <f t="shared" si="2"/>
        <v>1</v>
      </c>
      <c r="J35" s="97"/>
    </row>
    <row r="36" spans="1:10" s="96" customFormat="1" ht="15" customHeight="1">
      <c r="A36" s="3" t="s">
        <v>64</v>
      </c>
      <c r="B36" s="3" t="s">
        <v>65</v>
      </c>
      <c r="C36" s="4">
        <f>'ELEC OPS'!E26</f>
        <v>0.1413470609030614</v>
      </c>
      <c r="D36" s="4">
        <f>'ELEC OPS'!F26</f>
        <v>0.85865293909693852</v>
      </c>
      <c r="E36" s="4">
        <f>'ELEC OPS'!G26</f>
        <v>0</v>
      </c>
      <c r="F36" s="4">
        <f>'ELEC OPS'!H26</f>
        <v>0</v>
      </c>
      <c r="G36" s="4">
        <f>'ELEC OPS'!I26</f>
        <v>0</v>
      </c>
      <c r="H36" s="92">
        <f t="shared" si="2"/>
        <v>1</v>
      </c>
      <c r="J36" s="97"/>
    </row>
    <row r="37" spans="1:10" s="96" customFormat="1" ht="15" customHeight="1">
      <c r="A37" s="3" t="s">
        <v>66</v>
      </c>
      <c r="B37" s="3" t="s">
        <v>67</v>
      </c>
      <c r="C37" s="4">
        <f>+C36</f>
        <v>0.1413470609030614</v>
      </c>
      <c r="D37" s="4">
        <f>+D36</f>
        <v>0.85865293909693852</v>
      </c>
      <c r="E37" s="4">
        <f>+E36</f>
        <v>0</v>
      </c>
      <c r="F37" s="4">
        <f>+F36</f>
        <v>0</v>
      </c>
      <c r="G37" s="4">
        <f>+G36</f>
        <v>0</v>
      </c>
      <c r="H37" s="92">
        <f t="shared" si="2"/>
        <v>1</v>
      </c>
      <c r="J37" s="97"/>
    </row>
    <row r="38" spans="1:10" s="96" customFormat="1" ht="15" customHeight="1">
      <c r="A38" s="3" t="s">
        <v>68</v>
      </c>
      <c r="B38" s="3" t="s">
        <v>69</v>
      </c>
      <c r="C38" s="4">
        <f>'ELEC OPS'!E23</f>
        <v>5.5301399359969375E-2</v>
      </c>
      <c r="D38" s="4">
        <f>'ELEC OPS'!F23</f>
        <v>0.92859766786698328</v>
      </c>
      <c r="E38" s="4">
        <f>'ELEC OPS'!G23</f>
        <v>0</v>
      </c>
      <c r="F38" s="4">
        <f>'ELEC OPS'!H23</f>
        <v>0</v>
      </c>
      <c r="G38" s="4">
        <f>'ELEC OPS'!I23</f>
        <v>1.6100932773047267E-2</v>
      </c>
      <c r="H38" s="92">
        <f t="shared" si="2"/>
        <v>1</v>
      </c>
      <c r="J38" s="97"/>
    </row>
    <row r="39" spans="1:10" s="96" customFormat="1" ht="15" customHeight="1">
      <c r="A39" s="3" t="s">
        <v>70</v>
      </c>
      <c r="B39" s="3" t="s">
        <v>71</v>
      </c>
      <c r="C39" s="4">
        <f>IFERROR('ELEC OPS'!E27,0)</f>
        <v>0</v>
      </c>
      <c r="D39" s="4">
        <f>IFERROR('ELEC OPS'!F27,0)</f>
        <v>0</v>
      </c>
      <c r="E39" s="4">
        <f>IFERROR('ELEC OPS'!G27,0)</f>
        <v>0</v>
      </c>
      <c r="F39" s="4">
        <f>IFERROR('ELEC OPS'!H27,0)</f>
        <v>0</v>
      </c>
      <c r="G39" s="4">
        <f>IFERROR('ELEC OPS'!I27,1)</f>
        <v>1</v>
      </c>
      <c r="H39" s="92">
        <f t="shared" si="2"/>
        <v>1</v>
      </c>
      <c r="J39" s="97"/>
    </row>
    <row r="40" spans="1:10" s="96" customFormat="1" ht="15" customHeight="1">
      <c r="A40" s="3" t="s">
        <v>72</v>
      </c>
      <c r="B40" s="3" t="s">
        <v>5</v>
      </c>
      <c r="C40" s="4">
        <f>'FORM 1'!C13</f>
        <v>1</v>
      </c>
      <c r="D40" s="4">
        <f>'FORM 1'!D13</f>
        <v>0</v>
      </c>
      <c r="E40" s="4">
        <f>'FORM 1'!E13</f>
        <v>0</v>
      </c>
      <c r="F40" s="4">
        <f>'FORM 1'!F13</f>
        <v>0</v>
      </c>
      <c r="G40" s="4">
        <f>'FORM 1'!G13</f>
        <v>0</v>
      </c>
      <c r="H40" s="92">
        <f t="shared" si="2"/>
        <v>1</v>
      </c>
      <c r="J40" s="97"/>
    </row>
    <row r="41" spans="1:10" s="96" customFormat="1" ht="15" customHeight="1">
      <c r="A41" s="3" t="s">
        <v>73</v>
      </c>
      <c r="B41" s="3" t="s">
        <v>74</v>
      </c>
      <c r="C41" s="4">
        <f>'SCH M'!F67</f>
        <v>0.33716167079008974</v>
      </c>
      <c r="D41" s="4">
        <f>'SCH M'!G67</f>
        <v>0.28847578343156088</v>
      </c>
      <c r="E41" s="4">
        <f>'SCH M'!H67</f>
        <v>0.43089462662697969</v>
      </c>
      <c r="F41" s="4">
        <f>'SCH M'!I67</f>
        <v>1.0068269767174032E-2</v>
      </c>
      <c r="G41" s="4">
        <f>'SCH M'!J67</f>
        <v>-6.6600350615803883E-2</v>
      </c>
      <c r="H41" s="92">
        <f t="shared" si="2"/>
        <v>1</v>
      </c>
      <c r="J41" s="97"/>
    </row>
    <row r="42" spans="1:10" s="96" customFormat="1" ht="15" customHeight="1">
      <c r="A42" s="3" t="s">
        <v>75</v>
      </c>
      <c r="B42" s="3" t="s">
        <v>76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92">
        <f t="shared" si="2"/>
        <v>1</v>
      </c>
      <c r="J42" s="97"/>
    </row>
    <row r="43" spans="1:10" s="96" customFormat="1" ht="15" customHeight="1">
      <c r="A43" s="3" t="s">
        <v>77</v>
      </c>
      <c r="B43" s="3" t="s">
        <v>78</v>
      </c>
      <c r="C43" s="4">
        <f>'SCH M'!F16</f>
        <v>0.5895436071684016</v>
      </c>
      <c r="D43" s="4">
        <f>'SCH M'!G16</f>
        <v>6.8473825123120322E-2</v>
      </c>
      <c r="E43" s="4">
        <f>'SCH M'!H16</f>
        <v>0.25948918134079446</v>
      </c>
      <c r="F43" s="4">
        <f>'SCH M'!I16</f>
        <v>8.2493386367683552E-2</v>
      </c>
      <c r="G43" s="4">
        <f>'SCH M'!J16</f>
        <v>0</v>
      </c>
      <c r="H43" s="92">
        <f t="shared" si="2"/>
        <v>1</v>
      </c>
      <c r="J43" s="97"/>
    </row>
    <row r="44" spans="1:10" s="96" customFormat="1" ht="15" customHeight="1">
      <c r="A44" s="3" t="s">
        <v>79</v>
      </c>
      <c r="B44" s="3" t="s">
        <v>80</v>
      </c>
      <c r="C44" s="4">
        <f>'SCH M'!F15</f>
        <v>0.59660859159121415</v>
      </c>
      <c r="D44" s="4">
        <f>'SCH M'!G15</f>
        <v>6.729521878073183E-2</v>
      </c>
      <c r="E44" s="4">
        <f>'SCH M'!H15</f>
        <v>0.25502272142914867</v>
      </c>
      <c r="F44" s="4">
        <f>'SCH M'!I15</f>
        <v>8.1073468198905402E-2</v>
      </c>
      <c r="G44" s="4">
        <f>'SCH M'!J15</f>
        <v>0</v>
      </c>
      <c r="H44" s="92">
        <f t="shared" si="2"/>
        <v>1</v>
      </c>
      <c r="J44" s="97"/>
    </row>
    <row r="45" spans="1:10" s="96" customFormat="1" ht="15" customHeight="1">
      <c r="A45" s="3" t="s">
        <v>81</v>
      </c>
      <c r="B45" s="3" t="s">
        <v>82</v>
      </c>
      <c r="C45" s="4">
        <f>+'SCH M'!F$59</f>
        <v>0.3365469816737417</v>
      </c>
      <c r="D45" s="4">
        <f>+'SCH M'!G$59</f>
        <v>0.28901160945496041</v>
      </c>
      <c r="E45" s="4">
        <f>+'SCH M'!H$59</f>
        <v>0.43131209335701653</v>
      </c>
      <c r="F45" s="4">
        <f>+'SCH M'!I$59</f>
        <v>9.8918746908725329E-3</v>
      </c>
      <c r="G45" s="4">
        <f>+'SCH M'!J$59</f>
        <v>-6.676255917659063E-2</v>
      </c>
      <c r="H45" s="92">
        <f t="shared" si="2"/>
        <v>1</v>
      </c>
      <c r="J45" s="98"/>
    </row>
    <row r="46" spans="1:10" s="96" customFormat="1" ht="15" customHeight="1">
      <c r="A46" s="3" t="s">
        <v>83</v>
      </c>
      <c r="B46" s="3" t="s">
        <v>84</v>
      </c>
      <c r="C46" s="4">
        <f>'SCH M'!F54</f>
        <v>0.44726448202864683</v>
      </c>
      <c r="D46" s="4">
        <f>'SCH M'!G54</f>
        <v>0.26769933588391837</v>
      </c>
      <c r="E46" s="4">
        <f>'SCH M'!H54</f>
        <v>0.27741768892117574</v>
      </c>
      <c r="F46" s="4">
        <f>'SCH M'!I54</f>
        <v>7.6184931662590452E-3</v>
      </c>
      <c r="G46" s="4">
        <f>'SCH M'!J54</f>
        <v>0</v>
      </c>
      <c r="H46" s="4">
        <v>0</v>
      </c>
      <c r="J46" s="98"/>
    </row>
    <row r="47" spans="1:10" s="96" customFormat="1" ht="15" customHeight="1">
      <c r="A47" s="3" t="s">
        <v>85</v>
      </c>
      <c r="B47" s="3" t="s">
        <v>86</v>
      </c>
      <c r="C47" s="4">
        <f>'SCH M'!F55</f>
        <v>0.99869220583653195</v>
      </c>
      <c r="D47" s="4">
        <f>'SCH M'!G55</f>
        <v>2.1817096873209032E-4</v>
      </c>
      <c r="E47" s="4">
        <f>'SCH M'!H55</f>
        <v>8.2678316812043672E-4</v>
      </c>
      <c r="F47" s="4">
        <f>'SCH M'!I55</f>
        <v>2.628400266155306E-4</v>
      </c>
      <c r="G47" s="4">
        <f>'SCH M'!J55</f>
        <v>0</v>
      </c>
      <c r="H47" s="92">
        <f t="shared" si="2"/>
        <v>1</v>
      </c>
      <c r="J47" s="98"/>
    </row>
    <row r="48" spans="1:10" s="96" customFormat="1" ht="15" customHeight="1">
      <c r="A48" s="3" t="s">
        <v>87</v>
      </c>
      <c r="B48" s="3" t="s">
        <v>88</v>
      </c>
      <c r="C48" s="4">
        <f>'SCH M'!F57</f>
        <v>0.52837781658687477</v>
      </c>
      <c r="D48" s="4">
        <f>'SCH M'!G57</f>
        <v>0.17977179800432616</v>
      </c>
      <c r="E48" s="4">
        <f>'SCH M'!H57</f>
        <v>0.2882119299175574</v>
      </c>
      <c r="F48" s="4">
        <f>'SCH M'!I57</f>
        <v>4.9329889790746387E-2</v>
      </c>
      <c r="G48" s="4">
        <f>'SCH M'!J57</f>
        <v>-4.5691434299504646E-2</v>
      </c>
      <c r="H48" s="92">
        <f t="shared" si="2"/>
        <v>1</v>
      </c>
      <c r="J48" s="98"/>
    </row>
    <row r="49" spans="1:10" s="96" customFormat="1" ht="15" customHeight="1">
      <c r="A49" s="3" t="s">
        <v>89</v>
      </c>
      <c r="B49" s="3" t="s">
        <v>90</v>
      </c>
      <c r="C49" s="4">
        <f>'SCH M'!F56</f>
        <v>0.45545450506425705</v>
      </c>
      <c r="D49" s="4">
        <f>'SCH M'!G56</f>
        <v>0.26776461274926711</v>
      </c>
      <c r="E49" s="4">
        <f>'SCH M'!H56</f>
        <v>0.27672669407744349</v>
      </c>
      <c r="F49" s="4">
        <f>'SCH M'!I56</f>
        <v>5.4188109032299665E-5</v>
      </c>
      <c r="G49" s="4">
        <f>'SCH M'!J56</f>
        <v>0</v>
      </c>
      <c r="H49" s="92">
        <f t="shared" si="2"/>
        <v>1</v>
      </c>
      <c r="J49" s="98"/>
    </row>
    <row r="50" spans="1:10" s="96" customFormat="1" ht="15" customHeight="1">
      <c r="A50" s="3" t="s">
        <v>91</v>
      </c>
      <c r="B50" s="3" t="s">
        <v>92</v>
      </c>
      <c r="C50" s="4">
        <f>'SCH M'!F58</f>
        <v>0.42820155894939793</v>
      </c>
      <c r="D50" s="4">
        <f>'SCH M'!G58</f>
        <v>9.4350514852185888E-2</v>
      </c>
      <c r="E50" s="4">
        <f>'SCH M'!H58</f>
        <v>0.36188547204507271</v>
      </c>
      <c r="F50" s="4">
        <f>'SCH M'!I58</f>
        <v>0.11556245415334343</v>
      </c>
      <c r="G50" s="4">
        <f>'SCH M'!J58</f>
        <v>0</v>
      </c>
      <c r="H50" s="92">
        <f t="shared" si="2"/>
        <v>1</v>
      </c>
      <c r="J50" s="98"/>
    </row>
    <row r="51" spans="1:10" s="96" customFormat="1" ht="15" customHeight="1">
      <c r="A51" s="3" t="s">
        <v>93</v>
      </c>
      <c r="B51" s="3" t="s">
        <v>94</v>
      </c>
      <c r="C51" s="4">
        <f>+'SCH M'!F$138</f>
        <v>0.64306756783724373</v>
      </c>
      <c r="D51" s="4">
        <f>+'SCH M'!G$138</f>
        <v>0.19421073296696856</v>
      </c>
      <c r="E51" s="4">
        <f>+'SCH M'!H$138</f>
        <v>0.16539637582877925</v>
      </c>
      <c r="F51" s="4">
        <f>+'SCH M'!I$138</f>
        <v>-1.2942007840965868E-3</v>
      </c>
      <c r="G51" s="4">
        <f>+'SCH M'!J$138</f>
        <v>-1.3804758488946609E-3</v>
      </c>
      <c r="H51" s="92">
        <f t="shared" si="2"/>
        <v>1</v>
      </c>
      <c r="J51" s="98"/>
    </row>
    <row r="52" spans="1:10" s="96" customFormat="1" ht="15" customHeight="1">
      <c r="A52" s="3" t="s">
        <v>95</v>
      </c>
      <c r="B52" s="3" t="s">
        <v>96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92">
        <f t="shared" si="2"/>
        <v>1</v>
      </c>
      <c r="J52" s="98"/>
    </row>
    <row r="53" spans="1:10" s="96" customFormat="1" ht="15" customHeight="1">
      <c r="A53" s="3" t="s">
        <v>97</v>
      </c>
      <c r="B53" s="3" t="s">
        <v>98</v>
      </c>
      <c r="C53" s="4">
        <f>'SCH M'!F79</f>
        <v>0.98582900953823405</v>
      </c>
      <c r="D53" s="4">
        <f>'SCH M'!G79</f>
        <v>6.9689407161224962E-3</v>
      </c>
      <c r="E53" s="4">
        <f>'SCH M'!H79</f>
        <v>7.2020497456436053E-3</v>
      </c>
      <c r="F53" s="4">
        <f>'SCH M'!I79</f>
        <v>0</v>
      </c>
      <c r="G53" s="4">
        <f>'SCH M'!J79</f>
        <v>0</v>
      </c>
      <c r="H53" s="92">
        <f t="shared" si="2"/>
        <v>1</v>
      </c>
      <c r="J53" s="98"/>
    </row>
    <row r="54" spans="1:10" s="96" customFormat="1" ht="15" customHeight="1">
      <c r="A54" s="3" t="s">
        <v>99</v>
      </c>
      <c r="B54" s="3" t="s">
        <v>100</v>
      </c>
      <c r="C54" s="4" t="str">
        <f>'SCH M'!F78</f>
        <v xml:space="preserve"> </v>
      </c>
      <c r="D54" s="4" t="str">
        <f>'SCH M'!G78</f>
        <v xml:space="preserve"> </v>
      </c>
      <c r="E54" s="4" t="str">
        <f>'SCH M'!H78</f>
        <v xml:space="preserve"> </v>
      </c>
      <c r="F54" s="4" t="str">
        <f>'SCH M'!I78</f>
        <v xml:space="preserve"> </v>
      </c>
      <c r="G54" s="4" t="str">
        <f>'SCH M'!J78</f>
        <v xml:space="preserve"> </v>
      </c>
      <c r="H54" s="92">
        <f t="shared" si="2"/>
        <v>0</v>
      </c>
      <c r="J54" s="98"/>
    </row>
    <row r="55" spans="1:10" s="96" customFormat="1" ht="15" customHeight="1">
      <c r="A55" s="3" t="s">
        <v>101</v>
      </c>
      <c r="B55" s="3" t="s">
        <v>102</v>
      </c>
      <c r="C55" s="4">
        <f>'SCH M'!F131</f>
        <v>0.6423471344500552</v>
      </c>
      <c r="D55" s="4">
        <f>'SCH M'!G131</f>
        <v>0.19460428726509821</v>
      </c>
      <c r="E55" s="4">
        <f>'SCH M'!H131</f>
        <v>0.16572887668887748</v>
      </c>
      <c r="F55" s="4">
        <f>'SCH M'!I131</f>
        <v>-1.2969210009621764E-3</v>
      </c>
      <c r="G55" s="4">
        <f>'SCH M'!J131</f>
        <v>-1.3833774030683618E-3</v>
      </c>
      <c r="H55" s="92">
        <f t="shared" si="2"/>
        <v>1</v>
      </c>
      <c r="J55" s="98"/>
    </row>
    <row r="56" spans="1:10" s="96" customFormat="1" ht="15" customHeight="1">
      <c r="A56" s="3" t="s">
        <v>103</v>
      </c>
      <c r="B56" s="3" t="s">
        <v>104</v>
      </c>
      <c r="C56" s="4">
        <f>'SCH M'!F122</f>
        <v>0.45551317560409821</v>
      </c>
      <c r="D56" s="4">
        <f>'SCH M'!G122</f>
        <v>0.26776508037053171</v>
      </c>
      <c r="E56" s="4">
        <f>'SCH M'!H122</f>
        <v>0.27672174402536998</v>
      </c>
      <c r="F56" s="4">
        <f>'SCH M'!I122</f>
        <v>0</v>
      </c>
      <c r="G56" s="4">
        <f>'SCH M'!J122</f>
        <v>0</v>
      </c>
      <c r="H56" s="92">
        <f t="shared" si="2"/>
        <v>1</v>
      </c>
      <c r="J56" s="98"/>
    </row>
    <row r="57" spans="1:10" s="96" customFormat="1" ht="15" customHeight="1">
      <c r="A57" s="3" t="s">
        <v>105</v>
      </c>
      <c r="B57" s="3" t="s">
        <v>106</v>
      </c>
      <c r="C57" s="4">
        <f>'SCH M'!F124</f>
        <v>1.0077547721920956</v>
      </c>
      <c r="D57" s="4">
        <f>'SCH M'!G124</f>
        <v>-7.7547721920955704E-3</v>
      </c>
      <c r="E57" s="4">
        <f>'SCH M'!H124</f>
        <v>0</v>
      </c>
      <c r="F57" s="4">
        <f>'SCH M'!I124</f>
        <v>0</v>
      </c>
      <c r="G57" s="4">
        <f>'SCH M'!J124</f>
        <v>0</v>
      </c>
      <c r="H57" s="92">
        <f t="shared" si="2"/>
        <v>1</v>
      </c>
      <c r="J57" s="98"/>
    </row>
    <row r="58" spans="1:10" s="96" customFormat="1" ht="15" customHeight="1">
      <c r="A58" s="3" t="s">
        <v>107</v>
      </c>
      <c r="B58" s="3" t="s">
        <v>108</v>
      </c>
      <c r="C58" s="4">
        <f>'SCH M'!F130</f>
        <v>1.1656666609240482</v>
      </c>
      <c r="D58" s="4">
        <f>'SCH M'!G130</f>
        <v>-2.6667881759860946E-2</v>
      </c>
      <c r="E58" s="4">
        <f>'SCH M'!H130</f>
        <v>-0.11241902687419612</v>
      </c>
      <c r="F58" s="4">
        <f>'SCH M'!I130</f>
        <v>-2.7114398530696568E-2</v>
      </c>
      <c r="G58" s="4">
        <f>'SCH M'!J130</f>
        <v>5.3464624070529408E-4</v>
      </c>
      <c r="H58" s="92">
        <f t="shared" si="2"/>
        <v>1</v>
      </c>
      <c r="J58" s="98"/>
    </row>
    <row r="59" spans="1:10" s="96" customFormat="1" ht="15" customHeight="1">
      <c r="A59" s="3" t="s">
        <v>109</v>
      </c>
      <c r="B59" s="3" t="s">
        <v>110</v>
      </c>
      <c r="C59" s="4">
        <f>'SCH M'!F126</f>
        <v>0.45551317560409815</v>
      </c>
      <c r="D59" s="4">
        <f>'SCH M'!G126</f>
        <v>0.26776508037053176</v>
      </c>
      <c r="E59" s="4">
        <f>'SCH M'!H126</f>
        <v>0.27672174402536998</v>
      </c>
      <c r="F59" s="4">
        <f>'SCH M'!I126</f>
        <v>0</v>
      </c>
      <c r="G59" s="4">
        <f>'SCH M'!J126</f>
        <v>0</v>
      </c>
      <c r="H59" s="92">
        <f t="shared" si="2"/>
        <v>1</v>
      </c>
      <c r="J59" s="98"/>
    </row>
    <row r="60" spans="1:10" s="96" customFormat="1" ht="15" customHeight="1">
      <c r="A60" s="3" t="s">
        <v>111</v>
      </c>
      <c r="B60" s="3" t="s">
        <v>112</v>
      </c>
      <c r="C60" s="4">
        <f>'SCH M'!F127</f>
        <v>0.23622690253063539</v>
      </c>
      <c r="D60" s="4">
        <f>'SCH M'!G127</f>
        <v>-1.2737450715287089</v>
      </c>
      <c r="E60" s="4">
        <f>'SCH M'!H127</f>
        <v>0.99851696095049725</v>
      </c>
      <c r="F60" s="4">
        <f>'SCH M'!I127</f>
        <v>1.0390012080475766</v>
      </c>
      <c r="G60" s="4">
        <f>'SCH M'!J127</f>
        <v>0</v>
      </c>
      <c r="H60" s="92">
        <f t="shared" si="2"/>
        <v>1</v>
      </c>
      <c r="J60" s="98"/>
    </row>
    <row r="61" spans="1:10" s="96" customFormat="1" ht="15" customHeight="1">
      <c r="A61" s="3" t="s">
        <v>113</v>
      </c>
      <c r="B61" s="3" t="s">
        <v>6</v>
      </c>
      <c r="C61" s="4">
        <f>'FORM 1'!C14</f>
        <v>0</v>
      </c>
      <c r="D61" s="4">
        <f>'FORM 1'!D14</f>
        <v>1</v>
      </c>
      <c r="E61" s="4">
        <f>'FORM 1'!E14</f>
        <v>0</v>
      </c>
      <c r="F61" s="4">
        <f>'FORM 1'!F14</f>
        <v>0</v>
      </c>
      <c r="G61" s="4">
        <f>'FORM 1'!G14</f>
        <v>0</v>
      </c>
      <c r="H61" s="92">
        <f>ROUND(SUM(C61:G61),4)</f>
        <v>1</v>
      </c>
      <c r="J61" s="98"/>
    </row>
    <row r="62" spans="1:10" s="96" customFormat="1" ht="15" customHeight="1">
      <c r="A62" s="3" t="s">
        <v>114</v>
      </c>
      <c r="B62" s="3" t="s">
        <v>115</v>
      </c>
      <c r="C62" s="4">
        <f>+'TAX DEPR'!C$24</f>
        <v>0.57320430018569057</v>
      </c>
      <c r="D62" s="4">
        <f>+'TAX DEPR'!D$24</f>
        <v>0.21667814267562913</v>
      </c>
      <c r="E62" s="4">
        <f>+'TAX DEPR'!E$24</f>
        <v>0.19959525974412431</v>
      </c>
      <c r="F62" s="4">
        <f>+'TAX DEPR'!F$24</f>
        <v>1.0522297394556105E-2</v>
      </c>
      <c r="G62" s="4">
        <f>+'TAX DEPR'!G$24</f>
        <v>0</v>
      </c>
      <c r="H62" s="92">
        <f>ROUND(SUM(C62:G62),4)</f>
        <v>1</v>
      </c>
      <c r="I62" s="99"/>
      <c r="J62" s="98"/>
    </row>
    <row r="63" spans="1:10" s="96" customFormat="1" ht="15" customHeight="1">
      <c r="A63" s="3" t="s">
        <v>116</v>
      </c>
      <c r="B63" s="3" t="s">
        <v>117</v>
      </c>
      <c r="C63" s="4">
        <f>'FORM 1'!C18</f>
        <v>0</v>
      </c>
      <c r="D63" s="4">
        <f>'FORM 1'!D18</f>
        <v>0.49177513279152762</v>
      </c>
      <c r="E63" s="4">
        <f>'FORM 1'!E18</f>
        <v>0.50822486720847238</v>
      </c>
      <c r="F63" s="4">
        <f>'FORM 1'!F18</f>
        <v>0</v>
      </c>
      <c r="G63" s="4">
        <f>'FORM 1'!G18</f>
        <v>0</v>
      </c>
      <c r="H63" s="92">
        <f>ROUND(SUM(C63:G63),4)</f>
        <v>1</v>
      </c>
      <c r="J63" s="98"/>
    </row>
    <row r="64" spans="1:10" s="96" customFormat="1" ht="15" customHeight="1">
      <c r="A64" s="3" t="s">
        <v>118</v>
      </c>
      <c r="B64" s="3" t="s">
        <v>119</v>
      </c>
      <c r="C64" s="4">
        <f>'FORM 1'!C17</f>
        <v>0.62978967201258707</v>
      </c>
      <c r="D64" s="4">
        <f>'FORM 1'!D17</f>
        <v>0.37021032798741293</v>
      </c>
      <c r="E64" s="4">
        <f>'FORM 1'!E17</f>
        <v>0</v>
      </c>
      <c r="F64" s="4">
        <f>'FORM 1'!F17</f>
        <v>0</v>
      </c>
      <c r="G64" s="4">
        <f>'FORM 1'!G17</f>
        <v>0</v>
      </c>
      <c r="H64" s="92">
        <f t="shared" ref="H64:H73" si="3">ROUND(SUM(C64:G64),4)</f>
        <v>1</v>
      </c>
      <c r="J64" s="98"/>
    </row>
    <row r="65" spans="1:10" s="96" customFormat="1" ht="15" customHeight="1">
      <c r="A65" s="3" t="s">
        <v>120</v>
      </c>
      <c r="B65" s="3" t="s">
        <v>121</v>
      </c>
      <c r="C65" s="4">
        <f>'FORM 1'!C16</f>
        <v>0.45551317560409821</v>
      </c>
      <c r="D65" s="4">
        <f>'FORM 1'!D16</f>
        <v>0.26776508037053176</v>
      </c>
      <c r="E65" s="4">
        <f>'FORM 1'!E16</f>
        <v>0.27672174402536998</v>
      </c>
      <c r="F65" s="4">
        <f>'FORM 1'!F16</f>
        <v>0</v>
      </c>
      <c r="G65" s="4">
        <f>'FORM 1'!G16</f>
        <v>0</v>
      </c>
      <c r="H65" s="92">
        <f t="shared" si="3"/>
        <v>1</v>
      </c>
      <c r="J65" s="98"/>
    </row>
    <row r="66" spans="1:10" s="93" customFormat="1" ht="15" customHeight="1">
      <c r="A66" s="5" t="s">
        <v>122</v>
      </c>
      <c r="B66" s="5" t="s">
        <v>123</v>
      </c>
      <c r="C66" s="4">
        <v>0.71331128719044301</v>
      </c>
      <c r="D66" s="4">
        <v>0.1225974814459687</v>
      </c>
      <c r="E66" s="4">
        <v>0.13062747877674144</v>
      </c>
      <c r="F66" s="4">
        <v>2.733841051829319E-2</v>
      </c>
      <c r="G66" s="4">
        <v>6.1253420685536512E-3</v>
      </c>
      <c r="H66" s="92">
        <f t="shared" si="3"/>
        <v>1</v>
      </c>
      <c r="J66" s="94"/>
    </row>
    <row r="67" spans="1:10" s="96" customFormat="1" ht="15" customHeight="1">
      <c r="A67" s="5" t="s">
        <v>124</v>
      </c>
      <c r="B67" s="5" t="s">
        <v>125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92">
        <f t="shared" si="3"/>
        <v>0</v>
      </c>
      <c r="J67" s="97"/>
    </row>
    <row r="68" spans="1:10" s="96" customFormat="1" ht="15" customHeight="1">
      <c r="A68" s="5" t="s">
        <v>126</v>
      </c>
      <c r="B68" s="5" t="s">
        <v>127</v>
      </c>
      <c r="C68" s="4">
        <v>2.3239079655594632</v>
      </c>
      <c r="D68" s="4">
        <v>-0.38741006903215763</v>
      </c>
      <c r="E68" s="4">
        <v>-0.96102890260385021</v>
      </c>
      <c r="F68" s="4">
        <v>2.6720683221298485E-2</v>
      </c>
      <c r="G68" s="4">
        <v>-2.1896771447528305E-3</v>
      </c>
      <c r="H68" s="92">
        <f t="shared" si="3"/>
        <v>1</v>
      </c>
      <c r="J68" s="97"/>
    </row>
    <row r="69" spans="1:10" s="96" customFormat="1" ht="15" customHeight="1">
      <c r="A69" s="5" t="s">
        <v>128</v>
      </c>
      <c r="B69" s="5" t="s">
        <v>129</v>
      </c>
      <c r="C69" s="4">
        <v>-0.37225771033486332</v>
      </c>
      <c r="D69" s="4">
        <v>0.40155846790005745</v>
      </c>
      <c r="E69" s="4">
        <v>0.9961261324502193</v>
      </c>
      <c r="F69" s="4">
        <v>-2.7696535204656071E-2</v>
      </c>
      <c r="G69" s="4">
        <v>2.2696451892419262E-3</v>
      </c>
      <c r="H69" s="92">
        <f t="shared" si="3"/>
        <v>1</v>
      </c>
      <c r="J69" s="97"/>
    </row>
    <row r="70" spans="1:10" s="96" customFormat="1" ht="15" customHeight="1">
      <c r="A70" s="5" t="s">
        <v>130</v>
      </c>
      <c r="B70" s="5" t="s">
        <v>131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92">
        <f t="shared" si="3"/>
        <v>0</v>
      </c>
      <c r="J70" s="97"/>
    </row>
    <row r="71" spans="1:10" s="96" customFormat="1" ht="15" customHeight="1">
      <c r="A71" s="5" t="s">
        <v>132</v>
      </c>
      <c r="B71" s="5" t="s">
        <v>133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92">
        <f t="shared" si="3"/>
        <v>0</v>
      </c>
      <c r="J71" s="97"/>
    </row>
    <row r="72" spans="1:10" s="96" customFormat="1" ht="15" customHeight="1">
      <c r="A72" s="5" t="s">
        <v>134</v>
      </c>
      <c r="B72" s="5" t="s">
        <v>135</v>
      </c>
      <c r="C72" s="4">
        <v>0.63692371367744549</v>
      </c>
      <c r="D72" s="4">
        <v>0.17219763969647842</v>
      </c>
      <c r="E72" s="4">
        <v>0.16785875961910582</v>
      </c>
      <c r="F72" s="4">
        <v>1.9361202230771476E-2</v>
      </c>
      <c r="G72" s="4">
        <v>3.658684776198756E-3</v>
      </c>
      <c r="H72" s="92">
        <f t="shared" si="3"/>
        <v>1</v>
      </c>
      <c r="J72" s="97"/>
    </row>
    <row r="73" spans="1:10" s="96" customFormat="1" ht="15" customHeight="1">
      <c r="A73" s="5" t="s">
        <v>136</v>
      </c>
      <c r="B73" s="5" t="s">
        <v>137</v>
      </c>
      <c r="C73" s="4">
        <v>-0.3722577103348636</v>
      </c>
      <c r="D73" s="4">
        <v>0.40155846790005778</v>
      </c>
      <c r="E73" s="4">
        <v>0.99612613245021997</v>
      </c>
      <c r="F73" s="4">
        <v>-2.7696535204656092E-2</v>
      </c>
      <c r="G73" s="4">
        <v>2.2696451892419275E-3</v>
      </c>
      <c r="H73" s="92">
        <f t="shared" si="3"/>
        <v>1</v>
      </c>
      <c r="J73" s="98"/>
    </row>
    <row r="74" spans="1:10" ht="15" customHeight="1">
      <c r="I74" s="100"/>
    </row>
    <row r="75" spans="1:10" ht="15" customHeight="1">
      <c r="D75" s="6"/>
      <c r="E75" s="6"/>
      <c r="H75" s="6"/>
      <c r="I75" s="7"/>
    </row>
    <row r="76" spans="1:10" ht="15" customHeight="1"/>
  </sheetData>
  <printOptions horizontalCentered="1"/>
  <pageMargins left="0.12" right="0.16" top="0.25" bottom="0.71" header="0.24" footer="0.34"/>
  <pageSetup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A402-59C1-40EB-85C4-2EEBD7A15A62}">
  <dimension ref="A1:K99"/>
  <sheetViews>
    <sheetView view="pageBreakPreview" zoomScale="70" zoomScaleNormal="85" zoomScaleSheetLayoutView="70" workbookViewId="0"/>
  </sheetViews>
  <sheetFormatPr defaultColWidth="9.140625" defaultRowHeight="12.75"/>
  <cols>
    <col min="1" max="1" width="11.28515625" style="8" bestFit="1" customWidth="1"/>
    <col min="2" max="2" width="15" style="8" customWidth="1"/>
    <col min="3" max="3" width="10.85546875" style="8" customWidth="1"/>
    <col min="4" max="4" width="9.140625" style="8"/>
    <col min="5" max="5" width="14.28515625" style="8" bestFit="1" customWidth="1"/>
    <col min="6" max="7" width="15.7109375" style="8" customWidth="1"/>
    <col min="8" max="8" width="15.140625" style="8" bestFit="1" customWidth="1"/>
    <col min="9" max="10" width="15.7109375" style="8" customWidth="1"/>
    <col min="11" max="11" width="24.7109375" style="8" bestFit="1" customWidth="1"/>
    <col min="12" max="16384" width="9.140625" style="8"/>
  </cols>
  <sheetData>
    <row r="1" spans="1:11">
      <c r="B1" s="75" t="str">
        <f>+'TOTAL FUNCFAC'!A1</f>
        <v>PacifiCorp</v>
      </c>
      <c r="C1" s="75"/>
      <c r="D1" s="75"/>
      <c r="E1" s="75"/>
      <c r="F1" s="75"/>
      <c r="G1" s="75"/>
      <c r="H1" s="75"/>
      <c r="I1" s="75"/>
      <c r="J1" s="75"/>
    </row>
    <row r="2" spans="1:11">
      <c r="B2" s="75" t="str">
        <f>+'TOTAL FUNCFAC'!A2</f>
        <v>12 Months Ended December 2022</v>
      </c>
      <c r="C2" s="75"/>
      <c r="D2" s="75"/>
      <c r="E2" s="75"/>
      <c r="F2" s="75"/>
      <c r="G2" s="75"/>
      <c r="H2" s="75"/>
      <c r="I2" s="75"/>
      <c r="J2" s="75"/>
    </row>
    <row r="3" spans="1:11">
      <c r="B3" s="75" t="s">
        <v>294</v>
      </c>
      <c r="C3" s="75"/>
      <c r="D3" s="75"/>
      <c r="E3" s="75"/>
      <c r="F3" s="75"/>
      <c r="G3" s="75"/>
      <c r="H3" s="75"/>
      <c r="I3" s="75"/>
      <c r="J3" s="75"/>
    </row>
    <row r="5" spans="1:11">
      <c r="B5" s="76" t="s">
        <v>295</v>
      </c>
      <c r="C5" s="76" t="s">
        <v>157</v>
      </c>
      <c r="D5" s="76" t="s">
        <v>3</v>
      </c>
      <c r="E5" s="76" t="s">
        <v>10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1">
      <c r="A6" s="8" t="str">
        <f t="shared" ref="A6:A29" si="0">"RA"&amp;"-"&amp;C6</f>
        <v>RA-SE</v>
      </c>
      <c r="B6" s="77" t="s">
        <v>296</v>
      </c>
      <c r="C6" s="43" t="s">
        <v>166</v>
      </c>
      <c r="D6" s="43" t="s">
        <v>72</v>
      </c>
      <c r="E6" s="78">
        <v>189977.69020461536</v>
      </c>
      <c r="F6" s="79">
        <f t="shared" ref="F6:F29" si="1">VLOOKUP($D6,$D$72:$J$84,3,FALSE)*$E6</f>
        <v>189977.69020461536</v>
      </c>
      <c r="G6" s="79">
        <f t="shared" ref="G6:G29" si="2">VLOOKUP($D6,$D$72:$J$84,4,FALSE)*$E6</f>
        <v>0</v>
      </c>
      <c r="H6" s="79">
        <f t="shared" ref="H6:H29" si="3">VLOOKUP($D6,$D$72:$J$84,5,FALSE)*$E6</f>
        <v>0</v>
      </c>
      <c r="I6" s="79">
        <f t="shared" ref="I6:I29" si="4">VLOOKUP($D6,$D$72:$J$84,6,FALSE)*$E6</f>
        <v>0</v>
      </c>
      <c r="J6" s="79">
        <f t="shared" ref="J6:J29" si="5">VLOOKUP($D6,$D$72:$J$84,7,FALSE)*$E6</f>
        <v>0</v>
      </c>
      <c r="K6" s="80"/>
    </row>
    <row r="7" spans="1:11">
      <c r="A7" s="8" t="str">
        <f t="shared" si="0"/>
        <v>RA-SG</v>
      </c>
      <c r="B7" s="77" t="s">
        <v>296</v>
      </c>
      <c r="C7" s="43" t="s">
        <v>202</v>
      </c>
      <c r="D7" s="43" t="s">
        <v>72</v>
      </c>
      <c r="E7" s="78">
        <v>6096.2385561538458</v>
      </c>
      <c r="F7" s="79">
        <f t="shared" si="1"/>
        <v>6096.2385561538458</v>
      </c>
      <c r="G7" s="79">
        <f t="shared" si="2"/>
        <v>0</v>
      </c>
      <c r="H7" s="79">
        <f t="shared" si="3"/>
        <v>0</v>
      </c>
      <c r="I7" s="79">
        <f t="shared" si="4"/>
        <v>0</v>
      </c>
      <c r="J7" s="79">
        <f t="shared" si="5"/>
        <v>0</v>
      </c>
      <c r="K7" s="80"/>
    </row>
    <row r="8" spans="1:11">
      <c r="A8" s="8" t="str">
        <f t="shared" si="0"/>
        <v>RA-SGCT</v>
      </c>
      <c r="B8" s="77" t="s">
        <v>296</v>
      </c>
      <c r="C8" s="43" t="s">
        <v>261</v>
      </c>
      <c r="D8" s="43" t="s">
        <v>72</v>
      </c>
      <c r="E8" s="78">
        <v>0</v>
      </c>
      <c r="F8" s="79">
        <f t="shared" si="1"/>
        <v>0</v>
      </c>
      <c r="G8" s="79">
        <f t="shared" si="2"/>
        <v>0</v>
      </c>
      <c r="H8" s="79">
        <f t="shared" si="3"/>
        <v>0</v>
      </c>
      <c r="I8" s="79">
        <f t="shared" si="4"/>
        <v>0</v>
      </c>
      <c r="J8" s="79">
        <f t="shared" si="5"/>
        <v>0</v>
      </c>
      <c r="K8" s="80"/>
    </row>
    <row r="9" spans="1:11">
      <c r="A9" s="8" t="str">
        <f t="shared" si="0"/>
        <v>RA-SG-P</v>
      </c>
      <c r="B9" s="77" t="s">
        <v>296</v>
      </c>
      <c r="C9" s="43" t="s">
        <v>236</v>
      </c>
      <c r="D9" s="43" t="s">
        <v>72</v>
      </c>
      <c r="E9" s="78">
        <v>0</v>
      </c>
      <c r="F9" s="79">
        <f t="shared" si="1"/>
        <v>0</v>
      </c>
      <c r="G9" s="79">
        <f t="shared" si="2"/>
        <v>0</v>
      </c>
      <c r="H9" s="79">
        <f t="shared" si="3"/>
        <v>0</v>
      </c>
      <c r="I9" s="79">
        <f t="shared" si="4"/>
        <v>0</v>
      </c>
      <c r="J9" s="79">
        <f t="shared" si="5"/>
        <v>0</v>
      </c>
      <c r="K9" s="80"/>
    </row>
    <row r="10" spans="1:11">
      <c r="A10" s="8" t="str">
        <f t="shared" si="0"/>
        <v>RA-SO</v>
      </c>
      <c r="B10" s="77" t="s">
        <v>296</v>
      </c>
      <c r="C10" s="43" t="s">
        <v>203</v>
      </c>
      <c r="D10" s="43" t="s">
        <v>9</v>
      </c>
      <c r="E10" s="78">
        <v>3984.1818323076918</v>
      </c>
      <c r="F10" s="79">
        <f t="shared" si="1"/>
        <v>0</v>
      </c>
      <c r="G10" s="79">
        <f t="shared" si="2"/>
        <v>0</v>
      </c>
      <c r="H10" s="79">
        <f t="shared" si="3"/>
        <v>0</v>
      </c>
      <c r="I10" s="79">
        <f t="shared" si="4"/>
        <v>0</v>
      </c>
      <c r="J10" s="79">
        <f t="shared" si="5"/>
        <v>3984.1818323076918</v>
      </c>
      <c r="K10" s="80"/>
    </row>
    <row r="11" spans="1:11">
      <c r="A11" s="8" t="str">
        <f t="shared" si="0"/>
        <v>RA-SO</v>
      </c>
      <c r="B11" s="77" t="s">
        <v>296</v>
      </c>
      <c r="C11" s="43" t="s">
        <v>203</v>
      </c>
      <c r="D11" s="43" t="s">
        <v>54</v>
      </c>
      <c r="E11" s="78">
        <v>275382.44328307715</v>
      </c>
      <c r="F11" s="79">
        <f t="shared" si="1"/>
        <v>117963.09921008012</v>
      </c>
      <c r="G11" s="79">
        <f t="shared" si="2"/>
        <v>26261.266300883632</v>
      </c>
      <c r="H11" s="79">
        <f t="shared" si="3"/>
        <v>99519.991487783162</v>
      </c>
      <c r="I11" s="79">
        <f t="shared" si="4"/>
        <v>31638.086284330253</v>
      </c>
      <c r="J11" s="79">
        <f t="shared" si="5"/>
        <v>0</v>
      </c>
      <c r="K11" s="80"/>
    </row>
    <row r="12" spans="1:11">
      <c r="A12" s="8" t="str">
        <f t="shared" si="0"/>
        <v>RA-SO</v>
      </c>
      <c r="B12" s="77" t="s">
        <v>296</v>
      </c>
      <c r="C12" s="43" t="s">
        <v>203</v>
      </c>
      <c r="D12" s="43" t="s">
        <v>28</v>
      </c>
      <c r="E12" s="78">
        <v>41624.996114615387</v>
      </c>
      <c r="F12" s="79">
        <f t="shared" si="1"/>
        <v>12487.498834384616</v>
      </c>
      <c r="G12" s="79">
        <f t="shared" si="2"/>
        <v>4162.4996114615387</v>
      </c>
      <c r="H12" s="79">
        <f t="shared" si="3"/>
        <v>24974.997668769232</v>
      </c>
      <c r="I12" s="79">
        <f t="shared" si="4"/>
        <v>0</v>
      </c>
      <c r="J12" s="79">
        <f t="shared" si="5"/>
        <v>0</v>
      </c>
      <c r="K12" s="80"/>
    </row>
    <row r="13" spans="1:11">
      <c r="A13" s="8" t="str">
        <f t="shared" si="0"/>
        <v>RA-SO</v>
      </c>
      <c r="B13" s="77" t="s">
        <v>296</v>
      </c>
      <c r="C13" s="43" t="s">
        <v>203</v>
      </c>
      <c r="D13" s="43" t="s">
        <v>72</v>
      </c>
      <c r="E13" s="78">
        <v>90.494319230769193</v>
      </c>
      <c r="F13" s="79">
        <f t="shared" si="1"/>
        <v>90.494319230769193</v>
      </c>
      <c r="G13" s="79">
        <f t="shared" si="2"/>
        <v>0</v>
      </c>
      <c r="H13" s="79">
        <f t="shared" si="3"/>
        <v>0</v>
      </c>
      <c r="I13" s="79">
        <f t="shared" si="4"/>
        <v>0</v>
      </c>
      <c r="J13" s="79">
        <f t="shared" si="5"/>
        <v>0</v>
      </c>
      <c r="K13" s="80"/>
    </row>
    <row r="14" spans="1:11">
      <c r="A14" s="8" t="str">
        <f t="shared" si="0"/>
        <v>RA-SO</v>
      </c>
      <c r="B14" s="77" t="s">
        <v>296</v>
      </c>
      <c r="C14" s="43" t="s">
        <v>203</v>
      </c>
      <c r="D14" s="43" t="s">
        <v>116</v>
      </c>
      <c r="E14" s="78">
        <v>0</v>
      </c>
      <c r="F14" s="79">
        <f t="shared" si="1"/>
        <v>0</v>
      </c>
      <c r="G14" s="79">
        <f t="shared" si="2"/>
        <v>0</v>
      </c>
      <c r="H14" s="79">
        <f t="shared" si="3"/>
        <v>0</v>
      </c>
      <c r="I14" s="79">
        <f t="shared" si="4"/>
        <v>0</v>
      </c>
      <c r="J14" s="79">
        <f t="shared" si="5"/>
        <v>0</v>
      </c>
      <c r="K14" s="80"/>
    </row>
    <row r="15" spans="1:11">
      <c r="A15" s="8" t="str">
        <f>"RA"&amp;"-"&amp;C15</f>
        <v>RA-OTHER</v>
      </c>
      <c r="B15" s="77" t="s">
        <v>296</v>
      </c>
      <c r="C15" s="43" t="s">
        <v>201</v>
      </c>
      <c r="D15" s="43" t="s">
        <v>8</v>
      </c>
      <c r="E15" s="78">
        <v>356351.01768461557</v>
      </c>
      <c r="F15" s="79">
        <f t="shared" si="1"/>
        <v>0</v>
      </c>
      <c r="G15" s="79">
        <f t="shared" si="2"/>
        <v>0</v>
      </c>
      <c r="H15" s="79">
        <f t="shared" si="3"/>
        <v>0</v>
      </c>
      <c r="I15" s="79">
        <f t="shared" si="4"/>
        <v>356351.01768461557</v>
      </c>
      <c r="J15" s="79">
        <f t="shared" si="5"/>
        <v>0</v>
      </c>
      <c r="K15" s="80"/>
    </row>
    <row r="16" spans="1:11">
      <c r="A16" s="8" t="str">
        <f t="shared" ref="A16:A21" si="6">"RA"&amp;"-"&amp;C16</f>
        <v>RA-OTHER</v>
      </c>
      <c r="B16" s="77" t="s">
        <v>296</v>
      </c>
      <c r="C16" s="43" t="s">
        <v>201</v>
      </c>
      <c r="D16" s="43" t="s">
        <v>9</v>
      </c>
      <c r="E16" s="78">
        <v>5990.7506969230808</v>
      </c>
      <c r="F16" s="79">
        <f t="shared" si="1"/>
        <v>0</v>
      </c>
      <c r="G16" s="79">
        <f t="shared" si="2"/>
        <v>0</v>
      </c>
      <c r="H16" s="79">
        <f t="shared" si="3"/>
        <v>0</v>
      </c>
      <c r="I16" s="79">
        <f t="shared" si="4"/>
        <v>0</v>
      </c>
      <c r="J16" s="79">
        <f t="shared" si="5"/>
        <v>5990.7506969230808</v>
      </c>
      <c r="K16" s="80"/>
    </row>
    <row r="17" spans="1:11">
      <c r="A17" s="8" t="str">
        <f t="shared" si="6"/>
        <v>RA-OTHER</v>
      </c>
      <c r="B17" s="77" t="s">
        <v>296</v>
      </c>
      <c r="C17" s="43" t="s">
        <v>201</v>
      </c>
      <c r="D17" s="43" t="s">
        <v>54</v>
      </c>
      <c r="E17" s="78">
        <v>33242.725937692361</v>
      </c>
      <c r="F17" s="79">
        <f t="shared" si="1"/>
        <v>14239.887376445859</v>
      </c>
      <c r="G17" s="79">
        <f t="shared" si="2"/>
        <v>3170.1224958616604</v>
      </c>
      <c r="H17" s="79">
        <f t="shared" si="3"/>
        <v>12013.532028071577</v>
      </c>
      <c r="I17" s="79">
        <f t="shared" si="4"/>
        <v>3819.1840373132663</v>
      </c>
      <c r="J17" s="79">
        <f t="shared" si="5"/>
        <v>0</v>
      </c>
      <c r="K17" s="80"/>
    </row>
    <row r="18" spans="1:11">
      <c r="A18" s="8" t="str">
        <f t="shared" si="6"/>
        <v>RA-OTHER</v>
      </c>
      <c r="B18" s="77" t="s">
        <v>296</v>
      </c>
      <c r="C18" s="43" t="s">
        <v>201</v>
      </c>
      <c r="D18" s="43" t="s">
        <v>72</v>
      </c>
      <c r="E18" s="78">
        <v>245484.11934923066</v>
      </c>
      <c r="F18" s="79">
        <f t="shared" si="1"/>
        <v>245484.11934923066</v>
      </c>
      <c r="G18" s="79">
        <f t="shared" si="2"/>
        <v>0</v>
      </c>
      <c r="H18" s="79">
        <f t="shared" si="3"/>
        <v>0</v>
      </c>
      <c r="I18" s="79">
        <f t="shared" si="4"/>
        <v>0</v>
      </c>
      <c r="J18" s="79">
        <f t="shared" si="5"/>
        <v>0</v>
      </c>
      <c r="K18" s="80"/>
    </row>
    <row r="19" spans="1:11">
      <c r="A19" s="8" t="str">
        <f t="shared" si="6"/>
        <v>RA-OTHER</v>
      </c>
      <c r="B19" s="77" t="s">
        <v>296</v>
      </c>
      <c r="C19" s="43" t="s">
        <v>201</v>
      </c>
      <c r="D19" s="43" t="s">
        <v>7</v>
      </c>
      <c r="E19" s="78">
        <v>5077.8961323076846</v>
      </c>
      <c r="F19" s="79">
        <f t="shared" si="1"/>
        <v>0</v>
      </c>
      <c r="G19" s="79">
        <f t="shared" si="2"/>
        <v>0</v>
      </c>
      <c r="H19" s="79">
        <f t="shared" si="3"/>
        <v>5077.8961323076846</v>
      </c>
      <c r="I19" s="79">
        <f t="shared" si="4"/>
        <v>0</v>
      </c>
      <c r="J19" s="79">
        <f t="shared" si="5"/>
        <v>0</v>
      </c>
      <c r="K19" s="80"/>
    </row>
    <row r="20" spans="1:11">
      <c r="A20" s="8" t="str">
        <f t="shared" si="6"/>
        <v>RA-OTHER</v>
      </c>
      <c r="B20" s="77" t="s">
        <v>296</v>
      </c>
      <c r="C20" s="43" t="s">
        <v>201</v>
      </c>
      <c r="D20" s="43" t="s">
        <v>120</v>
      </c>
      <c r="E20" s="78">
        <v>11077.313817692298</v>
      </c>
      <c r="F20" s="79">
        <f t="shared" si="1"/>
        <v>5045.8623942601753</v>
      </c>
      <c r="G20" s="79">
        <f t="shared" si="2"/>
        <v>2966.1178246839804</v>
      </c>
      <c r="H20" s="79">
        <f t="shared" si="3"/>
        <v>3065.3335987481419</v>
      </c>
      <c r="I20" s="79">
        <f t="shared" si="4"/>
        <v>0</v>
      </c>
      <c r="J20" s="79">
        <f t="shared" si="5"/>
        <v>0</v>
      </c>
      <c r="K20" s="80"/>
    </row>
    <row r="21" spans="1:11">
      <c r="A21" s="8" t="str">
        <f t="shared" si="6"/>
        <v>RA-OTHER</v>
      </c>
      <c r="B21" s="77" t="s">
        <v>296</v>
      </c>
      <c r="C21" s="43" t="s">
        <v>201</v>
      </c>
      <c r="D21" s="43" t="s">
        <v>28</v>
      </c>
      <c r="E21" s="78">
        <v>0</v>
      </c>
      <c r="F21" s="79">
        <f t="shared" si="1"/>
        <v>0</v>
      </c>
      <c r="G21" s="79">
        <f t="shared" si="2"/>
        <v>0</v>
      </c>
      <c r="H21" s="79">
        <f t="shared" si="3"/>
        <v>0</v>
      </c>
      <c r="I21" s="79">
        <f t="shared" si="4"/>
        <v>0</v>
      </c>
      <c r="J21" s="79">
        <f t="shared" si="5"/>
        <v>0</v>
      </c>
      <c r="K21" s="80"/>
    </row>
    <row r="22" spans="1:11">
      <c r="A22" s="8" t="str">
        <f t="shared" si="0"/>
        <v>RA-TROJD</v>
      </c>
      <c r="B22" s="77" t="s">
        <v>296</v>
      </c>
      <c r="C22" s="43" t="s">
        <v>264</v>
      </c>
      <c r="D22" s="43" t="s">
        <v>72</v>
      </c>
      <c r="E22" s="78">
        <v>0</v>
      </c>
      <c r="F22" s="79">
        <f t="shared" si="1"/>
        <v>0</v>
      </c>
      <c r="G22" s="79">
        <f t="shared" si="2"/>
        <v>0</v>
      </c>
      <c r="H22" s="79">
        <f t="shared" si="3"/>
        <v>0</v>
      </c>
      <c r="I22" s="79">
        <f t="shared" si="4"/>
        <v>0</v>
      </c>
      <c r="J22" s="79">
        <f t="shared" si="5"/>
        <v>0</v>
      </c>
      <c r="K22" s="80"/>
    </row>
    <row r="23" spans="1:11">
      <c r="A23" s="8" t="str">
        <f t="shared" si="0"/>
        <v>RA-TROJP</v>
      </c>
      <c r="B23" s="77" t="s">
        <v>296</v>
      </c>
      <c r="C23" s="43" t="s">
        <v>270</v>
      </c>
      <c r="D23" s="43" t="s">
        <v>72</v>
      </c>
      <c r="E23" s="78">
        <v>0</v>
      </c>
      <c r="F23" s="79">
        <f t="shared" si="1"/>
        <v>0</v>
      </c>
      <c r="G23" s="79">
        <f t="shared" si="2"/>
        <v>0</v>
      </c>
      <c r="H23" s="79">
        <f t="shared" si="3"/>
        <v>0</v>
      </c>
      <c r="I23" s="79">
        <f t="shared" si="4"/>
        <v>0</v>
      </c>
      <c r="J23" s="79">
        <f t="shared" si="5"/>
        <v>0</v>
      </c>
      <c r="K23" s="80"/>
    </row>
    <row r="24" spans="1:11">
      <c r="A24" s="8" t="str">
        <f t="shared" si="0"/>
        <v>RA-SITUS</v>
      </c>
      <c r="B24" s="77" t="s">
        <v>296</v>
      </c>
      <c r="C24" s="43" t="s">
        <v>204</v>
      </c>
      <c r="D24" s="43" t="s">
        <v>9</v>
      </c>
      <c r="E24" s="78">
        <v>36.923076923076898</v>
      </c>
      <c r="F24" s="79">
        <f t="shared" si="1"/>
        <v>0</v>
      </c>
      <c r="G24" s="79">
        <f t="shared" si="2"/>
        <v>0</v>
      </c>
      <c r="H24" s="79">
        <f t="shared" si="3"/>
        <v>0</v>
      </c>
      <c r="I24" s="79">
        <f t="shared" si="4"/>
        <v>0</v>
      </c>
      <c r="J24" s="79">
        <f t="shared" si="5"/>
        <v>36.923076923076898</v>
      </c>
      <c r="K24" s="80"/>
    </row>
    <row r="25" spans="1:11">
      <c r="A25" s="8" t="str">
        <f t="shared" si="0"/>
        <v>RA-SITUS</v>
      </c>
      <c r="B25" s="77" t="s">
        <v>296</v>
      </c>
      <c r="C25" s="43" t="s">
        <v>204</v>
      </c>
      <c r="D25" s="43" t="s">
        <v>54</v>
      </c>
      <c r="E25" s="78">
        <v>-3652.6329284615404</v>
      </c>
      <c r="F25" s="79">
        <f t="shared" si="1"/>
        <v>-1564.6454994779706</v>
      </c>
      <c r="G25" s="79">
        <f t="shared" si="2"/>
        <v>-348.32564084378436</v>
      </c>
      <c r="H25" s="79">
        <f t="shared" si="3"/>
        <v>-1320.018784112616</v>
      </c>
      <c r="I25" s="79">
        <f t="shared" si="4"/>
        <v>-419.64300402716941</v>
      </c>
      <c r="J25" s="79">
        <f t="shared" si="5"/>
        <v>0</v>
      </c>
      <c r="K25" s="80"/>
    </row>
    <row r="26" spans="1:11">
      <c r="A26" s="8" t="str">
        <f t="shared" si="0"/>
        <v>RA-SITUS</v>
      </c>
      <c r="B26" s="77" t="s">
        <v>296</v>
      </c>
      <c r="C26" s="43" t="s">
        <v>204</v>
      </c>
      <c r="D26" s="43" t="s">
        <v>72</v>
      </c>
      <c r="E26" s="78">
        <v>23401.956113076918</v>
      </c>
      <c r="F26" s="79">
        <f t="shared" si="1"/>
        <v>23401.956113076918</v>
      </c>
      <c r="G26" s="79">
        <f t="shared" si="2"/>
        <v>0</v>
      </c>
      <c r="H26" s="79">
        <f t="shared" si="3"/>
        <v>0</v>
      </c>
      <c r="I26" s="79">
        <f t="shared" si="4"/>
        <v>0</v>
      </c>
      <c r="J26" s="79">
        <f t="shared" si="5"/>
        <v>0</v>
      </c>
      <c r="K26" s="80"/>
    </row>
    <row r="27" spans="1:11">
      <c r="A27" s="8" t="str">
        <f t="shared" si="0"/>
        <v>RA-SITUS</v>
      </c>
      <c r="B27" s="77" t="s">
        <v>296</v>
      </c>
      <c r="C27" s="43" t="s">
        <v>204</v>
      </c>
      <c r="D27" s="43" t="s">
        <v>120</v>
      </c>
      <c r="E27" s="78">
        <v>0</v>
      </c>
      <c r="F27" s="79">
        <f t="shared" si="1"/>
        <v>0</v>
      </c>
      <c r="G27" s="79">
        <f t="shared" si="2"/>
        <v>0</v>
      </c>
      <c r="H27" s="79">
        <f t="shared" si="3"/>
        <v>0</v>
      </c>
      <c r="I27" s="79">
        <f t="shared" si="4"/>
        <v>0</v>
      </c>
      <c r="J27" s="79">
        <f t="shared" si="5"/>
        <v>0</v>
      </c>
      <c r="K27" s="80"/>
    </row>
    <row r="28" spans="1:11">
      <c r="A28" s="8" t="str">
        <f t="shared" si="0"/>
        <v>RA-SITUS</v>
      </c>
      <c r="B28" s="77" t="s">
        <v>296</v>
      </c>
      <c r="C28" s="43" t="s">
        <v>204</v>
      </c>
      <c r="D28" s="43" t="s">
        <v>28</v>
      </c>
      <c r="E28" s="78">
        <v>-3169.7533146153846</v>
      </c>
      <c r="F28" s="79">
        <f t="shared" si="1"/>
        <v>-950.92599438461536</v>
      </c>
      <c r="G28" s="79">
        <f t="shared" si="2"/>
        <v>-316.97533146153847</v>
      </c>
      <c r="H28" s="79">
        <f t="shared" si="3"/>
        <v>-1901.8519887692307</v>
      </c>
      <c r="I28" s="79">
        <f t="shared" si="4"/>
        <v>0</v>
      </c>
      <c r="J28" s="79">
        <f t="shared" si="5"/>
        <v>0</v>
      </c>
      <c r="K28" s="80"/>
    </row>
    <row r="29" spans="1:11">
      <c r="A29" s="8" t="str">
        <f t="shared" si="0"/>
        <v>RA-SITUS</v>
      </c>
      <c r="B29" s="43" t="s">
        <v>296</v>
      </c>
      <c r="C29" s="43" t="s">
        <v>204</v>
      </c>
      <c r="D29" s="43" t="s">
        <v>8</v>
      </c>
      <c r="E29" s="78">
        <v>0</v>
      </c>
      <c r="F29" s="79">
        <f t="shared" si="1"/>
        <v>0</v>
      </c>
      <c r="G29" s="79">
        <f t="shared" si="2"/>
        <v>0</v>
      </c>
      <c r="H29" s="79">
        <f t="shared" si="3"/>
        <v>0</v>
      </c>
      <c r="I29" s="79">
        <f t="shared" si="4"/>
        <v>0</v>
      </c>
      <c r="J29" s="79">
        <f t="shared" si="5"/>
        <v>0</v>
      </c>
      <c r="K29" s="80"/>
    </row>
    <row r="30" spans="1:11">
      <c r="B30" s="62" t="s">
        <v>226</v>
      </c>
      <c r="E30" s="22">
        <f t="shared" ref="E30:J30" si="7">SUMIF($A:$A,"RA-SO",E:E)</f>
        <v>321082.11554923106</v>
      </c>
      <c r="F30" s="22">
        <f t="shared" si="7"/>
        <v>130541.09236369551</v>
      </c>
      <c r="G30" s="22">
        <f t="shared" si="7"/>
        <v>30423.76591234517</v>
      </c>
      <c r="H30" s="22">
        <f t="shared" si="7"/>
        <v>124494.98915655239</v>
      </c>
      <c r="I30" s="22">
        <f t="shared" si="7"/>
        <v>31638.086284330253</v>
      </c>
      <c r="J30" s="22">
        <f t="shared" si="7"/>
        <v>3984.1818323076918</v>
      </c>
    </row>
    <row r="31" spans="1:11">
      <c r="B31" s="62" t="s">
        <v>297</v>
      </c>
      <c r="E31" s="22">
        <f t="shared" ref="E31:J31" si="8">SUMIF($A:$A,"RA-OTHER",E:E)</f>
        <v>657223.82361846173</v>
      </c>
      <c r="F31" s="22">
        <f t="shared" si="8"/>
        <v>264769.86911993672</v>
      </c>
      <c r="G31" s="22">
        <f t="shared" si="8"/>
        <v>6136.2403205456412</v>
      </c>
      <c r="H31" s="22">
        <f t="shared" si="8"/>
        <v>20156.761759127403</v>
      </c>
      <c r="I31" s="22">
        <f t="shared" si="8"/>
        <v>360170.20172192884</v>
      </c>
      <c r="J31" s="22">
        <f t="shared" si="8"/>
        <v>5990.7506969230808</v>
      </c>
    </row>
    <row r="32" spans="1:11">
      <c r="B32" s="24" t="s">
        <v>298</v>
      </c>
      <c r="E32" s="22">
        <f t="shared" ref="E32:J32" si="9">SUMIF($A:$A,"RA-SITUS",E:E)</f>
        <v>16616.49294692307</v>
      </c>
      <c r="F32" s="22">
        <f t="shared" si="9"/>
        <v>20886.384619214332</v>
      </c>
      <c r="G32" s="22">
        <f t="shared" si="9"/>
        <v>-665.30097230532283</v>
      </c>
      <c r="H32" s="22">
        <f t="shared" si="9"/>
        <v>-3221.8707728818467</v>
      </c>
      <c r="I32" s="22">
        <f t="shared" si="9"/>
        <v>-419.64300402716941</v>
      </c>
      <c r="J32" s="22">
        <f t="shared" si="9"/>
        <v>36.923076923076898</v>
      </c>
    </row>
    <row r="33" spans="1:10">
      <c r="B33" s="24" t="s">
        <v>299</v>
      </c>
      <c r="E33" s="22">
        <f t="shared" ref="E33:J33" si="10">SUMIF($B:$B,"182M",E:E)</f>
        <v>1190996.3608753846</v>
      </c>
      <c r="F33" s="22">
        <f t="shared" si="10"/>
        <v>612271.27486361575</v>
      </c>
      <c r="G33" s="22">
        <f t="shared" si="10"/>
        <v>35894.705260585491</v>
      </c>
      <c r="H33" s="22">
        <f t="shared" si="10"/>
        <v>141429.88014279795</v>
      </c>
      <c r="I33" s="22">
        <f t="shared" si="10"/>
        <v>391388.64500223187</v>
      </c>
      <c r="J33" s="22">
        <f t="shared" si="10"/>
        <v>10011.855606153849</v>
      </c>
    </row>
    <row r="34" spans="1:10">
      <c r="B34" s="62" t="s">
        <v>300</v>
      </c>
      <c r="C34" s="43"/>
      <c r="D34" s="43"/>
      <c r="E34" s="81">
        <f>SUM(F34:J34)</f>
        <v>0.99999999999999978</v>
      </c>
      <c r="F34" s="82">
        <f>F30/$E30</f>
        <v>0.40656606532069467</v>
      </c>
      <c r="G34" s="82">
        <f>G30/$E30</f>
        <v>9.4753847813365169E-2</v>
      </c>
      <c r="H34" s="82">
        <f>H30/$E30</f>
        <v>0.38773566987247454</v>
      </c>
      <c r="I34" s="82">
        <f>I30/$E30</f>
        <v>9.8535809851044875E-2</v>
      </c>
      <c r="J34" s="82">
        <f>J30/$E30</f>
        <v>1.2408607142420558E-2</v>
      </c>
    </row>
    <row r="35" spans="1:10">
      <c r="B35" s="62" t="s">
        <v>301</v>
      </c>
      <c r="C35" s="43"/>
      <c r="D35" s="43"/>
      <c r="E35" s="81">
        <f>SUM(F35:J35)</f>
        <v>1</v>
      </c>
      <c r="F35" s="82">
        <f>F32/$E32</f>
        <v>1.256967079992769</v>
      </c>
      <c r="G35" s="82">
        <f>G32/$E32</f>
        <v>-4.0038591442276561E-2</v>
      </c>
      <c r="H35" s="82">
        <f>H32/$E32</f>
        <v>-0.19389595525200468</v>
      </c>
      <c r="I35" s="82">
        <f>I32/$E32</f>
        <v>-2.5254607296955285E-2</v>
      </c>
      <c r="J35" s="82">
        <f>J32/$E32</f>
        <v>2.2220739984675324E-3</v>
      </c>
    </row>
    <row r="36" spans="1:10">
      <c r="B36" s="62"/>
      <c r="C36" s="43"/>
      <c r="D36" s="43"/>
      <c r="E36" s="81"/>
      <c r="F36" s="82"/>
      <c r="G36" s="82"/>
      <c r="H36" s="82"/>
      <c r="I36" s="82"/>
      <c r="J36" s="82"/>
    </row>
    <row r="37" spans="1:10">
      <c r="A37" s="8" t="str">
        <f t="shared" ref="A37:A48" si="11">"DD"&amp;"-"&amp;C37</f>
        <v>DD-SE</v>
      </c>
      <c r="B37" s="43" t="s">
        <v>302</v>
      </c>
      <c r="C37" s="43" t="s">
        <v>166</v>
      </c>
      <c r="D37" s="43" t="s">
        <v>72</v>
      </c>
      <c r="E37" s="78">
        <v>474.11339153846183</v>
      </c>
      <c r="F37" s="22">
        <f>VLOOKUP($D37,$D$72:$J$84,3,FALSE)*$E37</f>
        <v>474.11339153846183</v>
      </c>
      <c r="G37" s="22">
        <f>VLOOKUP($D37,$D$72:$J$84,4,FALSE)*$E37</f>
        <v>0</v>
      </c>
      <c r="H37" s="22">
        <f>VLOOKUP($D37,$D$72:$J$84,5,FALSE)*$E37</f>
        <v>0</v>
      </c>
      <c r="I37" s="22">
        <f>VLOOKUP($D37,$D$72:$J$84,6,FALSE)*$E37</f>
        <v>0</v>
      </c>
      <c r="J37" s="22">
        <f>VLOOKUP($D37,$D$72:$J$84,7,FALSE)*$E37</f>
        <v>0</v>
      </c>
    </row>
    <row r="38" spans="1:10">
      <c r="A38" s="8" t="str">
        <f t="shared" si="11"/>
        <v>DD-SG</v>
      </c>
      <c r="B38" s="43" t="s">
        <v>302</v>
      </c>
      <c r="C38" s="43" t="s">
        <v>202</v>
      </c>
      <c r="D38" s="43" t="s">
        <v>72</v>
      </c>
      <c r="E38" s="78">
        <v>111382.68865384624</v>
      </c>
      <c r="F38" s="22">
        <f>VLOOKUP($D38,$D$72:$J$84,3,FALSE)*$E38</f>
        <v>111382.68865384624</v>
      </c>
      <c r="G38" s="22">
        <f>VLOOKUP($D38,$D$72:$J$84,4,FALSE)*$E38</f>
        <v>0</v>
      </c>
      <c r="H38" s="22">
        <f>VLOOKUP($D38,$D$72:$J$84,5,FALSE)*$E38</f>
        <v>0</v>
      </c>
      <c r="I38" s="22">
        <f>VLOOKUP($D38,$D$72:$J$84,6,FALSE)*$E38</f>
        <v>0</v>
      </c>
      <c r="J38" s="22">
        <f>VLOOKUP($D38,$D$72:$J$84,7,FALSE)*$E38</f>
        <v>0</v>
      </c>
    </row>
    <row r="39" spans="1:10">
      <c r="A39" s="8" t="str">
        <f t="shared" si="11"/>
        <v>DD-SG</v>
      </c>
      <c r="B39" s="43" t="s">
        <v>302</v>
      </c>
      <c r="C39" s="43" t="s">
        <v>202</v>
      </c>
      <c r="D39" s="43" t="s">
        <v>113</v>
      </c>
      <c r="E39" s="78">
        <v>1987.4302261538442</v>
      </c>
      <c r="F39" s="22">
        <f>VLOOKUP($D39,$D$72:$J$84,3,FALSE)*$E39</f>
        <v>0</v>
      </c>
      <c r="G39" s="22">
        <f>VLOOKUP($D39,$D$72:$J$84,4,FALSE)*$E39</f>
        <v>1987.4302261538442</v>
      </c>
      <c r="H39" s="22">
        <f>VLOOKUP($D39,$D$72:$J$84,5,FALSE)*$E39</f>
        <v>0</v>
      </c>
      <c r="I39" s="22">
        <f>VLOOKUP($D39,$D$72:$J$84,6,FALSE)*$E39</f>
        <v>0</v>
      </c>
      <c r="J39" s="22">
        <f>VLOOKUP($D39,$D$72:$J$84,7,FALSE)*$E39</f>
        <v>0</v>
      </c>
    </row>
    <row r="40" spans="1:10">
      <c r="A40" s="8" t="str">
        <f t="shared" si="11"/>
        <v>DD-SO</v>
      </c>
      <c r="B40" s="43" t="s">
        <v>302</v>
      </c>
      <c r="C40" s="43" t="s">
        <v>203</v>
      </c>
      <c r="D40" s="43" t="s">
        <v>9</v>
      </c>
      <c r="E40" s="78">
        <v>170.17378000000022</v>
      </c>
      <c r="F40" s="22">
        <f>VLOOKUP($D40,$D$72:$J$84,3,FALSE)*$E40</f>
        <v>0</v>
      </c>
      <c r="G40" s="22">
        <f>VLOOKUP($D40,$D$72:$J$84,4,FALSE)*$E40</f>
        <v>0</v>
      </c>
      <c r="H40" s="22">
        <f>VLOOKUP($D40,$D$72:$J$84,5,FALSE)*$E40</f>
        <v>0</v>
      </c>
      <c r="I40" s="22">
        <f>VLOOKUP($D40,$D$72:$J$84,6,FALSE)*$E40</f>
        <v>0</v>
      </c>
      <c r="J40" s="22">
        <f>VLOOKUP($D40,$D$72:$J$84,7,FALSE)*$E40</f>
        <v>170.17378000000022</v>
      </c>
    </row>
    <row r="41" spans="1:10">
      <c r="B41" s="43"/>
      <c r="C41" s="43"/>
      <c r="D41" s="43"/>
      <c r="E41" s="78"/>
      <c r="F41" s="22"/>
      <c r="G41" s="22"/>
      <c r="H41" s="22"/>
      <c r="I41" s="22"/>
      <c r="J41" s="22"/>
    </row>
    <row r="42" spans="1:10">
      <c r="A42" s="8" t="s">
        <v>303</v>
      </c>
      <c r="B42" s="43" t="s">
        <v>302</v>
      </c>
      <c r="C42" s="43" t="s">
        <v>201</v>
      </c>
      <c r="D42" s="43" t="s">
        <v>9</v>
      </c>
      <c r="E42" s="78">
        <v>1915.1490753846199</v>
      </c>
      <c r="F42" s="22">
        <f t="shared" ref="F42:F48" si="12">VLOOKUP($D42,$D$72:$J$84,3,FALSE)*$E42</f>
        <v>0</v>
      </c>
      <c r="G42" s="22">
        <f t="shared" ref="G42:G48" si="13">VLOOKUP($D42,$D$72:$J$84,4,FALSE)*$E42</f>
        <v>0</v>
      </c>
      <c r="H42" s="22">
        <f t="shared" ref="H42:H48" si="14">VLOOKUP($D42,$D$72:$J$84,5,FALSE)*$E42</f>
        <v>0</v>
      </c>
      <c r="I42" s="22">
        <f t="shared" ref="I42:I48" si="15">VLOOKUP($D42,$D$72:$J$84,6,FALSE)*$E42</f>
        <v>0</v>
      </c>
      <c r="J42" s="22">
        <f t="shared" ref="J42:J48" si="16">VLOOKUP($D42,$D$72:$J$84,7,FALSE)*$E42</f>
        <v>1915.1490753846199</v>
      </c>
    </row>
    <row r="43" spans="1:10">
      <c r="A43" s="8" t="s">
        <v>303</v>
      </c>
      <c r="B43" s="43" t="s">
        <v>302</v>
      </c>
      <c r="C43" s="43" t="s">
        <v>201</v>
      </c>
      <c r="D43" s="43" t="s">
        <v>54</v>
      </c>
      <c r="E43" s="78">
        <v>0</v>
      </c>
      <c r="F43" s="22">
        <f t="shared" si="12"/>
        <v>0</v>
      </c>
      <c r="G43" s="22">
        <f t="shared" si="13"/>
        <v>0</v>
      </c>
      <c r="H43" s="22">
        <f t="shared" si="14"/>
        <v>0</v>
      </c>
      <c r="I43" s="22">
        <f t="shared" si="15"/>
        <v>0</v>
      </c>
      <c r="J43" s="22">
        <f t="shared" si="16"/>
        <v>0</v>
      </c>
    </row>
    <row r="44" spans="1:10">
      <c r="A44" s="8" t="s">
        <v>303</v>
      </c>
      <c r="B44" s="43" t="s">
        <v>302</v>
      </c>
      <c r="C44" s="43" t="s">
        <v>201</v>
      </c>
      <c r="D44" s="43" t="s">
        <v>72</v>
      </c>
      <c r="E44" s="78">
        <v>0</v>
      </c>
      <c r="F44" s="22">
        <f t="shared" si="12"/>
        <v>0</v>
      </c>
      <c r="G44" s="22">
        <f t="shared" si="13"/>
        <v>0</v>
      </c>
      <c r="H44" s="22">
        <f t="shared" si="14"/>
        <v>0</v>
      </c>
      <c r="I44" s="22">
        <f t="shared" si="15"/>
        <v>0</v>
      </c>
      <c r="J44" s="22">
        <f t="shared" si="16"/>
        <v>0</v>
      </c>
    </row>
    <row r="45" spans="1:10">
      <c r="A45" s="8" t="s">
        <v>303</v>
      </c>
      <c r="B45" s="43" t="s">
        <v>302</v>
      </c>
      <c r="C45" s="43" t="s">
        <v>201</v>
      </c>
      <c r="D45" s="43" t="s">
        <v>120</v>
      </c>
      <c r="E45" s="78">
        <v>108.48773</v>
      </c>
      <c r="F45" s="22">
        <f t="shared" si="12"/>
        <v>49.417590406379993</v>
      </c>
      <c r="G45" s="22">
        <f t="shared" si="13"/>
        <v>29.04922574266655</v>
      </c>
      <c r="H45" s="22">
        <f t="shared" si="14"/>
        <v>30.020913850953452</v>
      </c>
      <c r="I45" s="22">
        <f t="shared" si="15"/>
        <v>0</v>
      </c>
      <c r="J45" s="22">
        <f t="shared" si="16"/>
        <v>0</v>
      </c>
    </row>
    <row r="46" spans="1:10">
      <c r="A46" s="8" t="s">
        <v>303</v>
      </c>
      <c r="B46" s="43" t="s">
        <v>302</v>
      </c>
      <c r="C46" s="43" t="s">
        <v>201</v>
      </c>
      <c r="D46" s="43" t="s">
        <v>113</v>
      </c>
      <c r="E46" s="78">
        <v>0</v>
      </c>
      <c r="F46" s="22">
        <f t="shared" si="12"/>
        <v>0</v>
      </c>
      <c r="G46" s="22">
        <f t="shared" si="13"/>
        <v>0</v>
      </c>
      <c r="H46" s="22">
        <f t="shared" si="14"/>
        <v>0</v>
      </c>
      <c r="I46" s="22">
        <f t="shared" si="15"/>
        <v>0</v>
      </c>
      <c r="J46" s="22">
        <f t="shared" si="16"/>
        <v>0</v>
      </c>
    </row>
    <row r="47" spans="1:10">
      <c r="A47" s="8" t="str">
        <f t="shared" si="11"/>
        <v>DD-SITUS</v>
      </c>
      <c r="B47" s="43" t="s">
        <v>302</v>
      </c>
      <c r="C47" s="43" t="s">
        <v>204</v>
      </c>
      <c r="D47" s="43" t="s">
        <v>113</v>
      </c>
      <c r="E47" s="12">
        <v>0</v>
      </c>
      <c r="F47" s="22">
        <f t="shared" si="12"/>
        <v>0</v>
      </c>
      <c r="G47" s="22">
        <f t="shared" si="13"/>
        <v>0</v>
      </c>
      <c r="H47" s="22">
        <f t="shared" si="14"/>
        <v>0</v>
      </c>
      <c r="I47" s="22">
        <f t="shared" si="15"/>
        <v>0</v>
      </c>
      <c r="J47" s="22">
        <f t="shared" si="16"/>
        <v>0</v>
      </c>
    </row>
    <row r="48" spans="1:10">
      <c r="A48" s="8" t="str">
        <f t="shared" si="11"/>
        <v>DD-SITUS</v>
      </c>
      <c r="B48" s="43" t="s">
        <v>302</v>
      </c>
      <c r="C48" s="43" t="s">
        <v>204</v>
      </c>
      <c r="D48" s="43" t="s">
        <v>54</v>
      </c>
      <c r="E48" s="12">
        <v>0</v>
      </c>
      <c r="F48" s="22">
        <f t="shared" si="12"/>
        <v>0</v>
      </c>
      <c r="G48" s="22">
        <f t="shared" si="13"/>
        <v>0</v>
      </c>
      <c r="H48" s="22">
        <f t="shared" si="14"/>
        <v>0</v>
      </c>
      <c r="I48" s="22">
        <f t="shared" si="15"/>
        <v>0</v>
      </c>
      <c r="J48" s="22">
        <f t="shared" si="16"/>
        <v>0</v>
      </c>
    </row>
    <row r="49" spans="2:10">
      <c r="B49" s="24" t="s">
        <v>298</v>
      </c>
      <c r="E49" s="22">
        <f t="shared" ref="E49:J49" si="17">SUMIF($A:$A,"DD-SITUS",E:E)</f>
        <v>0</v>
      </c>
      <c r="F49" s="22">
        <f t="shared" si="17"/>
        <v>0</v>
      </c>
      <c r="G49" s="22">
        <f t="shared" si="17"/>
        <v>0</v>
      </c>
      <c r="H49" s="22">
        <f t="shared" si="17"/>
        <v>0</v>
      </c>
      <c r="I49" s="22">
        <f t="shared" si="17"/>
        <v>0</v>
      </c>
      <c r="J49" s="22">
        <f t="shared" si="17"/>
        <v>0</v>
      </c>
    </row>
    <row r="50" spans="2:10">
      <c r="B50" s="24" t="s">
        <v>304</v>
      </c>
      <c r="E50" s="22">
        <f t="shared" ref="E50:J50" si="18">SUMIF($A:$A,"DD-SG",E:E)</f>
        <v>113370.11888000008</v>
      </c>
      <c r="F50" s="22">
        <f t="shared" si="18"/>
        <v>111382.68865384624</v>
      </c>
      <c r="G50" s="22">
        <f t="shared" si="18"/>
        <v>1987.4302261538442</v>
      </c>
      <c r="H50" s="22">
        <f t="shared" si="18"/>
        <v>0</v>
      </c>
      <c r="I50" s="22">
        <f t="shared" si="18"/>
        <v>0</v>
      </c>
      <c r="J50" s="22">
        <f t="shared" si="18"/>
        <v>0</v>
      </c>
    </row>
    <row r="51" spans="2:10">
      <c r="B51" s="83" t="s">
        <v>226</v>
      </c>
      <c r="C51" s="44"/>
      <c r="D51" s="44"/>
      <c r="E51" s="20">
        <f t="shared" ref="E51:J51" si="19">SUMIF($A:$A,"DD-SO",E:E)</f>
        <v>170.17378000000022</v>
      </c>
      <c r="F51" s="20">
        <f t="shared" si="19"/>
        <v>0</v>
      </c>
      <c r="G51" s="20">
        <f t="shared" si="19"/>
        <v>0</v>
      </c>
      <c r="H51" s="20">
        <f t="shared" si="19"/>
        <v>0</v>
      </c>
      <c r="I51" s="20">
        <f t="shared" si="19"/>
        <v>0</v>
      </c>
      <c r="J51" s="20">
        <f t="shared" si="19"/>
        <v>170.17378000000022</v>
      </c>
    </row>
    <row r="52" spans="2:10">
      <c r="B52" s="62" t="s">
        <v>305</v>
      </c>
      <c r="E52" s="22">
        <f t="shared" ref="E52:J52" si="20">SUMIF($B:$B,"186M",E:E)</f>
        <v>116038.04285692314</v>
      </c>
      <c r="F52" s="22">
        <f t="shared" si="20"/>
        <v>111906.21963579107</v>
      </c>
      <c r="G52" s="22">
        <f t="shared" si="20"/>
        <v>2016.4794518965107</v>
      </c>
      <c r="H52" s="22">
        <f t="shared" si="20"/>
        <v>30.020913850953452</v>
      </c>
      <c r="I52" s="22">
        <f t="shared" si="20"/>
        <v>0</v>
      </c>
      <c r="J52" s="22">
        <f t="shared" si="20"/>
        <v>2085.3228553846202</v>
      </c>
    </row>
    <row r="53" spans="2:10">
      <c r="B53" s="62" t="s">
        <v>306</v>
      </c>
      <c r="C53" s="43"/>
      <c r="D53" s="43"/>
      <c r="E53" s="81">
        <f>SUM(F53:J53)</f>
        <v>0</v>
      </c>
      <c r="F53" s="82">
        <f>IFERROR(F49/$E49,0)</f>
        <v>0</v>
      </c>
      <c r="G53" s="82">
        <f>IFERROR(G49/$E49,0)</f>
        <v>0</v>
      </c>
      <c r="H53" s="82">
        <f>IFERROR(H49/$E49,0)</f>
        <v>0</v>
      </c>
      <c r="I53" s="82">
        <f>IFERROR(I49/$E49,0)</f>
        <v>0</v>
      </c>
      <c r="J53" s="82">
        <f>IFERROR(J49/$E49,0)</f>
        <v>0</v>
      </c>
    </row>
    <row r="54" spans="2:10">
      <c r="B54" s="62" t="s">
        <v>307</v>
      </c>
      <c r="C54" s="43"/>
      <c r="D54" s="43"/>
      <c r="E54" s="81">
        <f>SUM(F54:J54)</f>
        <v>1</v>
      </c>
      <c r="F54" s="82">
        <f>F50/$E50</f>
        <v>0.98246954095322514</v>
      </c>
      <c r="G54" s="82">
        <f>G50/$E50</f>
        <v>1.7530459046774909E-2</v>
      </c>
      <c r="H54" s="82">
        <f>H50/$E50</f>
        <v>0</v>
      </c>
      <c r="I54" s="82">
        <f>I50/$E50</f>
        <v>0</v>
      </c>
      <c r="J54" s="82">
        <f>J50/$E50</f>
        <v>0</v>
      </c>
    </row>
    <row r="55" spans="2:10">
      <c r="B55" s="62" t="s">
        <v>308</v>
      </c>
      <c r="D55" s="43"/>
      <c r="E55" s="81">
        <f>SUM(F55:J55)</f>
        <v>1</v>
      </c>
      <c r="F55" s="82">
        <f>IFERROR(F51/$E51,0)</f>
        <v>0</v>
      </c>
      <c r="G55" s="82">
        <f>IFERROR(G51/$E51,0)</f>
        <v>0</v>
      </c>
      <c r="H55" s="82">
        <f>IFERROR(H51/$E51,0)</f>
        <v>0</v>
      </c>
      <c r="I55" s="82">
        <f>IFERROR(I51/$E51,0)</f>
        <v>0</v>
      </c>
      <c r="J55" s="82">
        <f>IFERROR(J51/$E51,0)</f>
        <v>1</v>
      </c>
    </row>
    <row r="56" spans="2:10">
      <c r="B56" s="62"/>
      <c r="C56" s="43"/>
      <c r="D56" s="43"/>
      <c r="E56" s="81"/>
      <c r="F56" s="82"/>
      <c r="G56" s="82"/>
      <c r="H56" s="82"/>
      <c r="I56" s="82"/>
      <c r="J56" s="82"/>
    </row>
    <row r="57" spans="2:10">
      <c r="B57" s="8" t="s">
        <v>309</v>
      </c>
      <c r="E57" s="19"/>
      <c r="F57" s="19"/>
      <c r="G57" s="19"/>
      <c r="H57" s="19"/>
      <c r="I57" s="19"/>
      <c r="J57" s="19"/>
    </row>
    <row r="58" spans="2:10">
      <c r="B58" s="8" t="s">
        <v>310</v>
      </c>
      <c r="D58" s="8" t="s">
        <v>54</v>
      </c>
      <c r="E58" s="19">
        <v>0</v>
      </c>
      <c r="F58" s="22">
        <f>VLOOKUP($D58,$D$72:$J$84,3,FALSE)*$E58</f>
        <v>0</v>
      </c>
      <c r="G58" s="22">
        <f>VLOOKUP($D58,$D$72:$J$84,4,FALSE)*$E58</f>
        <v>0</v>
      </c>
      <c r="H58" s="22">
        <f>VLOOKUP($D58,$D$72:$J$84,5,FALSE)*$E58</f>
        <v>0</v>
      </c>
      <c r="I58" s="22">
        <f>VLOOKUP($D58,$D$72:$J$84,6,FALSE)*$E58</f>
        <v>0</v>
      </c>
      <c r="J58" s="22">
        <f>VLOOKUP($D58,$D$72:$J$84,7,FALSE)*$E58</f>
        <v>0</v>
      </c>
    </row>
    <row r="59" spans="2:10">
      <c r="B59" s="8" t="s">
        <v>311</v>
      </c>
      <c r="D59" s="8" t="s">
        <v>54</v>
      </c>
      <c r="E59" s="19">
        <v>0</v>
      </c>
      <c r="F59" s="22">
        <f>VLOOKUP($D59,$D$72:$J$84,3,FALSE)*$E59</f>
        <v>0</v>
      </c>
      <c r="G59" s="22">
        <f>VLOOKUP($D59,$D$72:$J$84,4,FALSE)*$E59</f>
        <v>0</v>
      </c>
      <c r="H59" s="22">
        <f>VLOOKUP($D59,$D$72:$J$84,5,FALSE)*$E59</f>
        <v>0</v>
      </c>
      <c r="I59" s="22">
        <f>VLOOKUP($D59,$D$72:$J$84,6,FALSE)*$E59</f>
        <v>0</v>
      </c>
      <c r="J59" s="22">
        <f>VLOOKUP($D59,$D$72:$J$84,7,FALSE)*$E59</f>
        <v>0</v>
      </c>
    </row>
    <row r="60" spans="2:10">
      <c r="B60" s="8" t="s">
        <v>312</v>
      </c>
      <c r="D60" s="8" t="s">
        <v>120</v>
      </c>
      <c r="E60" s="19">
        <v>0</v>
      </c>
      <c r="F60" s="22">
        <f>VLOOKUP($D60,$D$72:$J$84,3,FALSE)*$E60</f>
        <v>0</v>
      </c>
      <c r="G60" s="22">
        <f>VLOOKUP($D60,$D$72:$J$84,4,FALSE)*$E60</f>
        <v>0</v>
      </c>
      <c r="H60" s="22">
        <f>VLOOKUP($D60,$D$72:$J$84,5,FALSE)*$E60</f>
        <v>0</v>
      </c>
      <c r="I60" s="22">
        <f>VLOOKUP($D60,$D$72:$J$84,6,FALSE)*$E60</f>
        <v>0</v>
      </c>
      <c r="J60" s="22">
        <f>VLOOKUP($D60,$D$72:$J$84,7,FALSE)*$E60</f>
        <v>0</v>
      </c>
    </row>
    <row r="61" spans="2:10">
      <c r="B61" s="8" t="s">
        <v>313</v>
      </c>
      <c r="D61" s="8" t="s">
        <v>28</v>
      </c>
      <c r="E61" s="19">
        <v>0</v>
      </c>
      <c r="F61" s="22">
        <f>VLOOKUP($D61,$D$72:$J$84,3,FALSE)*$E61</f>
        <v>0</v>
      </c>
      <c r="G61" s="22">
        <f>VLOOKUP($D61,$D$72:$J$84,4,FALSE)*$E61</f>
        <v>0</v>
      </c>
      <c r="H61" s="22">
        <f>VLOOKUP($D61,$D$72:$J$84,5,FALSE)*$E61</f>
        <v>0</v>
      </c>
      <c r="I61" s="22">
        <f>VLOOKUP($D61,$D$72:$J$84,6,FALSE)*$E61</f>
        <v>0</v>
      </c>
      <c r="J61" s="22">
        <f>VLOOKUP($D61,$D$72:$J$84,7,FALSE)*$E61</f>
        <v>0</v>
      </c>
    </row>
    <row r="62" spans="2:10">
      <c r="B62" s="8" t="s">
        <v>314</v>
      </c>
      <c r="D62" s="8" t="s">
        <v>120</v>
      </c>
      <c r="E62" s="53">
        <v>0</v>
      </c>
      <c r="F62" s="22">
        <f>VLOOKUP($D62,$D$72:$J$84,3,FALSE)*$E62</f>
        <v>0</v>
      </c>
      <c r="G62" s="22">
        <f>VLOOKUP($D62,$D$72:$J$84,4,FALSE)*$E62</f>
        <v>0</v>
      </c>
      <c r="H62" s="22">
        <f>VLOOKUP($D62,$D$72:$J$84,5,FALSE)*$E62</f>
        <v>0</v>
      </c>
      <c r="I62" s="22">
        <f>VLOOKUP($D62,$D$72:$J$84,6,FALSE)*$E62</f>
        <v>0</v>
      </c>
      <c r="J62" s="22">
        <f>VLOOKUP($D62,$D$72:$J$84,7,FALSE)*$E62</f>
        <v>0</v>
      </c>
    </row>
    <row r="63" spans="2:10">
      <c r="B63" s="8" t="s">
        <v>315</v>
      </c>
      <c r="E63" s="19">
        <f t="shared" ref="E63:J63" si="21">SUM(E58:E62)</f>
        <v>0</v>
      </c>
      <c r="F63" s="19">
        <f t="shared" si="21"/>
        <v>0</v>
      </c>
      <c r="G63" s="19">
        <f t="shared" si="21"/>
        <v>0</v>
      </c>
      <c r="H63" s="19">
        <f t="shared" si="21"/>
        <v>0</v>
      </c>
      <c r="I63" s="19">
        <f t="shared" si="21"/>
        <v>0</v>
      </c>
      <c r="J63" s="19">
        <f t="shared" si="21"/>
        <v>0</v>
      </c>
    </row>
    <row r="64" spans="2:10">
      <c r="E64" s="19"/>
      <c r="F64" s="19"/>
      <c r="G64" s="19"/>
      <c r="H64" s="19"/>
      <c r="I64" s="19"/>
      <c r="J64" s="19"/>
    </row>
    <row r="65" spans="2:10">
      <c r="B65" s="8" t="s">
        <v>316</v>
      </c>
      <c r="E65" s="19">
        <f t="shared" ref="E65:J65" si="22">+E51+E63</f>
        <v>170.17378000000022</v>
      </c>
      <c r="F65" s="19">
        <f t="shared" si="22"/>
        <v>0</v>
      </c>
      <c r="G65" s="19">
        <f t="shared" si="22"/>
        <v>0</v>
      </c>
      <c r="H65" s="19">
        <f t="shared" si="22"/>
        <v>0</v>
      </c>
      <c r="I65" s="19">
        <f t="shared" si="22"/>
        <v>0</v>
      </c>
      <c r="J65" s="19">
        <f t="shared" si="22"/>
        <v>170.17378000000022</v>
      </c>
    </row>
    <row r="66" spans="2:10">
      <c r="E66" s="19"/>
      <c r="F66" s="19"/>
      <c r="G66" s="19"/>
      <c r="H66" s="19"/>
      <c r="I66" s="19"/>
      <c r="J66" s="19"/>
    </row>
    <row r="67" spans="2:10">
      <c r="B67" s="24" t="s">
        <v>317</v>
      </c>
      <c r="E67" s="22">
        <f>SUM(E52,E33)</f>
        <v>1307034.4037323077</v>
      </c>
      <c r="F67" s="22">
        <f>SUM(F33,F52)</f>
        <v>724177.49449940678</v>
      </c>
      <c r="G67" s="22">
        <f>SUM(G33,G52)</f>
        <v>37911.184712482005</v>
      </c>
      <c r="H67" s="22">
        <f>SUM(H33,H52)</f>
        <v>141459.9010566489</v>
      </c>
      <c r="I67" s="22">
        <f>SUM(I33,I52)</f>
        <v>391388.64500223187</v>
      </c>
      <c r="J67" s="22">
        <f>SUM(J33,J52)</f>
        <v>12097.178461538469</v>
      </c>
    </row>
    <row r="68" spans="2:10">
      <c r="E68" s="42"/>
    </row>
    <row r="69" spans="2:10">
      <c r="E69" s="41"/>
    </row>
    <row r="70" spans="2:10">
      <c r="E70" s="31"/>
    </row>
    <row r="71" spans="2:10">
      <c r="E71" s="8" t="s">
        <v>10</v>
      </c>
      <c r="F71" s="84" t="s">
        <v>5</v>
      </c>
      <c r="G71" s="84" t="s">
        <v>6</v>
      </c>
      <c r="H71" s="84" t="s">
        <v>251</v>
      </c>
      <c r="I71" s="84" t="s">
        <v>252</v>
      </c>
      <c r="J71" s="84" t="s">
        <v>253</v>
      </c>
    </row>
    <row r="72" spans="2:10">
      <c r="D72" s="8" t="s">
        <v>9</v>
      </c>
      <c r="E72" s="18">
        <f>SUM(F72:J72)</f>
        <v>1</v>
      </c>
      <c r="F72" s="23">
        <v>0</v>
      </c>
      <c r="G72" s="23">
        <v>0</v>
      </c>
      <c r="H72" s="23">
        <v>0</v>
      </c>
      <c r="I72" s="23">
        <v>0</v>
      </c>
      <c r="J72" s="23">
        <v>1</v>
      </c>
    </row>
    <row r="73" spans="2:10">
      <c r="D73" s="8" t="s">
        <v>7</v>
      </c>
      <c r="E73" s="18">
        <f t="shared" ref="E73:E84" si="23">SUM(F73:J73)</f>
        <v>1</v>
      </c>
      <c r="F73" s="16">
        <v>0</v>
      </c>
      <c r="G73" s="16">
        <v>0</v>
      </c>
      <c r="H73" s="16">
        <v>1</v>
      </c>
      <c r="I73" s="16">
        <v>0</v>
      </c>
      <c r="J73" s="16">
        <v>0</v>
      </c>
    </row>
    <row r="74" spans="2:10">
      <c r="D74" s="8" t="s">
        <v>8</v>
      </c>
      <c r="E74" s="18">
        <f t="shared" si="23"/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</row>
    <row r="75" spans="2:10">
      <c r="D75" s="8" t="s">
        <v>28</v>
      </c>
      <c r="E75" s="18">
        <f t="shared" si="23"/>
        <v>1</v>
      </c>
      <c r="F75" s="16">
        <v>0.3</v>
      </c>
      <c r="G75" s="16">
        <v>0.1</v>
      </c>
      <c r="H75" s="16">
        <v>0.6</v>
      </c>
      <c r="I75" s="16">
        <v>0</v>
      </c>
      <c r="J75" s="16">
        <v>0</v>
      </c>
    </row>
    <row r="76" spans="2:10">
      <c r="D76" s="8" t="s">
        <v>38</v>
      </c>
      <c r="E76" s="18">
        <f t="shared" si="23"/>
        <v>1</v>
      </c>
      <c r="F76" s="16">
        <f>'GROSS PLANT'!$E$42</f>
        <v>0.44726448202864683</v>
      </c>
      <c r="G76" s="16">
        <f>'GROSS PLANT'!$F$42</f>
        <v>0.26769933588391837</v>
      </c>
      <c r="H76" s="16">
        <f>'GROSS PLANT'!$G$42</f>
        <v>0.27741768892117574</v>
      </c>
      <c r="I76" s="16">
        <f>'GROSS PLANT'!$H$42</f>
        <v>7.6184931662590443E-3</v>
      </c>
      <c r="J76" s="16">
        <f>'GROSS PLANT'!$I$42</f>
        <v>0</v>
      </c>
    </row>
    <row r="77" spans="2:10">
      <c r="D77" s="8" t="s">
        <v>318</v>
      </c>
      <c r="E77" s="18">
        <f t="shared" si="23"/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</row>
    <row r="78" spans="2:10">
      <c r="D78" s="8" t="s">
        <v>54</v>
      </c>
      <c r="E78" s="18">
        <f t="shared" si="23"/>
        <v>1</v>
      </c>
      <c r="F78" s="16">
        <f>'FORM 1'!$C$25</f>
        <v>0.42836100153567491</v>
      </c>
      <c r="G78" s="16">
        <f>'FORM 1'!$D$25</f>
        <v>9.5362892375417618E-2</v>
      </c>
      <c r="H78" s="16">
        <f>'FORM 1'!$E$25</f>
        <v>0.36138829440728865</v>
      </c>
      <c r="I78" s="16">
        <f>'FORM 1'!$F$25</f>
        <v>0.11488781168161885</v>
      </c>
      <c r="J78" s="16">
        <f>'FORM 1'!$G$25</f>
        <v>0</v>
      </c>
    </row>
    <row r="79" spans="2:10">
      <c r="D79" s="8" t="s">
        <v>72</v>
      </c>
      <c r="E79" s="18">
        <f t="shared" si="23"/>
        <v>1</v>
      </c>
      <c r="F79" s="18">
        <f>'FORM 1'!$C$13</f>
        <v>1</v>
      </c>
      <c r="G79" s="18">
        <f>'FORM 1'!$D$13</f>
        <v>0</v>
      </c>
      <c r="H79" s="18">
        <f>'FORM 1'!$E$13</f>
        <v>0</v>
      </c>
      <c r="I79" s="18">
        <f>'FORM 1'!$F$13</f>
        <v>0</v>
      </c>
      <c r="J79" s="18">
        <f>'FORM 1'!$G$13</f>
        <v>0</v>
      </c>
    </row>
    <row r="80" spans="2:10">
      <c r="D80" s="8" t="s">
        <v>118</v>
      </c>
      <c r="E80" s="18">
        <f>SUM(F80:J80)</f>
        <v>1</v>
      </c>
      <c r="F80" s="18">
        <f>'FORM 1'!$C$17</f>
        <v>0.62978967201258707</v>
      </c>
      <c r="G80" s="18">
        <f>'FORM 1'!$D$17</f>
        <v>0.37021032798741293</v>
      </c>
      <c r="H80" s="18">
        <f>'FORM 1'!$E$17</f>
        <v>0</v>
      </c>
      <c r="I80" s="18">
        <f>'FORM 1'!$F$17</f>
        <v>0</v>
      </c>
      <c r="J80" s="18">
        <f>'FORM 1'!$G$17</f>
        <v>0</v>
      </c>
    </row>
    <row r="81" spans="4:10">
      <c r="D81" s="8" t="s">
        <v>120</v>
      </c>
      <c r="E81" s="18">
        <f t="shared" si="23"/>
        <v>1</v>
      </c>
      <c r="F81" s="18">
        <f>'FORM 1'!$C$16</f>
        <v>0.45551317560409821</v>
      </c>
      <c r="G81" s="18">
        <f>'FORM 1'!$D$16</f>
        <v>0.26776508037053176</v>
      </c>
      <c r="H81" s="18">
        <f>'FORM 1'!$E$16</f>
        <v>0.27672174402536998</v>
      </c>
      <c r="I81" s="18">
        <f>'FORM 1'!$F$16</f>
        <v>0</v>
      </c>
      <c r="J81" s="18">
        <f>'FORM 1'!$G$16</f>
        <v>0</v>
      </c>
    </row>
    <row r="82" spans="4:10">
      <c r="D82" s="8" t="s">
        <v>113</v>
      </c>
      <c r="E82" s="18">
        <f t="shared" si="23"/>
        <v>1</v>
      </c>
      <c r="F82" s="18">
        <f>'FORM 1'!$C$14</f>
        <v>0</v>
      </c>
      <c r="G82" s="18">
        <f>'FORM 1'!$D$14</f>
        <v>1</v>
      </c>
      <c r="H82" s="18">
        <f>'FORM 1'!$E$14</f>
        <v>0</v>
      </c>
      <c r="I82" s="18">
        <f>'FORM 1'!$F$14</f>
        <v>0</v>
      </c>
      <c r="J82" s="18">
        <f>'FORM 1'!$G$14</f>
        <v>0</v>
      </c>
    </row>
    <row r="83" spans="4:10">
      <c r="D83" s="8" t="s">
        <v>278</v>
      </c>
      <c r="E83" s="18">
        <f t="shared" si="23"/>
        <v>1</v>
      </c>
      <c r="F83" s="16">
        <f>'TAX DEPR'!C24</f>
        <v>0.57320430018569057</v>
      </c>
      <c r="G83" s="16">
        <f>'TAX DEPR'!D24</f>
        <v>0.21667814267562913</v>
      </c>
      <c r="H83" s="16">
        <f>'TAX DEPR'!E24</f>
        <v>0.19959525974412431</v>
      </c>
      <c r="I83" s="16">
        <f>'TAX DEPR'!F24</f>
        <v>1.0522297394556105E-2</v>
      </c>
      <c r="J83" s="16">
        <f>'TAX DEPR'!G24</f>
        <v>0</v>
      </c>
    </row>
    <row r="84" spans="4:10">
      <c r="D84" s="8" t="s">
        <v>116</v>
      </c>
      <c r="E84" s="18">
        <f t="shared" si="23"/>
        <v>1</v>
      </c>
      <c r="F84" s="18">
        <f>'FORM 1'!$C$18</f>
        <v>0</v>
      </c>
      <c r="G84" s="18">
        <f>'FORM 1'!$D$18</f>
        <v>0.49177513279152762</v>
      </c>
      <c r="H84" s="18">
        <f>'FORM 1'!$E$18</f>
        <v>0.50822486720847238</v>
      </c>
      <c r="I84" s="18">
        <f>'FORM 1'!$F$18</f>
        <v>0</v>
      </c>
      <c r="J84" s="18">
        <f>'FORM 1'!$G$18</f>
        <v>0</v>
      </c>
    </row>
    <row r="85" spans="4:10">
      <c r="F85" s="18"/>
    </row>
    <row r="86" spans="4:10">
      <c r="E86" s="12"/>
      <c r="G86" s="31"/>
      <c r="H86" s="42"/>
      <c r="I86" s="42"/>
    </row>
    <row r="87" spans="4:10">
      <c r="E87" s="12"/>
      <c r="G87" s="31"/>
      <c r="I87" s="42"/>
    </row>
    <row r="88" spans="4:10">
      <c r="E88" s="12"/>
      <c r="G88" s="85"/>
      <c r="I88" s="42"/>
    </row>
    <row r="89" spans="4:10">
      <c r="E89" s="12"/>
      <c r="G89" s="85"/>
    </row>
    <row r="90" spans="4:10">
      <c r="E90" s="12"/>
      <c r="G90" s="85"/>
    </row>
    <row r="91" spans="4:10">
      <c r="E91" s="12"/>
      <c r="G91" s="85"/>
    </row>
    <row r="92" spans="4:10">
      <c r="E92" s="12"/>
      <c r="F92" s="31"/>
      <c r="H92" s="42"/>
    </row>
    <row r="93" spans="4:10">
      <c r="E93" s="12"/>
      <c r="F93" s="31"/>
      <c r="H93" s="42"/>
    </row>
    <row r="94" spans="4:10">
      <c r="E94" s="12"/>
      <c r="F94" s="31"/>
      <c r="H94" s="42"/>
    </row>
    <row r="95" spans="4:10">
      <c r="E95" s="12"/>
      <c r="F95" s="31"/>
      <c r="H95" s="42"/>
    </row>
    <row r="96" spans="4:10">
      <c r="E96" s="12"/>
      <c r="F96" s="31"/>
      <c r="H96" s="42"/>
    </row>
    <row r="97" spans="5:8">
      <c r="E97" s="12"/>
      <c r="F97" s="31"/>
      <c r="H97" s="42"/>
    </row>
    <row r="98" spans="5:8">
      <c r="E98" s="12"/>
      <c r="F98" s="31"/>
      <c r="H98" s="42"/>
    </row>
    <row r="99" spans="5:8">
      <c r="E99" s="12"/>
      <c r="F99" s="31"/>
      <c r="H99" s="42"/>
    </row>
  </sheetData>
  <printOptions horizontalCentered="1"/>
  <pageMargins left="0.12" right="0.16" top="0.25" bottom="0.71" header="0.24" footer="0.34"/>
  <pageSetup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4525-E86E-43B5-A481-19CA788725F2}">
  <dimension ref="A1:I90"/>
  <sheetViews>
    <sheetView view="pageBreakPreview" zoomScale="85" zoomScaleNormal="90" zoomScaleSheetLayoutView="85" workbookViewId="0"/>
  </sheetViews>
  <sheetFormatPr defaultRowHeight="12.75"/>
  <cols>
    <col min="1" max="1" width="32.42578125" style="8" bestFit="1" customWidth="1"/>
    <col min="2" max="2" width="16.140625" style="8" bestFit="1" customWidth="1"/>
    <col min="3" max="3" width="16.140625" style="8" customWidth="1"/>
    <col min="4" max="4" width="15" style="8" bestFit="1" customWidth="1"/>
    <col min="5" max="6" width="14.28515625" style="8" bestFit="1" customWidth="1"/>
    <col min="7" max="7" width="11.140625" style="8" bestFit="1" customWidth="1"/>
    <col min="8" max="8" width="13" style="8" bestFit="1" customWidth="1"/>
  </cols>
  <sheetData>
    <row r="1" spans="1:8">
      <c r="A1" s="55" t="str">
        <f>+'TOTAL FUNCFAC'!A1</f>
        <v>PacifiCorp</v>
      </c>
      <c r="B1" s="2"/>
      <c r="C1" s="2"/>
      <c r="D1" s="2"/>
      <c r="E1" s="2"/>
      <c r="F1" s="2"/>
    </row>
    <row r="2" spans="1:8">
      <c r="A2" s="55" t="str">
        <f>+'TOTAL FUNCFAC'!A2</f>
        <v>12 Months Ended December 2022</v>
      </c>
      <c r="B2" s="2"/>
      <c r="C2" s="2"/>
      <c r="D2" s="2"/>
      <c r="E2" s="2"/>
      <c r="F2" s="2"/>
    </row>
    <row r="3" spans="1:8">
      <c r="A3" s="55" t="s">
        <v>319</v>
      </c>
      <c r="B3" s="2"/>
      <c r="C3" s="2"/>
      <c r="D3" s="2"/>
      <c r="E3" s="2"/>
      <c r="F3" s="2"/>
    </row>
    <row r="4" spans="1:8">
      <c r="A4" s="26"/>
      <c r="B4" s="2"/>
      <c r="C4" s="2"/>
      <c r="D4" s="2"/>
      <c r="E4" s="2"/>
      <c r="F4" s="2"/>
    </row>
    <row r="5" spans="1:8">
      <c r="A5" s="26"/>
      <c r="B5" s="2"/>
      <c r="C5" s="2"/>
      <c r="D5" s="2"/>
      <c r="E5" s="2"/>
      <c r="F5" s="2"/>
    </row>
    <row r="6" spans="1:8">
      <c r="C6" s="11"/>
      <c r="D6" s="11"/>
      <c r="E6" s="11"/>
      <c r="F6" s="11"/>
    </row>
    <row r="7" spans="1:8">
      <c r="A7" s="11" t="s">
        <v>320</v>
      </c>
    </row>
    <row r="8" spans="1:8">
      <c r="A8" s="9" t="s">
        <v>321</v>
      </c>
      <c r="B8" s="9"/>
      <c r="C8" s="10" t="s">
        <v>10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</row>
    <row r="9" spans="1:8">
      <c r="A9" s="8" t="s">
        <v>322</v>
      </c>
    </row>
    <row r="10" spans="1:8">
      <c r="A10" s="86" t="s">
        <v>323</v>
      </c>
      <c r="B10" s="8" t="s">
        <v>72</v>
      </c>
      <c r="C10" s="45">
        <v>-91.27</v>
      </c>
      <c r="D10" s="12">
        <f>VLOOKUP($B10,$B$77:$H$90,3,FALSE)*$C10</f>
        <v>-91.27</v>
      </c>
      <c r="E10" s="12">
        <f>VLOOKUP($B10,$B$77:$H$90,4,FALSE)*$C10</f>
        <v>0</v>
      </c>
      <c r="F10" s="12">
        <f>VLOOKUP($B10,$B$77:$H$90,5,FALSE)*$C10</f>
        <v>0</v>
      </c>
      <c r="G10" s="12">
        <f>VLOOKUP($B10,$B$77:$H$90,6,FALSE)*$C10</f>
        <v>0</v>
      </c>
      <c r="H10" s="12">
        <f>VLOOKUP($B10,$B$77:$H$90,7,FALSE)*$C10</f>
        <v>0</v>
      </c>
    </row>
    <row r="11" spans="1:8">
      <c r="A11" s="86" t="s">
        <v>324</v>
      </c>
      <c r="B11" s="8" t="s">
        <v>7</v>
      </c>
      <c r="C11" s="45">
        <v>288838378.24000001</v>
      </c>
      <c r="D11" s="12">
        <f t="shared" ref="D11:D12" si="0">VLOOKUP($B11,$B$77:$H$90,3,FALSE)*$C11</f>
        <v>0</v>
      </c>
      <c r="E11" s="12">
        <f t="shared" ref="E11:E12" si="1">VLOOKUP($B11,$B$77:$H$90,4,FALSE)*$C11</f>
        <v>0</v>
      </c>
      <c r="F11" s="12">
        <f t="shared" ref="F11:F12" si="2">VLOOKUP($B11,$B$77:$H$90,5,FALSE)*$C11</f>
        <v>288838378.24000001</v>
      </c>
      <c r="G11" s="12">
        <f t="shared" ref="G11:G12" si="3">VLOOKUP($B11,$B$77:$H$90,6,FALSE)*$C11</f>
        <v>0</v>
      </c>
      <c r="H11" s="12">
        <f t="shared" ref="H11:H12" si="4">VLOOKUP($B11,$B$77:$H$90,7,FALSE)*$C11</f>
        <v>0</v>
      </c>
    </row>
    <row r="12" spans="1:8">
      <c r="A12" s="86" t="s">
        <v>325</v>
      </c>
      <c r="B12" s="8" t="s">
        <v>32</v>
      </c>
      <c r="C12" s="45">
        <v>4656909.34</v>
      </c>
      <c r="D12" s="12">
        <f t="shared" si="0"/>
        <v>932036.52644505037</v>
      </c>
      <c r="E12" s="12">
        <f t="shared" si="1"/>
        <v>1639167.7118077155</v>
      </c>
      <c r="F12" s="12">
        <f t="shared" si="2"/>
        <v>2029247.4196096901</v>
      </c>
      <c r="G12" s="12">
        <f t="shared" si="3"/>
        <v>56457.682137543619</v>
      </c>
      <c r="H12" s="12">
        <f t="shared" si="4"/>
        <v>0</v>
      </c>
    </row>
    <row r="13" spans="1:8">
      <c r="A13" s="86" t="s">
        <v>326</v>
      </c>
      <c r="C13" s="45"/>
      <c r="D13" s="12"/>
      <c r="E13" s="12"/>
      <c r="F13" s="12"/>
      <c r="G13" s="12"/>
      <c r="H13" s="12"/>
    </row>
    <row r="14" spans="1:8">
      <c r="A14" s="86" t="s">
        <v>327</v>
      </c>
      <c r="B14" s="8" t="s">
        <v>72</v>
      </c>
      <c r="C14" s="45">
        <v>-116344867.22</v>
      </c>
      <c r="D14" s="12">
        <f t="shared" ref="D14:D24" si="5">VLOOKUP($B14,$B$77:$H$90,3,FALSE)*$C14</f>
        <v>-116344867.22</v>
      </c>
      <c r="E14" s="12">
        <f t="shared" ref="E14:E24" si="6">VLOOKUP($B14,$B$77:$H$90,4,FALSE)*$C14</f>
        <v>0</v>
      </c>
      <c r="F14" s="12">
        <f t="shared" ref="F14:F24" si="7">VLOOKUP($B14,$B$77:$H$90,5,FALSE)*$C14</f>
        <v>0</v>
      </c>
      <c r="G14" s="12">
        <f t="shared" ref="G14:G24" si="8">VLOOKUP($B14,$B$77:$H$90,6,FALSE)*$C14</f>
        <v>0</v>
      </c>
      <c r="H14" s="12">
        <f t="shared" ref="H14:H24" si="9">VLOOKUP($B14,$B$77:$H$90,7,FALSE)*$C14</f>
        <v>0</v>
      </c>
    </row>
    <row r="15" spans="1:8">
      <c r="A15" s="86" t="s">
        <v>328</v>
      </c>
      <c r="B15" s="8" t="s">
        <v>72</v>
      </c>
      <c r="C15" s="45">
        <v>662855.84</v>
      </c>
      <c r="D15" s="12">
        <f t="shared" si="5"/>
        <v>662855.84</v>
      </c>
      <c r="E15" s="12">
        <f t="shared" si="6"/>
        <v>0</v>
      </c>
      <c r="F15" s="12">
        <f t="shared" si="7"/>
        <v>0</v>
      </c>
      <c r="G15" s="12">
        <f t="shared" si="8"/>
        <v>0</v>
      </c>
      <c r="H15" s="12">
        <f t="shared" si="9"/>
        <v>0</v>
      </c>
    </row>
    <row r="16" spans="1:8">
      <c r="A16" s="86" t="s">
        <v>329</v>
      </c>
      <c r="B16" s="8" t="s">
        <v>72</v>
      </c>
      <c r="C16" s="45">
        <v>281636.03999999998</v>
      </c>
      <c r="D16" s="12">
        <f t="shared" si="5"/>
        <v>281636.03999999998</v>
      </c>
      <c r="E16" s="12">
        <f t="shared" si="6"/>
        <v>0</v>
      </c>
      <c r="F16" s="12">
        <f t="shared" si="7"/>
        <v>0</v>
      </c>
      <c r="G16" s="12">
        <f t="shared" si="8"/>
        <v>0</v>
      </c>
      <c r="H16" s="12">
        <f t="shared" si="9"/>
        <v>0</v>
      </c>
    </row>
    <row r="17" spans="1:8">
      <c r="A17" s="86" t="s">
        <v>330</v>
      </c>
      <c r="B17" s="8" t="s">
        <v>113</v>
      </c>
      <c r="C17" s="45">
        <v>0</v>
      </c>
      <c r="D17" s="12">
        <f t="shared" si="5"/>
        <v>0</v>
      </c>
      <c r="E17" s="12">
        <f t="shared" si="6"/>
        <v>0</v>
      </c>
      <c r="F17" s="12">
        <f t="shared" si="7"/>
        <v>0</v>
      </c>
      <c r="G17" s="12">
        <f t="shared" si="8"/>
        <v>0</v>
      </c>
      <c r="H17" s="12">
        <f t="shared" si="9"/>
        <v>0</v>
      </c>
    </row>
    <row r="18" spans="1:8">
      <c r="A18" s="86" t="s">
        <v>331</v>
      </c>
      <c r="B18" s="8" t="s">
        <v>113</v>
      </c>
      <c r="C18" s="45">
        <v>-5374.43</v>
      </c>
      <c r="D18" s="12">
        <f t="shared" si="5"/>
        <v>0</v>
      </c>
      <c r="E18" s="12">
        <f t="shared" si="6"/>
        <v>-5374.43</v>
      </c>
      <c r="F18" s="12">
        <f t="shared" si="7"/>
        <v>0</v>
      </c>
      <c r="G18" s="12">
        <f t="shared" si="8"/>
        <v>0</v>
      </c>
      <c r="H18" s="12">
        <f t="shared" si="9"/>
        <v>0</v>
      </c>
    </row>
    <row r="19" spans="1:8">
      <c r="A19" s="86" t="s">
        <v>332</v>
      </c>
      <c r="B19" s="8" t="s">
        <v>72</v>
      </c>
      <c r="C19" s="45">
        <v>-51702340.200000003</v>
      </c>
      <c r="D19" s="12">
        <f t="shared" si="5"/>
        <v>-51702340.200000003</v>
      </c>
      <c r="E19" s="12">
        <f t="shared" si="6"/>
        <v>0</v>
      </c>
      <c r="F19" s="12">
        <f t="shared" si="7"/>
        <v>0</v>
      </c>
      <c r="G19" s="12">
        <f t="shared" si="8"/>
        <v>0</v>
      </c>
      <c r="H19" s="12">
        <f t="shared" si="9"/>
        <v>0</v>
      </c>
    </row>
    <row r="20" spans="1:8">
      <c r="A20" s="86" t="s">
        <v>333</v>
      </c>
      <c r="B20" s="8" t="s">
        <v>72</v>
      </c>
      <c r="C20" s="45">
        <v>-4767.76</v>
      </c>
      <c r="D20" s="12">
        <f t="shared" si="5"/>
        <v>-4767.76</v>
      </c>
      <c r="E20" s="12">
        <f t="shared" si="6"/>
        <v>0</v>
      </c>
      <c r="F20" s="12">
        <f t="shared" si="7"/>
        <v>0</v>
      </c>
      <c r="G20" s="12">
        <f t="shared" si="8"/>
        <v>0</v>
      </c>
      <c r="H20" s="12">
        <f t="shared" si="9"/>
        <v>0</v>
      </c>
    </row>
    <row r="21" spans="1:8">
      <c r="A21" s="86" t="s">
        <v>334</v>
      </c>
      <c r="B21" s="8" t="s">
        <v>118</v>
      </c>
      <c r="C21" s="45">
        <v>-309124.23</v>
      </c>
      <c r="D21" s="12">
        <f t="shared" si="5"/>
        <v>-194683.2474228435</v>
      </c>
      <c r="E21" s="12">
        <f t="shared" si="6"/>
        <v>-114440.98257715646</v>
      </c>
      <c r="F21" s="12">
        <f t="shared" si="7"/>
        <v>0</v>
      </c>
      <c r="G21" s="12">
        <f t="shared" si="8"/>
        <v>0</v>
      </c>
      <c r="H21" s="12">
        <f t="shared" si="9"/>
        <v>0</v>
      </c>
    </row>
    <row r="22" spans="1:8">
      <c r="A22" s="86" t="s">
        <v>335</v>
      </c>
      <c r="B22" s="8" t="s">
        <v>118</v>
      </c>
      <c r="C22" s="45">
        <v>118171.97</v>
      </c>
      <c r="D22" s="12">
        <f t="shared" si="5"/>
        <v>74423.486227381276</v>
      </c>
      <c r="E22" s="12">
        <f t="shared" si="6"/>
        <v>43748.483772618725</v>
      </c>
      <c r="F22" s="12">
        <f t="shared" si="7"/>
        <v>0</v>
      </c>
      <c r="G22" s="12">
        <f t="shared" si="8"/>
        <v>0</v>
      </c>
      <c r="H22" s="12">
        <f t="shared" si="9"/>
        <v>0</v>
      </c>
    </row>
    <row r="23" spans="1:8">
      <c r="A23" s="86" t="s">
        <v>336</v>
      </c>
      <c r="B23" s="8" t="s">
        <v>32</v>
      </c>
      <c r="C23" s="45">
        <v>130960161.47</v>
      </c>
      <c r="D23" s="12">
        <f t="shared" si="5"/>
        <v>26210442.395939305</v>
      </c>
      <c r="E23" s="12">
        <f t="shared" si="6"/>
        <v>46096166.479107119</v>
      </c>
      <c r="F23" s="12">
        <f t="shared" si="7"/>
        <v>57065867.151853517</v>
      </c>
      <c r="G23" s="12">
        <f t="shared" si="8"/>
        <v>1587685.4431000468</v>
      </c>
      <c r="H23" s="12">
        <f t="shared" si="9"/>
        <v>0</v>
      </c>
    </row>
    <row r="24" spans="1:8">
      <c r="A24" s="86" t="s">
        <v>337</v>
      </c>
      <c r="B24" s="8" t="s">
        <v>72</v>
      </c>
      <c r="C24" s="45">
        <v>-318</v>
      </c>
      <c r="D24" s="12">
        <f t="shared" si="5"/>
        <v>-318</v>
      </c>
      <c r="E24" s="12">
        <f t="shared" si="6"/>
        <v>0</v>
      </c>
      <c r="F24" s="12">
        <f t="shared" si="7"/>
        <v>0</v>
      </c>
      <c r="G24" s="12">
        <f t="shared" si="8"/>
        <v>0</v>
      </c>
      <c r="H24" s="12">
        <f t="shared" si="9"/>
        <v>0</v>
      </c>
    </row>
    <row r="25" spans="1:8">
      <c r="C25" s="45"/>
      <c r="D25" s="12"/>
      <c r="E25" s="12"/>
      <c r="F25" s="12"/>
      <c r="G25" s="12"/>
      <c r="H25" s="12"/>
    </row>
    <row r="26" spans="1:8">
      <c r="A26" t="s">
        <v>338</v>
      </c>
      <c r="C26" s="45"/>
      <c r="D26" s="12"/>
      <c r="E26" s="12"/>
      <c r="F26" s="12"/>
      <c r="G26" s="12"/>
      <c r="H26" s="12"/>
    </row>
    <row r="27" spans="1:8">
      <c r="A27" t="s">
        <v>339</v>
      </c>
      <c r="C27" s="45"/>
      <c r="D27" s="12"/>
      <c r="E27" s="12"/>
      <c r="F27" s="12"/>
      <c r="G27" s="12"/>
      <c r="H27" s="12"/>
    </row>
    <row r="28" spans="1:8">
      <c r="A28" s="86" t="s">
        <v>340</v>
      </c>
      <c r="B28" s="8" t="s">
        <v>32</v>
      </c>
      <c r="C28" s="45">
        <v>1910638.48</v>
      </c>
      <c r="D28" s="12">
        <f t="shared" ref="D28:D35" si="10">VLOOKUP($B28,$B$77:$H$90,3,FALSE)*$C28</f>
        <v>382396.2895080648</v>
      </c>
      <c r="E28" s="12">
        <f t="shared" ref="E28:E35" si="11">VLOOKUP($B28,$B$77:$H$90,4,FALSE)*$C28</f>
        <v>672518.33280339779</v>
      </c>
      <c r="F28" s="12">
        <f t="shared" ref="F28:F35" si="12">VLOOKUP($B28,$B$77:$H$90,5,FALSE)*$C28</f>
        <v>832560.37905753613</v>
      </c>
      <c r="G28" s="12">
        <f t="shared" ref="G28:G35" si="13">VLOOKUP($B28,$B$77:$H$90,6,FALSE)*$C28</f>
        <v>23163.478631001111</v>
      </c>
      <c r="H28" s="12">
        <f t="shared" ref="H28:H35" si="14">VLOOKUP($B28,$B$77:$H$90,7,FALSE)*$C28</f>
        <v>0</v>
      </c>
    </row>
    <row r="29" spans="1:8">
      <c r="A29" s="86" t="s">
        <v>341</v>
      </c>
      <c r="B29" s="8" t="s">
        <v>118</v>
      </c>
      <c r="C29" s="45">
        <v>625301953.92999995</v>
      </c>
      <c r="D29" s="12">
        <f t="shared" si="10"/>
        <v>393808712.47440451</v>
      </c>
      <c r="E29" s="12">
        <f t="shared" si="11"/>
        <v>231493241.45559546</v>
      </c>
      <c r="F29" s="12">
        <f t="shared" si="12"/>
        <v>0</v>
      </c>
      <c r="G29" s="12">
        <f t="shared" si="13"/>
        <v>0</v>
      </c>
      <c r="H29" s="12">
        <f t="shared" si="14"/>
        <v>0</v>
      </c>
    </row>
    <row r="30" spans="1:8">
      <c r="A30" s="86" t="s">
        <v>342</v>
      </c>
      <c r="B30" s="8" t="s">
        <v>118</v>
      </c>
      <c r="C30" s="45">
        <v>213889513.11000001</v>
      </c>
      <c r="D30" s="12">
        <f t="shared" si="10"/>
        <v>134705406.30847886</v>
      </c>
      <c r="E30" s="12">
        <f t="shared" si="11"/>
        <v>79184106.801521167</v>
      </c>
      <c r="F30" s="12">
        <f t="shared" si="12"/>
        <v>0</v>
      </c>
      <c r="G30" s="12">
        <f t="shared" si="13"/>
        <v>0</v>
      </c>
      <c r="H30" s="12">
        <f t="shared" si="14"/>
        <v>0</v>
      </c>
    </row>
    <row r="31" spans="1:8">
      <c r="A31" s="86" t="s">
        <v>343</v>
      </c>
      <c r="B31" s="8" t="s">
        <v>72</v>
      </c>
      <c r="C31" s="45">
        <v>1983.73</v>
      </c>
      <c r="D31" s="12">
        <f t="shared" si="10"/>
        <v>1983.73</v>
      </c>
      <c r="E31" s="12">
        <f t="shared" si="11"/>
        <v>0</v>
      </c>
      <c r="F31" s="12">
        <f t="shared" si="12"/>
        <v>0</v>
      </c>
      <c r="G31" s="12">
        <f t="shared" si="13"/>
        <v>0</v>
      </c>
      <c r="H31" s="12">
        <f t="shared" si="14"/>
        <v>0</v>
      </c>
    </row>
    <row r="32" spans="1:8">
      <c r="A32" s="86" t="s">
        <v>344</v>
      </c>
      <c r="B32" s="8" t="s">
        <v>7</v>
      </c>
      <c r="C32" s="45">
        <v>377772073.26999998</v>
      </c>
      <c r="D32" s="12">
        <f t="shared" si="10"/>
        <v>0</v>
      </c>
      <c r="E32" s="12">
        <f t="shared" si="11"/>
        <v>0</v>
      </c>
      <c r="F32" s="12">
        <f t="shared" si="12"/>
        <v>377772073.26999998</v>
      </c>
      <c r="G32" s="12">
        <f t="shared" si="13"/>
        <v>0</v>
      </c>
      <c r="H32" s="12">
        <f t="shared" si="14"/>
        <v>0</v>
      </c>
    </row>
    <row r="33" spans="1:9">
      <c r="A33" s="86" t="s">
        <v>345</v>
      </c>
      <c r="B33" s="8" t="s">
        <v>32</v>
      </c>
      <c r="C33" s="45">
        <v>12438769.189999999</v>
      </c>
      <c r="D33" s="12">
        <f t="shared" si="10"/>
        <v>2489502.4538097004</v>
      </c>
      <c r="E33" s="12">
        <f t="shared" si="11"/>
        <v>4378274.8046532962</v>
      </c>
      <c r="F33" s="12">
        <f t="shared" si="12"/>
        <v>5420191.4701496018</v>
      </c>
      <c r="G33" s="12">
        <f t="shared" si="13"/>
        <v>150800.46138739967</v>
      </c>
      <c r="H33" s="12">
        <f t="shared" si="14"/>
        <v>0</v>
      </c>
    </row>
    <row r="34" spans="1:9">
      <c r="A34" s="86" t="s">
        <v>346</v>
      </c>
      <c r="B34" s="8" t="s">
        <v>72</v>
      </c>
      <c r="C34" s="45">
        <v>11133.61</v>
      </c>
      <c r="D34" s="12">
        <f t="shared" si="10"/>
        <v>11133.61</v>
      </c>
      <c r="E34" s="12">
        <f t="shared" si="11"/>
        <v>0</v>
      </c>
      <c r="F34" s="12">
        <f t="shared" si="12"/>
        <v>0</v>
      </c>
      <c r="G34" s="12">
        <f t="shared" si="13"/>
        <v>0</v>
      </c>
      <c r="H34" s="12">
        <f t="shared" si="14"/>
        <v>0</v>
      </c>
      <c r="I34" t="s">
        <v>347</v>
      </c>
    </row>
    <row r="35" spans="1:9">
      <c r="A35" s="86" t="s">
        <v>348</v>
      </c>
      <c r="B35" s="8" t="s">
        <v>72</v>
      </c>
      <c r="C35" s="45">
        <v>4830.78</v>
      </c>
      <c r="D35" s="12">
        <f t="shared" si="10"/>
        <v>4830.78</v>
      </c>
      <c r="E35" s="12">
        <f t="shared" si="11"/>
        <v>0</v>
      </c>
      <c r="F35" s="12">
        <f t="shared" si="12"/>
        <v>0</v>
      </c>
      <c r="G35" s="12">
        <f t="shared" si="13"/>
        <v>0</v>
      </c>
      <c r="H35" s="12">
        <f t="shared" si="14"/>
        <v>0</v>
      </c>
    </row>
    <row r="36" spans="1:9">
      <c r="A36" s="86" t="s">
        <v>349</v>
      </c>
      <c r="C36" s="45"/>
      <c r="D36" s="12"/>
      <c r="E36" s="12"/>
      <c r="F36" s="12"/>
      <c r="G36" s="12"/>
      <c r="H36" s="12"/>
    </row>
    <row r="37" spans="1:9">
      <c r="A37" s="86" t="s">
        <v>350</v>
      </c>
      <c r="B37" s="8" t="s">
        <v>32</v>
      </c>
      <c r="C37" s="45">
        <v>-9241171.5299999993</v>
      </c>
      <c r="D37" s="12">
        <f t="shared" ref="D37" si="15">VLOOKUP($B37,$B$77:$H$90,3,FALSE)*$C37</f>
        <v>-1849533.4103077238</v>
      </c>
      <c r="E37" s="12">
        <f t="shared" ref="E37" si="16">VLOOKUP($B37,$B$77:$H$90,4,FALSE)*$C37</f>
        <v>-3252764.6310702506</v>
      </c>
      <c r="F37" s="12">
        <f t="shared" ref="F37" si="17">VLOOKUP($B37,$B$77:$H$90,5,FALSE)*$C37</f>
        <v>-4026838.8564813742</v>
      </c>
      <c r="G37" s="12">
        <f t="shared" ref="G37" si="18">VLOOKUP($B37,$B$77:$H$90,6,FALSE)*$C37</f>
        <v>-112034.63214065009</v>
      </c>
      <c r="H37" s="12">
        <f t="shared" ref="H37" si="19">VLOOKUP($B37,$B$77:$H$90,7,FALSE)*$C37</f>
        <v>0</v>
      </c>
    </row>
    <row r="38" spans="1:9">
      <c r="A38" s="86" t="s">
        <v>326</v>
      </c>
      <c r="C38" s="45"/>
      <c r="D38" s="12"/>
      <c r="E38" s="12"/>
      <c r="F38" s="12"/>
      <c r="G38" s="12"/>
      <c r="H38" s="12"/>
    </row>
    <row r="39" spans="1:9">
      <c r="A39" s="86" t="s">
        <v>351</v>
      </c>
      <c r="B39" s="8" t="s">
        <v>72</v>
      </c>
      <c r="C39" s="45">
        <v>4353378.7699999996</v>
      </c>
      <c r="D39" s="12">
        <f t="shared" ref="D39:D43" si="20">VLOOKUP($B39,$B$77:$H$90,3,FALSE)*$C39</f>
        <v>4353378.7699999996</v>
      </c>
      <c r="E39" s="12">
        <f t="shared" ref="E39:E43" si="21">VLOOKUP($B39,$B$77:$H$90,4,FALSE)*$C39</f>
        <v>0</v>
      </c>
      <c r="F39" s="12">
        <f t="shared" ref="F39:F43" si="22">VLOOKUP($B39,$B$77:$H$90,5,FALSE)*$C39</f>
        <v>0</v>
      </c>
      <c r="G39" s="12">
        <f t="shared" ref="G39:G43" si="23">VLOOKUP($B39,$B$77:$H$90,6,FALSE)*$C39</f>
        <v>0</v>
      </c>
      <c r="H39" s="12">
        <f t="shared" ref="H39:H43" si="24">VLOOKUP($B39,$B$77:$H$90,7,FALSE)*$C39</f>
        <v>0</v>
      </c>
    </row>
    <row r="40" spans="1:9">
      <c r="A40" s="86" t="s">
        <v>352</v>
      </c>
      <c r="B40" s="8" t="s">
        <v>32</v>
      </c>
      <c r="C40" s="45">
        <v>0</v>
      </c>
      <c r="D40" s="12">
        <f t="shared" si="20"/>
        <v>0</v>
      </c>
      <c r="E40" s="12">
        <f t="shared" si="21"/>
        <v>0</v>
      </c>
      <c r="F40" s="12">
        <f t="shared" si="22"/>
        <v>0</v>
      </c>
      <c r="G40" s="12">
        <f t="shared" si="23"/>
        <v>0</v>
      </c>
      <c r="H40" s="12">
        <f t="shared" si="24"/>
        <v>0</v>
      </c>
    </row>
    <row r="41" spans="1:9">
      <c r="A41" s="86" t="s">
        <v>202</v>
      </c>
      <c r="B41" s="8" t="s">
        <v>118</v>
      </c>
      <c r="C41" s="45">
        <v>1480821860.6800001</v>
      </c>
      <c r="D41" s="12">
        <f t="shared" si="20"/>
        <v>932606313.94672608</v>
      </c>
      <c r="E41" s="12">
        <f t="shared" si="21"/>
        <v>548215546.73327398</v>
      </c>
      <c r="F41" s="12">
        <f t="shared" si="22"/>
        <v>0</v>
      </c>
      <c r="G41" s="12">
        <f t="shared" si="23"/>
        <v>0</v>
      </c>
      <c r="H41" s="12">
        <f t="shared" si="24"/>
        <v>0</v>
      </c>
    </row>
    <row r="42" spans="1:9">
      <c r="A42" s="86" t="s">
        <v>329</v>
      </c>
      <c r="B42" s="8" t="s">
        <v>72</v>
      </c>
      <c r="C42" s="45">
        <v>13007205.119999999</v>
      </c>
      <c r="D42" s="12">
        <f t="shared" si="20"/>
        <v>13007205.119999999</v>
      </c>
      <c r="E42" s="12">
        <f t="shared" si="21"/>
        <v>0</v>
      </c>
      <c r="F42" s="12">
        <f t="shared" si="22"/>
        <v>0</v>
      </c>
      <c r="G42" s="12">
        <f t="shared" si="23"/>
        <v>0</v>
      </c>
      <c r="H42" s="12">
        <f t="shared" si="24"/>
        <v>0</v>
      </c>
    </row>
    <row r="43" spans="1:9">
      <c r="A43" s="86" t="s">
        <v>330</v>
      </c>
      <c r="B43" s="8" t="s">
        <v>113</v>
      </c>
      <c r="C43" s="45">
        <v>-199022.1</v>
      </c>
      <c r="D43" s="12">
        <f t="shared" si="20"/>
        <v>0</v>
      </c>
      <c r="E43" s="12">
        <f t="shared" si="21"/>
        <v>-199022.1</v>
      </c>
      <c r="F43" s="12">
        <f t="shared" si="22"/>
        <v>0</v>
      </c>
      <c r="G43" s="12">
        <f t="shared" si="23"/>
        <v>0</v>
      </c>
      <c r="H43" s="12">
        <f t="shared" si="24"/>
        <v>0</v>
      </c>
    </row>
    <row r="44" spans="1:9">
      <c r="A44" s="86" t="s">
        <v>353</v>
      </c>
      <c r="C44" s="45"/>
      <c r="D44" s="12"/>
      <c r="E44" s="12"/>
      <c r="F44" s="12"/>
      <c r="G44" s="12"/>
      <c r="H44" s="12"/>
    </row>
    <row r="45" spans="1:9">
      <c r="A45" s="86" t="s">
        <v>354</v>
      </c>
      <c r="B45" s="8" t="s">
        <v>72</v>
      </c>
      <c r="C45" s="45">
        <v>-5068120.08</v>
      </c>
      <c r="D45" s="12">
        <f t="shared" ref="D45:D47" si="25">VLOOKUP($B45,$B$77:$H$90,3,FALSE)*$C45</f>
        <v>-5068120.08</v>
      </c>
      <c r="E45" s="12">
        <f t="shared" ref="E45:E47" si="26">VLOOKUP($B45,$B$77:$H$90,4,FALSE)*$C45</f>
        <v>0</v>
      </c>
      <c r="F45" s="12">
        <f t="shared" ref="F45:F47" si="27">VLOOKUP($B45,$B$77:$H$90,5,FALSE)*$C45</f>
        <v>0</v>
      </c>
      <c r="G45" s="12">
        <f t="shared" ref="G45:G47" si="28">VLOOKUP($B45,$B$77:$H$90,6,FALSE)*$C45</f>
        <v>0</v>
      </c>
      <c r="H45" s="12">
        <f t="shared" ref="H45:H47" si="29">VLOOKUP($B45,$B$77:$H$90,7,FALSE)*$C45</f>
        <v>0</v>
      </c>
    </row>
    <row r="46" spans="1:9">
      <c r="A46" s="86" t="s">
        <v>335</v>
      </c>
      <c r="B46" s="8" t="s">
        <v>118</v>
      </c>
      <c r="C46" s="45">
        <v>-0.4</v>
      </c>
      <c r="D46" s="12">
        <f t="shared" si="25"/>
        <v>-0.25191586880503486</v>
      </c>
      <c r="E46" s="12">
        <f t="shared" si="26"/>
        <v>-0.14808413119496519</v>
      </c>
      <c r="F46" s="12">
        <f t="shared" si="27"/>
        <v>0</v>
      </c>
      <c r="G46" s="12">
        <f t="shared" si="28"/>
        <v>0</v>
      </c>
      <c r="H46" s="12">
        <f t="shared" si="29"/>
        <v>0</v>
      </c>
    </row>
    <row r="47" spans="1:9">
      <c r="A47" s="86" t="s">
        <v>336</v>
      </c>
      <c r="B47" s="8" t="s">
        <v>118</v>
      </c>
      <c r="C47" s="45">
        <v>-41483.03</v>
      </c>
      <c r="D47" s="12">
        <f t="shared" si="25"/>
        <v>-26125.583857788308</v>
      </c>
      <c r="E47" s="12">
        <f t="shared" si="26"/>
        <v>-15357.446142211689</v>
      </c>
      <c r="F47" s="12">
        <f t="shared" si="27"/>
        <v>0</v>
      </c>
      <c r="G47" s="12">
        <f t="shared" si="28"/>
        <v>0</v>
      </c>
      <c r="H47" s="12">
        <f t="shared" si="29"/>
        <v>0</v>
      </c>
    </row>
    <row r="48" spans="1:9">
      <c r="A48" s="3" t="s">
        <v>355</v>
      </c>
      <c r="C48" s="45"/>
      <c r="D48" s="12"/>
      <c r="E48" s="12"/>
      <c r="F48" s="12"/>
      <c r="G48" s="12"/>
      <c r="H48" s="12"/>
    </row>
    <row r="49" spans="1:8">
      <c r="A49" s="3" t="s">
        <v>356</v>
      </c>
      <c r="C49" s="45"/>
      <c r="D49" s="12"/>
      <c r="E49" s="12"/>
      <c r="F49" s="12"/>
      <c r="G49" s="12"/>
      <c r="H49" s="12"/>
    </row>
    <row r="50" spans="1:8">
      <c r="A50" s="86" t="s">
        <v>357</v>
      </c>
      <c r="B50" s="8" t="s">
        <v>72</v>
      </c>
      <c r="C50" s="45">
        <v>-2270362.85</v>
      </c>
      <c r="D50" s="12">
        <f t="shared" ref="D50:D53" si="30">VLOOKUP($B50,$B$77:$H$90,3,FALSE)*$C50</f>
        <v>-2270362.85</v>
      </c>
      <c r="E50" s="12">
        <f t="shared" ref="E50:E53" si="31">VLOOKUP($B50,$B$77:$H$90,4,FALSE)*$C50</f>
        <v>0</v>
      </c>
      <c r="F50" s="12">
        <f t="shared" ref="F50:F53" si="32">VLOOKUP($B50,$B$77:$H$90,5,FALSE)*$C50</f>
        <v>0</v>
      </c>
      <c r="G50" s="12">
        <f t="shared" ref="G50:G53" si="33">VLOOKUP($B50,$B$77:$H$90,6,FALSE)*$C50</f>
        <v>0</v>
      </c>
      <c r="H50" s="12">
        <f t="shared" ref="H50:H53" si="34">VLOOKUP($B50,$B$77:$H$90,7,FALSE)*$C50</f>
        <v>0</v>
      </c>
    </row>
    <row r="51" spans="1:8">
      <c r="A51" s="86" t="s">
        <v>358</v>
      </c>
      <c r="B51" s="8" t="s">
        <v>72</v>
      </c>
      <c r="C51" s="45">
        <v>7049.79</v>
      </c>
      <c r="D51" s="12">
        <f t="shared" si="30"/>
        <v>7049.79</v>
      </c>
      <c r="E51" s="12">
        <f t="shared" si="31"/>
        <v>0</v>
      </c>
      <c r="F51" s="12">
        <f t="shared" si="32"/>
        <v>0</v>
      </c>
      <c r="G51" s="12">
        <f t="shared" si="33"/>
        <v>0</v>
      </c>
      <c r="H51" s="12">
        <f t="shared" si="34"/>
        <v>0</v>
      </c>
    </row>
    <row r="52" spans="1:8">
      <c r="A52" s="86" t="s">
        <v>359</v>
      </c>
      <c r="B52" s="8" t="s">
        <v>7</v>
      </c>
      <c r="C52" s="45">
        <v>705320.74</v>
      </c>
      <c r="D52" s="12">
        <f t="shared" si="30"/>
        <v>0</v>
      </c>
      <c r="E52" s="12">
        <f t="shared" si="31"/>
        <v>0</v>
      </c>
      <c r="F52" s="12">
        <f t="shared" si="32"/>
        <v>705320.74</v>
      </c>
      <c r="G52" s="12">
        <f t="shared" si="33"/>
        <v>0</v>
      </c>
      <c r="H52" s="12">
        <f t="shared" si="34"/>
        <v>0</v>
      </c>
    </row>
    <row r="53" spans="1:8">
      <c r="A53" s="86" t="s">
        <v>352</v>
      </c>
      <c r="B53" s="8" t="s">
        <v>32</v>
      </c>
      <c r="C53" s="45">
        <v>-1045479.63</v>
      </c>
      <c r="D53" s="12">
        <f t="shared" si="30"/>
        <v>-209242.89731057046</v>
      </c>
      <c r="E53" s="12">
        <f t="shared" si="31"/>
        <v>-367994.37732852175</v>
      </c>
      <c r="F53" s="12">
        <f t="shared" si="32"/>
        <v>-455567.56349308562</v>
      </c>
      <c r="G53" s="12">
        <f t="shared" si="33"/>
        <v>-12674.791867822085</v>
      </c>
      <c r="H53" s="12">
        <f t="shared" si="34"/>
        <v>0</v>
      </c>
    </row>
    <row r="54" spans="1:8">
      <c r="A54" s="86" t="s">
        <v>360</v>
      </c>
      <c r="C54" s="45"/>
      <c r="D54" s="12"/>
      <c r="E54" s="12"/>
      <c r="F54" s="12"/>
      <c r="G54" s="12"/>
      <c r="H54" s="12"/>
    </row>
    <row r="55" spans="1:8">
      <c r="A55" s="86" t="s">
        <v>361</v>
      </c>
      <c r="B55" s="8" t="s">
        <v>72</v>
      </c>
      <c r="C55" s="45">
        <v>405253.88</v>
      </c>
      <c r="D55" s="12">
        <f t="shared" ref="D55:D56" si="35">VLOOKUP($B55,$B$77:$H$90,3,FALSE)*$C55</f>
        <v>405253.88</v>
      </c>
      <c r="E55" s="12">
        <f t="shared" ref="E55:E56" si="36">VLOOKUP($B55,$B$77:$H$90,4,FALSE)*$C55</f>
        <v>0</v>
      </c>
      <c r="F55" s="12">
        <f t="shared" ref="F55:F56" si="37">VLOOKUP($B55,$B$77:$H$90,5,FALSE)*$C55</f>
        <v>0</v>
      </c>
      <c r="G55" s="12">
        <f t="shared" ref="G55:G56" si="38">VLOOKUP($B55,$B$77:$H$90,6,FALSE)*$C55</f>
        <v>0</v>
      </c>
      <c r="H55" s="12">
        <f t="shared" ref="H55:H56" si="39">VLOOKUP($B55,$B$77:$H$90,7,FALSE)*$C55</f>
        <v>0</v>
      </c>
    </row>
    <row r="56" spans="1:8">
      <c r="A56" s="86" t="s">
        <v>362</v>
      </c>
      <c r="B56" s="8" t="s">
        <v>113</v>
      </c>
      <c r="C56" s="45">
        <v>-38960.61</v>
      </c>
      <c r="D56" s="12">
        <f t="shared" si="35"/>
        <v>0</v>
      </c>
      <c r="E56" s="12">
        <f t="shared" si="36"/>
        <v>-38960.61</v>
      </c>
      <c r="F56" s="12">
        <f t="shared" si="37"/>
        <v>0</v>
      </c>
      <c r="G56" s="12">
        <f t="shared" si="38"/>
        <v>0</v>
      </c>
      <c r="H56" s="12">
        <f t="shared" si="39"/>
        <v>0</v>
      </c>
    </row>
    <row r="57" spans="1:8">
      <c r="A57" s="3" t="s">
        <v>363</v>
      </c>
      <c r="C57" s="45"/>
      <c r="D57" s="12"/>
      <c r="E57" s="12"/>
      <c r="F57" s="12"/>
      <c r="G57" s="12"/>
      <c r="H57" s="12"/>
    </row>
    <row r="58" spans="1:8">
      <c r="A58" s="3" t="s">
        <v>364</v>
      </c>
      <c r="C58" s="45"/>
      <c r="D58" s="12"/>
      <c r="E58" s="12"/>
      <c r="F58" s="12"/>
      <c r="G58" s="12"/>
      <c r="H58" s="12"/>
    </row>
    <row r="59" spans="1:8">
      <c r="A59" s="86" t="s">
        <v>365</v>
      </c>
      <c r="B59" s="8" t="s">
        <v>72</v>
      </c>
      <c r="C59" s="45">
        <v>-2957.6</v>
      </c>
      <c r="D59" s="12">
        <f t="shared" ref="D59:D63" si="40">VLOOKUP($B59,$B$77:$H$90,3,FALSE)*$C59</f>
        <v>-2957.6</v>
      </c>
      <c r="E59" s="12">
        <f t="shared" ref="E59:E63" si="41">VLOOKUP($B59,$B$77:$H$90,4,FALSE)*$C59</f>
        <v>0</v>
      </c>
      <c r="F59" s="12">
        <f t="shared" ref="F59:F63" si="42">VLOOKUP($B59,$B$77:$H$90,5,FALSE)*$C59</f>
        <v>0</v>
      </c>
      <c r="G59" s="12">
        <f t="shared" ref="G59:G63" si="43">VLOOKUP($B59,$B$77:$H$90,6,FALSE)*$C59</f>
        <v>0</v>
      </c>
      <c r="H59" s="12">
        <f t="shared" ref="H59:H63" si="44">VLOOKUP($B59,$B$77:$H$90,7,FALSE)*$C59</f>
        <v>0</v>
      </c>
    </row>
    <row r="60" spans="1:8">
      <c r="A60" s="86" t="s">
        <v>366</v>
      </c>
      <c r="B60" s="8" t="s">
        <v>7</v>
      </c>
      <c r="C60" s="45">
        <v>18625096.359999999</v>
      </c>
      <c r="D60" s="12">
        <f t="shared" si="40"/>
        <v>0</v>
      </c>
      <c r="E60" s="12">
        <f t="shared" si="41"/>
        <v>0</v>
      </c>
      <c r="F60" s="12">
        <f t="shared" si="42"/>
        <v>18625096.359999999</v>
      </c>
      <c r="G60" s="12">
        <f t="shared" si="43"/>
        <v>0</v>
      </c>
      <c r="H60" s="12">
        <f t="shared" si="44"/>
        <v>0</v>
      </c>
    </row>
    <row r="61" spans="1:8">
      <c r="A61" s="86" t="s">
        <v>367</v>
      </c>
      <c r="B61" s="8" t="s">
        <v>32</v>
      </c>
      <c r="C61" s="45">
        <v>-397483.64</v>
      </c>
      <c r="D61" s="12">
        <f t="shared" si="40"/>
        <v>-79552.605407674724</v>
      </c>
      <c r="E61" s="12">
        <f t="shared" si="41"/>
        <v>-139908.74657220658</v>
      </c>
      <c r="F61" s="12">
        <f t="shared" si="42"/>
        <v>-173203.42568813398</v>
      </c>
      <c r="G61" s="12">
        <f t="shared" si="43"/>
        <v>-4818.8623319847193</v>
      </c>
      <c r="H61" s="12">
        <f t="shared" si="44"/>
        <v>0</v>
      </c>
    </row>
    <row r="62" spans="1:8">
      <c r="A62" s="86" t="s">
        <v>368</v>
      </c>
      <c r="B62" s="8" t="s">
        <v>72</v>
      </c>
      <c r="C62" s="45">
        <v>2829716.96</v>
      </c>
      <c r="D62" s="12">
        <f t="shared" si="40"/>
        <v>2829716.96</v>
      </c>
      <c r="E62" s="12">
        <f t="shared" si="41"/>
        <v>0</v>
      </c>
      <c r="F62" s="12">
        <f t="shared" si="42"/>
        <v>0</v>
      </c>
      <c r="G62" s="12">
        <f t="shared" si="43"/>
        <v>0</v>
      </c>
      <c r="H62" s="12">
        <f t="shared" si="44"/>
        <v>0</v>
      </c>
    </row>
    <row r="63" spans="1:8">
      <c r="A63" s="86" t="s">
        <v>369</v>
      </c>
      <c r="B63" s="8" t="s">
        <v>113</v>
      </c>
      <c r="C63" s="45">
        <v>-287206.99</v>
      </c>
      <c r="D63" s="12">
        <f t="shared" si="40"/>
        <v>0</v>
      </c>
      <c r="E63" s="12">
        <f t="shared" si="41"/>
        <v>-287206.99</v>
      </c>
      <c r="F63" s="12">
        <f t="shared" si="42"/>
        <v>0</v>
      </c>
      <c r="G63" s="12">
        <f t="shared" si="43"/>
        <v>0</v>
      </c>
      <c r="H63" s="12">
        <f t="shared" si="44"/>
        <v>0</v>
      </c>
    </row>
    <row r="64" spans="1:8">
      <c r="A64" s="86"/>
      <c r="C64" s="45"/>
      <c r="D64" s="45"/>
      <c r="E64" s="45"/>
      <c r="F64" s="45"/>
      <c r="G64" s="45"/>
      <c r="H64" s="45"/>
    </row>
    <row r="65" spans="1:8">
      <c r="C65" s="45"/>
      <c r="D65" s="45"/>
      <c r="E65" s="45"/>
      <c r="F65" s="45"/>
      <c r="G65" s="45"/>
      <c r="H65" s="45"/>
    </row>
    <row r="66" spans="1:8">
      <c r="A66" s="8" t="s">
        <v>370</v>
      </c>
      <c r="C66" s="45">
        <f t="shared" ref="C66:H66" si="45">SUM(C10:C63)</f>
        <v>2990644759.73</v>
      </c>
      <c r="D66" s="45">
        <f t="shared" si="45"/>
        <v>1335021315.4253168</v>
      </c>
      <c r="E66" s="45">
        <f t="shared" si="45"/>
        <v>907301740.34076011</v>
      </c>
      <c r="F66" s="45">
        <f t="shared" si="45"/>
        <v>746633125.18500769</v>
      </c>
      <c r="G66" s="45">
        <f t="shared" si="45"/>
        <v>1688578.778915534</v>
      </c>
      <c r="H66" s="45">
        <f t="shared" si="45"/>
        <v>0</v>
      </c>
    </row>
    <row r="68" spans="1:8">
      <c r="A68" s="24" t="s">
        <v>371</v>
      </c>
      <c r="C68" s="87">
        <v>1</v>
      </c>
      <c r="D68" s="87">
        <f>D66/$C$66</f>
        <v>0.44639916228159593</v>
      </c>
      <c r="E68" s="87">
        <f>E66/$C$66</f>
        <v>0.30337997764156804</v>
      </c>
      <c r="F68" s="87">
        <f>F66/$C$66</f>
        <v>0.24965623976430248</v>
      </c>
      <c r="G68" s="87">
        <f>G66/$C$66</f>
        <v>5.6462031253353589E-4</v>
      </c>
      <c r="H68" s="87">
        <f>H66/$C$66</f>
        <v>0</v>
      </c>
    </row>
    <row r="69" spans="1:8">
      <c r="C69" s="11"/>
      <c r="D69" s="11"/>
      <c r="E69" s="11"/>
      <c r="F69" s="11"/>
    </row>
    <row r="70" spans="1:8">
      <c r="D70" s="11"/>
      <c r="E70" s="11"/>
      <c r="F70" s="11"/>
    </row>
    <row r="71" spans="1:8">
      <c r="D71" s="11"/>
      <c r="E71" s="11"/>
      <c r="F71" s="11"/>
    </row>
    <row r="72" spans="1:8">
      <c r="B72" s="11" t="s">
        <v>372</v>
      </c>
      <c r="C72" s="16">
        <f>SUM(D72:F72)</f>
        <v>0.40916639709420199</v>
      </c>
      <c r="D72" s="16">
        <v>9.962591977161854E-2</v>
      </c>
      <c r="E72" s="16">
        <v>0.30954047732258344</v>
      </c>
      <c r="F72" s="16">
        <v>0</v>
      </c>
    </row>
    <row r="76" spans="1:8">
      <c r="C76" s="73" t="s">
        <v>10</v>
      </c>
      <c r="D76" s="73" t="s">
        <v>5</v>
      </c>
      <c r="E76" s="73" t="s">
        <v>6</v>
      </c>
      <c r="F76" s="73" t="s">
        <v>251</v>
      </c>
      <c r="G76" s="73" t="s">
        <v>252</v>
      </c>
      <c r="H76" s="73" t="s">
        <v>253</v>
      </c>
    </row>
    <row r="77" spans="1:8">
      <c r="B77" s="8" t="s">
        <v>9</v>
      </c>
      <c r="C77" s="47">
        <f>SUM(D77:H77)</f>
        <v>1</v>
      </c>
      <c r="D77" s="23">
        <v>0</v>
      </c>
      <c r="E77" s="23">
        <v>0</v>
      </c>
      <c r="F77" s="23">
        <v>0</v>
      </c>
      <c r="G77" s="23">
        <v>0</v>
      </c>
      <c r="H77" s="23">
        <v>1</v>
      </c>
    </row>
    <row r="78" spans="1:8">
      <c r="B78" s="8" t="s">
        <v>7</v>
      </c>
      <c r="C78" s="47">
        <f t="shared" ref="C78:C90" si="46">SUM(D78:H78)</f>
        <v>1</v>
      </c>
      <c r="D78" s="16">
        <v>0</v>
      </c>
      <c r="E78" s="16">
        <v>0</v>
      </c>
      <c r="F78" s="16">
        <v>1</v>
      </c>
      <c r="G78" s="16">
        <v>0</v>
      </c>
      <c r="H78" s="16">
        <v>0</v>
      </c>
    </row>
    <row r="79" spans="1:8">
      <c r="B79" s="8" t="s">
        <v>18</v>
      </c>
      <c r="C79" s="47">
        <f t="shared" si="46"/>
        <v>1</v>
      </c>
      <c r="D79" s="16">
        <f>'REGASSETS&amp;DDS'!F35</f>
        <v>1.256967079992769</v>
      </c>
      <c r="E79" s="16">
        <f>'REGASSETS&amp;DDS'!G35</f>
        <v>-4.0038591442276561E-2</v>
      </c>
      <c r="F79" s="16">
        <f>'REGASSETS&amp;DDS'!H35</f>
        <v>-0.19389595525200468</v>
      </c>
      <c r="G79" s="16">
        <f>'REGASSETS&amp;DDS'!I35</f>
        <v>-2.5254607296955285E-2</v>
      </c>
      <c r="H79" s="16">
        <f>'REGASSETS&amp;DDS'!J35</f>
        <v>2.2220739984675324E-3</v>
      </c>
    </row>
    <row r="80" spans="1:8">
      <c r="B80" s="8" t="s">
        <v>8</v>
      </c>
      <c r="C80" s="47">
        <f t="shared" si="46"/>
        <v>1</v>
      </c>
      <c r="D80" s="16">
        <v>0</v>
      </c>
      <c r="E80" s="16">
        <v>0</v>
      </c>
      <c r="F80" s="16">
        <v>0</v>
      </c>
      <c r="G80" s="16">
        <v>1</v>
      </c>
      <c r="H80" s="16">
        <v>0</v>
      </c>
    </row>
    <row r="81" spans="2:8">
      <c r="B81" s="8" t="s">
        <v>28</v>
      </c>
      <c r="C81" s="47">
        <f t="shared" si="46"/>
        <v>1</v>
      </c>
      <c r="D81" s="16">
        <v>0.3</v>
      </c>
      <c r="E81" s="16">
        <v>0.1</v>
      </c>
      <c r="F81" s="16">
        <v>0.6</v>
      </c>
      <c r="G81" s="16">
        <v>0</v>
      </c>
      <c r="H81" s="16">
        <v>0</v>
      </c>
    </row>
    <row r="82" spans="2:8">
      <c r="B82" s="8" t="s">
        <v>32</v>
      </c>
      <c r="C82" s="47">
        <f>SUM(D82:H82)</f>
        <v>1</v>
      </c>
      <c r="D82" s="16">
        <f>GP!E38</f>
        <v>0.20014057788057571</v>
      </c>
      <c r="E82" s="16">
        <f>GP!F38</f>
        <v>0.35198617626679318</v>
      </c>
      <c r="F82" s="16">
        <f>GP!G38</f>
        <v>0.43574982278046454</v>
      </c>
      <c r="G82" s="16">
        <f>GP!H38</f>
        <v>1.2123423072166489E-2</v>
      </c>
      <c r="H82" s="16">
        <f>GP!I38</f>
        <v>0</v>
      </c>
    </row>
    <row r="83" spans="2:8">
      <c r="B83" s="8" t="s">
        <v>38</v>
      </c>
      <c r="C83" s="47">
        <f t="shared" si="46"/>
        <v>1</v>
      </c>
      <c r="D83" s="16">
        <f>'GROSS PLANT'!E42</f>
        <v>0.44726448202864683</v>
      </c>
      <c r="E83" s="16">
        <f>'GROSS PLANT'!F42</f>
        <v>0.26769933588391837</v>
      </c>
      <c r="F83" s="16">
        <f>'GROSS PLANT'!G42</f>
        <v>0.27741768892117574</v>
      </c>
      <c r="G83" s="16">
        <f>'GROSS PLANT'!H42</f>
        <v>7.6184931662590443E-3</v>
      </c>
      <c r="H83" s="16">
        <f>'GROSS PLANT'!I42</f>
        <v>0</v>
      </c>
    </row>
    <row r="84" spans="2:8">
      <c r="B84" s="8" t="s">
        <v>54</v>
      </c>
      <c r="C84" s="47">
        <f t="shared" si="46"/>
        <v>1</v>
      </c>
      <c r="D84" s="16">
        <f>'FORM 1'!C25</f>
        <v>0.42836100153567491</v>
      </c>
      <c r="E84" s="16">
        <f>'FORM 1'!D25</f>
        <v>9.5362892375417618E-2</v>
      </c>
      <c r="F84" s="16">
        <f>'FORM 1'!E25</f>
        <v>0.36138829440728865</v>
      </c>
      <c r="G84" s="16">
        <f>'FORM 1'!F25</f>
        <v>0.11488781168161885</v>
      </c>
      <c r="H84" s="16">
        <f>'FORM 1'!G25</f>
        <v>0</v>
      </c>
    </row>
    <row r="85" spans="2:8">
      <c r="B85" s="8" t="s">
        <v>72</v>
      </c>
      <c r="C85" s="47">
        <f t="shared" si="46"/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</row>
    <row r="86" spans="2:8">
      <c r="B86" s="8" t="s">
        <v>118</v>
      </c>
      <c r="C86" s="47">
        <f>SUM(D86:H86)</f>
        <v>1</v>
      </c>
      <c r="D86" s="16">
        <f>+'FORM 1'!C17</f>
        <v>0.62978967201258707</v>
      </c>
      <c r="E86" s="16">
        <f>+'FORM 1'!D17</f>
        <v>0.37021032798741293</v>
      </c>
      <c r="F86" s="16">
        <f>+'FORM 1'!E17</f>
        <v>0</v>
      </c>
      <c r="G86" s="16">
        <f>+'FORM 1'!F17</f>
        <v>0</v>
      </c>
      <c r="H86" s="16">
        <f>+'FORM 1'!G17</f>
        <v>0</v>
      </c>
    </row>
    <row r="87" spans="2:8">
      <c r="B87" s="8" t="s">
        <v>120</v>
      </c>
      <c r="C87" s="47">
        <f t="shared" si="46"/>
        <v>1</v>
      </c>
      <c r="D87" s="16">
        <f>'FORM 1'!C16</f>
        <v>0.45551317560409821</v>
      </c>
      <c r="E87" s="16">
        <f>'FORM 1'!D16</f>
        <v>0.26776508037053176</v>
      </c>
      <c r="F87" s="16">
        <f>'FORM 1'!E16</f>
        <v>0.27672174402536998</v>
      </c>
      <c r="G87" s="16">
        <f>'FORM 1'!F16</f>
        <v>0</v>
      </c>
      <c r="H87" s="16">
        <f>'FORM 1'!G16</f>
        <v>0</v>
      </c>
    </row>
    <row r="88" spans="2:8">
      <c r="B88" s="8" t="s">
        <v>113</v>
      </c>
      <c r="C88" s="47">
        <f t="shared" si="46"/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</row>
    <row r="89" spans="2:8">
      <c r="B89" s="8" t="s">
        <v>278</v>
      </c>
      <c r="C89" s="47">
        <f t="shared" si="46"/>
        <v>1</v>
      </c>
      <c r="D89" s="16">
        <f>'TAX DEPR'!C24</f>
        <v>0.57320430018569057</v>
      </c>
      <c r="E89" s="16">
        <f>'TAX DEPR'!D24</f>
        <v>0.21667814267562913</v>
      </c>
      <c r="F89" s="16">
        <f>'TAX DEPR'!E24</f>
        <v>0.19959525974412431</v>
      </c>
      <c r="G89" s="16">
        <f>'TAX DEPR'!F24</f>
        <v>1.0522297394556105E-2</v>
      </c>
      <c r="H89" s="16">
        <f>'TAX DEPR'!G24</f>
        <v>0</v>
      </c>
    </row>
    <row r="90" spans="2:8">
      <c r="B90" s="8" t="s">
        <v>116</v>
      </c>
      <c r="C90" s="47">
        <f t="shared" si="46"/>
        <v>1</v>
      </c>
      <c r="D90" s="16">
        <f>'FORM 1'!C18</f>
        <v>0</v>
      </c>
      <c r="E90" s="16">
        <f>'FORM 1'!D18</f>
        <v>0.49177513279152762</v>
      </c>
      <c r="F90" s="16">
        <f>'FORM 1'!E18</f>
        <v>0.50822486720847238</v>
      </c>
      <c r="G90" s="16">
        <f>'FORM 1'!F18</f>
        <v>0</v>
      </c>
      <c r="H90" s="16">
        <f>'FORM 1'!G18</f>
        <v>0</v>
      </c>
    </row>
  </sheetData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3A3C-D2C8-4067-BAC8-9753493CAE0C}">
  <dimension ref="A1:G331"/>
  <sheetViews>
    <sheetView view="pageBreakPreview" zoomScale="80" zoomScaleNormal="77" zoomScaleSheetLayoutView="80" workbookViewId="0"/>
  </sheetViews>
  <sheetFormatPr defaultColWidth="8.7109375" defaultRowHeight="12.75"/>
  <cols>
    <col min="1" max="1" width="34" style="8" bestFit="1" customWidth="1"/>
    <col min="2" max="2" width="15.5703125" style="8" bestFit="1" customWidth="1"/>
    <col min="3" max="7" width="15.7109375" style="8" customWidth="1"/>
  </cols>
  <sheetData>
    <row r="1" spans="1:7" ht="15.75">
      <c r="A1" s="1" t="str">
        <f>+'TOTAL FUNCFAC'!$A$1</f>
        <v>PacifiCorp</v>
      </c>
      <c r="B1" s="1"/>
      <c r="C1" s="1"/>
      <c r="D1" s="1"/>
      <c r="E1" s="1"/>
      <c r="F1" s="1"/>
      <c r="G1" s="1"/>
    </row>
    <row r="2" spans="1:7" ht="15.75">
      <c r="A2" s="101" t="str">
        <f>+'TOTAL FUNCFAC'!A2</f>
        <v>12 Months Ended December 2022</v>
      </c>
      <c r="B2" s="101"/>
      <c r="C2" s="101"/>
      <c r="D2" s="101"/>
      <c r="E2" s="101"/>
      <c r="F2" s="101"/>
      <c r="G2" s="101"/>
    </row>
    <row r="3" spans="1:7" ht="15.75">
      <c r="A3" s="1" t="s">
        <v>138</v>
      </c>
      <c r="B3" s="102"/>
      <c r="C3" s="102"/>
      <c r="D3" s="102"/>
      <c r="E3" s="102"/>
      <c r="F3" s="2"/>
      <c r="G3" s="2"/>
    </row>
    <row r="4" spans="1:7">
      <c r="F4" s="103"/>
    </row>
    <row r="5" spans="1:7">
      <c r="A5" s="9"/>
      <c r="B5" s="10" t="s">
        <v>10</v>
      </c>
      <c r="C5" s="10" t="s">
        <v>5</v>
      </c>
      <c r="D5" s="10" t="s">
        <v>6</v>
      </c>
      <c r="E5" s="10" t="s">
        <v>139</v>
      </c>
      <c r="F5" s="104" t="s">
        <v>140</v>
      </c>
      <c r="G5" s="10" t="s">
        <v>141</v>
      </c>
    </row>
    <row r="6" spans="1:7">
      <c r="A6" s="11"/>
      <c r="B6" s="11"/>
      <c r="C6" s="105"/>
      <c r="D6" s="105"/>
      <c r="E6" s="105"/>
      <c r="F6" s="106"/>
      <c r="G6" s="105"/>
    </row>
    <row r="7" spans="1:7">
      <c r="B7" s="12"/>
      <c r="C7" s="12"/>
      <c r="D7" s="12"/>
      <c r="E7" s="12"/>
      <c r="F7" s="13"/>
      <c r="G7" s="12"/>
    </row>
    <row r="8" spans="1:7" ht="13.5" thickBot="1">
      <c r="A8" s="11" t="s">
        <v>10</v>
      </c>
      <c r="B8" s="14">
        <f>SUM(C8:G8)</f>
        <v>1363100248</v>
      </c>
      <c r="C8" s="14">
        <v>731430240</v>
      </c>
      <c r="D8" s="14">
        <v>254389821</v>
      </c>
      <c r="E8" s="14">
        <v>228680987</v>
      </c>
      <c r="F8" s="15">
        <v>148599200</v>
      </c>
      <c r="G8" s="14">
        <v>0</v>
      </c>
    </row>
    <row r="9" spans="1:7" ht="13.5" thickTop="1"/>
    <row r="10" spans="1:7">
      <c r="C10" s="12"/>
      <c r="D10" s="16"/>
      <c r="E10" s="16"/>
      <c r="F10" s="16"/>
      <c r="G10" s="16"/>
    </row>
    <row r="11" spans="1:7">
      <c r="A11" s="11"/>
      <c r="B11" s="11"/>
      <c r="C11" s="105"/>
      <c r="D11" s="105"/>
      <c r="E11" s="105"/>
      <c r="F11" s="105"/>
      <c r="G11" s="105"/>
    </row>
    <row r="12" spans="1:7">
      <c r="A12" s="107" t="s">
        <v>142</v>
      </c>
      <c r="B12" s="107" t="s">
        <v>10</v>
      </c>
      <c r="C12" s="17" t="s">
        <v>143</v>
      </c>
      <c r="D12" s="17" t="s">
        <v>144</v>
      </c>
      <c r="E12" s="17" t="s">
        <v>145</v>
      </c>
      <c r="F12" s="17" t="s">
        <v>146</v>
      </c>
      <c r="G12" s="17" t="s">
        <v>147</v>
      </c>
    </row>
    <row r="13" spans="1:7">
      <c r="B13" s="107"/>
      <c r="C13" s="17"/>
      <c r="D13" s="17"/>
      <c r="E13" s="17"/>
      <c r="F13" s="17"/>
      <c r="G13" s="17"/>
    </row>
    <row r="14" spans="1:7">
      <c r="A14" s="8" t="s">
        <v>148</v>
      </c>
      <c r="B14" s="18">
        <f>SUM(C14:F14)</f>
        <v>1</v>
      </c>
      <c r="C14" s="16">
        <v>0.3358341346237475</v>
      </c>
      <c r="D14" s="16">
        <v>0.27566910869862954</v>
      </c>
      <c r="E14" s="16">
        <v>0.29197573780235864</v>
      </c>
      <c r="F14" s="16">
        <v>9.6521018875264319E-2</v>
      </c>
      <c r="G14" s="16">
        <v>0</v>
      </c>
    </row>
    <row r="15" spans="1:7">
      <c r="A15" s="89"/>
      <c r="C15" s="16"/>
      <c r="D15" s="16"/>
      <c r="E15" s="16"/>
      <c r="F15" s="16"/>
      <c r="G15" s="16"/>
    </row>
    <row r="16" spans="1:7">
      <c r="A16" s="89"/>
      <c r="C16" s="16"/>
      <c r="D16" s="16"/>
      <c r="E16" s="16"/>
      <c r="F16" s="16"/>
      <c r="G16" s="16"/>
    </row>
    <row r="17" spans="1:7">
      <c r="C17" s="16"/>
      <c r="D17" s="16"/>
      <c r="E17" s="16"/>
      <c r="F17" s="16"/>
      <c r="G17" s="16"/>
    </row>
    <row r="18" spans="1:7">
      <c r="A18" s="8" t="s">
        <v>149</v>
      </c>
      <c r="B18" s="19">
        <f>SUM(C18:F18)</f>
        <v>148599199.99999997</v>
      </c>
      <c r="C18" s="12">
        <f>+$F$8*C14</f>
        <v>49904683.737781182</v>
      </c>
      <c r="D18" s="12">
        <f>+$F$8*D14</f>
        <v>40964209.017329387</v>
      </c>
      <c r="E18" s="12">
        <f>+$F$8*E14</f>
        <v>43387361.056840248</v>
      </c>
      <c r="F18" s="12">
        <f>+$F$8*F14</f>
        <v>14342946.188049179</v>
      </c>
      <c r="G18" s="12">
        <f>+$F$8*G14</f>
        <v>0</v>
      </c>
    </row>
    <row r="19" spans="1:7">
      <c r="A19" s="8" t="s">
        <v>150</v>
      </c>
      <c r="B19" s="108">
        <f>SUM(C19:F19)</f>
        <v>0</v>
      </c>
      <c r="C19" s="20">
        <f>G8</f>
        <v>0</v>
      </c>
      <c r="D19" s="21"/>
      <c r="E19" s="21"/>
      <c r="F19" s="21"/>
      <c r="G19" s="21"/>
    </row>
    <row r="20" spans="1:7">
      <c r="B20" s="19"/>
      <c r="C20" s="22"/>
      <c r="D20" s="23"/>
      <c r="E20" s="23"/>
      <c r="F20" s="23"/>
      <c r="G20" s="23"/>
    </row>
    <row r="21" spans="1:7">
      <c r="A21" s="24" t="s">
        <v>151</v>
      </c>
      <c r="B21" s="19">
        <f>SUM(C21:F21)</f>
        <v>1363100247.9999998</v>
      </c>
      <c r="C21" s="12">
        <f>+C8+C18+C19</f>
        <v>781334923.73778117</v>
      </c>
      <c r="D21" s="12">
        <f>+D8+D18+D19</f>
        <v>295354030.01732939</v>
      </c>
      <c r="E21" s="12">
        <f>+E8+E18+E19</f>
        <v>272068348.05684024</v>
      </c>
      <c r="F21" s="12">
        <f>+F18+F19</f>
        <v>14342946.188049179</v>
      </c>
      <c r="G21" s="12">
        <f>+G18+G19</f>
        <v>0</v>
      </c>
    </row>
    <row r="22" spans="1:7">
      <c r="C22" s="16"/>
      <c r="D22" s="16"/>
      <c r="E22" s="16"/>
      <c r="F22" s="16"/>
      <c r="G22" s="16"/>
    </row>
    <row r="23" spans="1:7">
      <c r="C23" s="105"/>
      <c r="D23" s="105"/>
      <c r="E23" s="105"/>
      <c r="F23" s="105"/>
      <c r="G23" s="105"/>
    </row>
    <row r="24" spans="1:7" ht="13.5" thickBot="1">
      <c r="A24" s="105" t="s">
        <v>152</v>
      </c>
      <c r="B24" s="109">
        <f>SUM(C24:F24)</f>
        <v>1</v>
      </c>
      <c r="C24" s="109">
        <f>C21/$B$21</f>
        <v>0.57320430018569057</v>
      </c>
      <c r="D24" s="109">
        <f t="shared" ref="D24:G24" si="0">D21/$B$21</f>
        <v>0.21667814267562913</v>
      </c>
      <c r="E24" s="109">
        <f t="shared" si="0"/>
        <v>0.19959525974412431</v>
      </c>
      <c r="F24" s="109">
        <f t="shared" si="0"/>
        <v>1.0522297394556105E-2</v>
      </c>
      <c r="G24" s="109">
        <f t="shared" si="0"/>
        <v>0</v>
      </c>
    </row>
    <row r="25" spans="1:7" ht="13.5" thickTop="1">
      <c r="A25" s="11"/>
      <c r="B25" s="11"/>
      <c r="C25" s="105"/>
      <c r="D25" s="105"/>
      <c r="E25" s="105"/>
      <c r="F25" s="105"/>
      <c r="G25" s="105"/>
    </row>
    <row r="26" spans="1:7">
      <c r="A26" s="11"/>
      <c r="B26" s="11"/>
      <c r="C26" s="105"/>
      <c r="D26" s="105"/>
      <c r="E26" s="105"/>
      <c r="F26" s="105"/>
      <c r="G26" s="105"/>
    </row>
    <row r="27" spans="1:7">
      <c r="A27" s="11"/>
      <c r="B27" s="11"/>
      <c r="C27" s="105"/>
      <c r="D27" s="105"/>
      <c r="E27" s="105"/>
      <c r="F27" s="105"/>
      <c r="G27" s="105"/>
    </row>
    <row r="28" spans="1:7">
      <c r="A28" s="11"/>
      <c r="B28" s="11"/>
      <c r="C28" s="11"/>
      <c r="D28" s="11"/>
      <c r="E28" s="11"/>
      <c r="F28" s="11"/>
      <c r="G28" s="11"/>
    </row>
    <row r="29" spans="1:7">
      <c r="A29" s="11"/>
      <c r="B29" s="11"/>
      <c r="C29" s="105"/>
      <c r="D29" s="105"/>
      <c r="E29" s="105"/>
      <c r="F29" s="105"/>
      <c r="G29" s="105"/>
    </row>
    <row r="30" spans="1:7">
      <c r="A30" s="11"/>
      <c r="B30" s="11"/>
      <c r="C30" s="105"/>
      <c r="D30" s="105"/>
      <c r="E30" s="105"/>
      <c r="F30" s="105"/>
      <c r="G30" s="105"/>
    </row>
    <row r="31" spans="1:7">
      <c r="A31" s="11"/>
      <c r="B31" s="11"/>
      <c r="C31" s="105"/>
      <c r="D31" s="105"/>
      <c r="E31" s="105"/>
      <c r="F31" s="105"/>
      <c r="G31" s="105"/>
    </row>
    <row r="32" spans="1:7">
      <c r="A32" s="11"/>
      <c r="B32" s="11"/>
      <c r="C32" s="105"/>
      <c r="D32" s="105"/>
      <c r="E32" s="105"/>
      <c r="F32" s="105"/>
      <c r="G32" s="105"/>
    </row>
    <row r="33" spans="1:7">
      <c r="A33" s="11"/>
      <c r="B33" s="11"/>
      <c r="C33" s="105"/>
      <c r="D33" s="105"/>
      <c r="E33" s="105"/>
      <c r="F33" s="105"/>
      <c r="G33" s="105"/>
    </row>
    <row r="34" spans="1:7">
      <c r="A34" s="11"/>
      <c r="B34" s="11"/>
      <c r="C34" s="105"/>
      <c r="D34" s="105"/>
      <c r="E34" s="105"/>
      <c r="F34" s="105"/>
      <c r="G34" s="105"/>
    </row>
    <row r="35" spans="1:7">
      <c r="A35" s="11"/>
      <c r="B35" s="11"/>
      <c r="C35" s="105"/>
      <c r="D35" s="105"/>
      <c r="E35" s="105"/>
      <c r="F35" s="105"/>
      <c r="G35" s="105"/>
    </row>
    <row r="36" spans="1:7">
      <c r="A36" s="11"/>
      <c r="B36" s="11"/>
      <c r="C36" s="105"/>
      <c r="D36" s="105"/>
      <c r="E36" s="105"/>
      <c r="F36" s="105"/>
      <c r="G36" s="105"/>
    </row>
    <row r="37" spans="1:7">
      <c r="A37" s="11"/>
      <c r="B37" s="11"/>
      <c r="C37" s="105"/>
      <c r="D37" s="105"/>
      <c r="E37" s="105"/>
      <c r="F37" s="105"/>
      <c r="G37" s="105"/>
    </row>
    <row r="38" spans="1:7">
      <c r="A38" s="11"/>
      <c r="B38" s="11"/>
      <c r="C38" s="105"/>
      <c r="D38" s="105"/>
      <c r="E38" s="105"/>
      <c r="F38" s="105"/>
      <c r="G38" s="105"/>
    </row>
    <row r="39" spans="1:7">
      <c r="A39" s="11"/>
      <c r="B39" s="11"/>
      <c r="C39" s="105"/>
      <c r="D39" s="105"/>
      <c r="E39" s="105"/>
      <c r="F39" s="105"/>
      <c r="G39" s="105"/>
    </row>
    <row r="40" spans="1:7">
      <c r="A40" s="11"/>
      <c r="B40" s="11"/>
      <c r="C40" s="105"/>
      <c r="D40" s="105"/>
      <c r="E40" s="105"/>
      <c r="F40" s="105"/>
      <c r="G40" s="105"/>
    </row>
    <row r="41" spans="1:7">
      <c r="A41" s="11"/>
      <c r="B41" s="11"/>
      <c r="C41" s="105"/>
      <c r="D41" s="105"/>
      <c r="E41" s="105"/>
      <c r="F41" s="105"/>
      <c r="G41" s="105"/>
    </row>
    <row r="42" spans="1:7">
      <c r="A42" s="11"/>
      <c r="B42" s="11"/>
      <c r="C42" s="105"/>
      <c r="D42" s="105"/>
      <c r="E42" s="105"/>
      <c r="F42" s="105"/>
      <c r="G42" s="105"/>
    </row>
    <row r="43" spans="1:7">
      <c r="A43" s="11"/>
      <c r="B43" s="11"/>
      <c r="C43" s="105"/>
      <c r="D43" s="105"/>
      <c r="E43" s="105"/>
      <c r="F43" s="105"/>
      <c r="G43" s="105"/>
    </row>
    <row r="44" spans="1:7">
      <c r="A44" s="11"/>
      <c r="B44" s="11"/>
      <c r="C44" s="105"/>
      <c r="D44" s="105"/>
      <c r="E44" s="105"/>
      <c r="F44" s="105"/>
      <c r="G44" s="105"/>
    </row>
    <row r="45" spans="1:7">
      <c r="A45" s="11"/>
      <c r="B45" s="11"/>
      <c r="C45" s="105"/>
      <c r="D45" s="105"/>
      <c r="E45" s="105"/>
      <c r="F45" s="105"/>
      <c r="G45" s="105"/>
    </row>
    <row r="46" spans="1:7">
      <c r="A46" s="11"/>
      <c r="B46" s="11"/>
      <c r="C46" s="105"/>
      <c r="D46" s="105"/>
      <c r="E46" s="105"/>
      <c r="F46" s="105"/>
      <c r="G46" s="105"/>
    </row>
    <row r="47" spans="1:7">
      <c r="A47" s="11"/>
      <c r="B47" s="11"/>
      <c r="C47" s="105"/>
      <c r="D47" s="105"/>
      <c r="E47" s="105"/>
      <c r="F47" s="105"/>
      <c r="G47" s="105"/>
    </row>
    <row r="48" spans="1:7">
      <c r="A48" s="11"/>
      <c r="B48" s="11"/>
      <c r="C48" s="105"/>
      <c r="D48" s="105"/>
      <c r="E48" s="105"/>
      <c r="F48" s="105"/>
      <c r="G48" s="105"/>
    </row>
    <row r="49" spans="1:7">
      <c r="A49" s="11"/>
      <c r="B49" s="11"/>
      <c r="C49" s="105"/>
      <c r="D49" s="105"/>
      <c r="E49" s="105"/>
      <c r="F49" s="105"/>
      <c r="G49" s="105"/>
    </row>
    <row r="50" spans="1:7">
      <c r="A50" s="11"/>
      <c r="B50" s="11"/>
      <c r="C50" s="105"/>
      <c r="D50" s="105"/>
      <c r="E50" s="105"/>
      <c r="F50" s="105"/>
      <c r="G50" s="105"/>
    </row>
    <row r="51" spans="1:7">
      <c r="A51" s="11"/>
      <c r="B51" s="11"/>
      <c r="C51" s="105"/>
      <c r="D51" s="105"/>
      <c r="E51" s="105"/>
      <c r="F51" s="105"/>
      <c r="G51" s="105"/>
    </row>
    <row r="52" spans="1:7">
      <c r="A52" s="11"/>
      <c r="B52" s="11"/>
      <c r="C52" s="105"/>
      <c r="D52" s="105"/>
      <c r="E52" s="105"/>
      <c r="F52" s="105"/>
      <c r="G52" s="105"/>
    </row>
    <row r="53" spans="1:7">
      <c r="A53" s="11"/>
      <c r="B53" s="11"/>
      <c r="C53" s="105"/>
      <c r="D53" s="105"/>
      <c r="E53" s="105"/>
      <c r="F53" s="105"/>
      <c r="G53" s="105"/>
    </row>
    <row r="54" spans="1:7">
      <c r="A54" s="11"/>
      <c r="B54" s="11"/>
      <c r="C54" s="105"/>
      <c r="D54" s="105"/>
      <c r="E54" s="105"/>
      <c r="F54" s="105"/>
      <c r="G54" s="105"/>
    </row>
    <row r="55" spans="1:7">
      <c r="A55" s="11"/>
      <c r="B55" s="11"/>
      <c r="C55" s="105"/>
      <c r="D55" s="105"/>
      <c r="E55" s="105"/>
      <c r="F55" s="105"/>
      <c r="G55" s="105"/>
    </row>
    <row r="56" spans="1:7">
      <c r="A56" s="11"/>
      <c r="B56" s="11"/>
      <c r="C56" s="105"/>
      <c r="D56" s="105"/>
      <c r="E56" s="105"/>
      <c r="F56" s="105"/>
      <c r="G56" s="105"/>
    </row>
    <row r="57" spans="1:7">
      <c r="A57" s="11"/>
      <c r="B57" s="11"/>
      <c r="C57" s="105"/>
      <c r="D57" s="105"/>
      <c r="E57" s="105"/>
      <c r="F57" s="105"/>
      <c r="G57" s="105"/>
    </row>
    <row r="58" spans="1:7">
      <c r="A58" s="11"/>
      <c r="B58" s="11"/>
      <c r="C58" s="105"/>
      <c r="D58" s="105"/>
      <c r="E58" s="105"/>
      <c r="F58" s="105"/>
      <c r="G58" s="105"/>
    </row>
    <row r="59" spans="1:7">
      <c r="A59" s="11"/>
      <c r="B59" s="11"/>
      <c r="C59" s="105"/>
      <c r="D59" s="105"/>
      <c r="E59" s="105"/>
      <c r="F59" s="105"/>
      <c r="G59" s="105"/>
    </row>
    <row r="60" spans="1:7">
      <c r="A60" s="11"/>
      <c r="B60" s="11"/>
      <c r="C60" s="105"/>
      <c r="D60" s="105"/>
      <c r="E60" s="105"/>
      <c r="F60" s="105"/>
      <c r="G60" s="105"/>
    </row>
    <row r="61" spans="1:7">
      <c r="A61" s="11"/>
      <c r="B61" s="11"/>
      <c r="C61" s="105"/>
      <c r="D61" s="105"/>
      <c r="E61" s="105"/>
      <c r="F61" s="105"/>
      <c r="G61" s="105"/>
    </row>
    <row r="62" spans="1:7">
      <c r="A62" s="11"/>
      <c r="B62" s="11"/>
      <c r="C62" s="105"/>
      <c r="D62" s="105"/>
      <c r="E62" s="105"/>
      <c r="F62" s="105"/>
      <c r="G62" s="105"/>
    </row>
    <row r="63" spans="1:7">
      <c r="A63" s="11"/>
      <c r="B63" s="11"/>
      <c r="C63" s="105"/>
      <c r="D63" s="105"/>
      <c r="E63" s="105"/>
      <c r="F63" s="105"/>
      <c r="G63" s="105"/>
    </row>
    <row r="64" spans="1:7">
      <c r="A64" s="11"/>
      <c r="B64" s="11"/>
      <c r="C64" s="105"/>
      <c r="D64" s="105"/>
      <c r="E64" s="105"/>
      <c r="F64" s="105"/>
      <c r="G64" s="105"/>
    </row>
    <row r="65" spans="1:7">
      <c r="A65" s="11"/>
      <c r="B65" s="11"/>
      <c r="C65" s="105"/>
      <c r="D65" s="105"/>
      <c r="E65" s="105"/>
      <c r="F65" s="105"/>
      <c r="G65" s="105"/>
    </row>
    <row r="66" spans="1:7">
      <c r="A66" s="11"/>
      <c r="B66" s="11"/>
      <c r="C66" s="105"/>
      <c r="D66" s="105"/>
      <c r="E66" s="105"/>
      <c r="F66" s="105"/>
      <c r="G66" s="105"/>
    </row>
    <row r="67" spans="1:7">
      <c r="A67" s="11"/>
      <c r="B67" s="11"/>
      <c r="C67" s="105"/>
      <c r="D67" s="105"/>
      <c r="E67" s="105"/>
      <c r="F67" s="105"/>
      <c r="G67" s="105"/>
    </row>
    <row r="68" spans="1:7">
      <c r="A68" s="11"/>
      <c r="B68" s="11"/>
      <c r="C68" s="105"/>
      <c r="D68" s="105"/>
      <c r="E68" s="105"/>
      <c r="F68" s="105"/>
      <c r="G68" s="105"/>
    </row>
    <row r="69" spans="1:7">
      <c r="A69" s="11"/>
      <c r="B69" s="11"/>
      <c r="C69" s="105"/>
      <c r="D69" s="105"/>
      <c r="E69" s="105"/>
      <c r="F69" s="105"/>
      <c r="G69" s="105"/>
    </row>
    <row r="70" spans="1:7">
      <c r="A70" s="11"/>
      <c r="B70" s="11"/>
      <c r="C70" s="105"/>
      <c r="D70" s="105"/>
      <c r="E70" s="105"/>
      <c r="F70" s="105"/>
      <c r="G70" s="105"/>
    </row>
    <row r="71" spans="1:7">
      <c r="A71" s="11"/>
      <c r="B71" s="11"/>
      <c r="C71" s="105"/>
      <c r="D71" s="105"/>
      <c r="E71" s="105"/>
      <c r="F71" s="105"/>
      <c r="G71" s="105"/>
    </row>
    <row r="72" spans="1:7">
      <c r="A72" s="11"/>
      <c r="B72" s="11"/>
      <c r="C72" s="105"/>
      <c r="D72" s="105"/>
      <c r="E72" s="105"/>
      <c r="F72" s="105"/>
      <c r="G72" s="105"/>
    </row>
    <row r="73" spans="1:7">
      <c r="A73" s="11"/>
      <c r="B73" s="11"/>
      <c r="C73" s="105"/>
      <c r="D73" s="105"/>
      <c r="E73" s="105"/>
      <c r="F73" s="105"/>
      <c r="G73" s="105"/>
    </row>
    <row r="74" spans="1:7">
      <c r="A74" s="11"/>
      <c r="B74" s="11"/>
      <c r="C74" s="105"/>
      <c r="D74" s="105"/>
      <c r="E74" s="105"/>
      <c r="F74" s="105"/>
      <c r="G74" s="105"/>
    </row>
    <row r="75" spans="1:7">
      <c r="A75" s="11"/>
      <c r="B75" s="11"/>
      <c r="C75" s="105"/>
      <c r="D75" s="105"/>
      <c r="E75" s="105"/>
      <c r="F75" s="105"/>
      <c r="G75" s="105"/>
    </row>
    <row r="76" spans="1:7">
      <c r="A76" s="11"/>
      <c r="B76" s="11"/>
      <c r="C76" s="105"/>
      <c r="D76" s="105"/>
      <c r="E76" s="105"/>
      <c r="F76" s="105"/>
      <c r="G76" s="105"/>
    </row>
    <row r="77" spans="1:7">
      <c r="A77" s="11"/>
      <c r="B77" s="11"/>
      <c r="C77" s="105"/>
      <c r="D77" s="105"/>
      <c r="E77" s="105"/>
      <c r="F77" s="105"/>
      <c r="G77" s="105"/>
    </row>
    <row r="78" spans="1:7">
      <c r="A78" s="11"/>
      <c r="B78" s="11"/>
      <c r="C78" s="105"/>
      <c r="D78" s="105"/>
      <c r="E78" s="105"/>
      <c r="F78" s="105"/>
      <c r="G78" s="105"/>
    </row>
    <row r="79" spans="1:7">
      <c r="A79" s="11"/>
      <c r="B79" s="11"/>
      <c r="C79" s="105"/>
      <c r="D79" s="105"/>
      <c r="E79" s="105"/>
      <c r="F79" s="105"/>
      <c r="G79" s="105"/>
    </row>
    <row r="80" spans="1:7">
      <c r="A80" s="11"/>
      <c r="B80" s="11"/>
      <c r="C80" s="105"/>
      <c r="D80" s="105"/>
      <c r="E80" s="105"/>
      <c r="F80" s="105"/>
      <c r="G80" s="105"/>
    </row>
    <row r="81" spans="1:7">
      <c r="A81" s="11"/>
      <c r="B81" s="11"/>
      <c r="C81" s="105"/>
      <c r="D81" s="105"/>
      <c r="E81" s="105"/>
      <c r="F81" s="105"/>
      <c r="G81" s="105"/>
    </row>
    <row r="82" spans="1:7">
      <c r="A82" s="11"/>
      <c r="B82" s="11"/>
      <c r="C82" s="105"/>
      <c r="D82" s="105"/>
      <c r="E82" s="105"/>
      <c r="F82" s="105"/>
      <c r="G82" s="105"/>
    </row>
    <row r="83" spans="1:7">
      <c r="A83" s="11"/>
      <c r="B83" s="11"/>
      <c r="C83" s="105"/>
      <c r="D83" s="105"/>
      <c r="E83" s="105"/>
      <c r="F83" s="105"/>
      <c r="G83" s="105"/>
    </row>
    <row r="84" spans="1:7">
      <c r="A84" s="11"/>
      <c r="B84" s="11"/>
      <c r="C84" s="105"/>
      <c r="D84" s="105"/>
      <c r="E84" s="105"/>
      <c r="F84" s="105"/>
      <c r="G84" s="105"/>
    </row>
    <row r="85" spans="1:7">
      <c r="A85" s="11"/>
      <c r="B85" s="11"/>
      <c r="C85" s="105"/>
      <c r="D85" s="105"/>
      <c r="E85" s="105"/>
      <c r="F85" s="105"/>
      <c r="G85" s="105"/>
    </row>
    <row r="86" spans="1:7">
      <c r="A86" s="11"/>
      <c r="B86" s="11"/>
      <c r="C86" s="105"/>
      <c r="D86" s="105"/>
      <c r="E86" s="105"/>
      <c r="F86" s="105"/>
      <c r="G86" s="105"/>
    </row>
    <row r="87" spans="1:7">
      <c r="A87" s="11"/>
      <c r="B87" s="11"/>
      <c r="C87" s="105"/>
      <c r="D87" s="105"/>
      <c r="E87" s="105"/>
      <c r="F87" s="105"/>
      <c r="G87" s="105"/>
    </row>
    <row r="88" spans="1:7">
      <c r="A88" s="11"/>
      <c r="B88" s="11"/>
      <c r="C88" s="105"/>
      <c r="D88" s="105"/>
      <c r="E88" s="105"/>
      <c r="F88" s="105"/>
      <c r="G88" s="105"/>
    </row>
    <row r="89" spans="1:7">
      <c r="A89" s="11"/>
      <c r="B89" s="11"/>
      <c r="C89" s="105"/>
      <c r="D89" s="105"/>
      <c r="E89" s="105"/>
      <c r="F89" s="105"/>
      <c r="G89" s="105"/>
    </row>
    <row r="90" spans="1:7">
      <c r="A90" s="11"/>
      <c r="B90" s="11"/>
      <c r="C90" s="105"/>
      <c r="D90" s="105"/>
      <c r="E90" s="105"/>
      <c r="F90" s="105"/>
      <c r="G90" s="105"/>
    </row>
    <row r="91" spans="1:7">
      <c r="A91" s="11"/>
      <c r="B91" s="11"/>
      <c r="C91" s="105"/>
      <c r="D91" s="105"/>
      <c r="E91" s="105"/>
      <c r="F91" s="105"/>
      <c r="G91" s="105"/>
    </row>
    <row r="92" spans="1:7">
      <c r="A92" s="11"/>
      <c r="B92" s="11"/>
      <c r="C92" s="105"/>
      <c r="D92" s="105"/>
      <c r="E92" s="105"/>
      <c r="F92" s="105"/>
      <c r="G92" s="105"/>
    </row>
    <row r="93" spans="1:7">
      <c r="A93" s="11"/>
      <c r="B93" s="11"/>
      <c r="C93" s="105"/>
      <c r="D93" s="105"/>
      <c r="E93" s="105"/>
      <c r="F93" s="105"/>
      <c r="G93" s="105"/>
    </row>
    <row r="94" spans="1:7">
      <c r="A94" s="11"/>
      <c r="B94" s="11"/>
      <c r="C94" s="105"/>
      <c r="D94" s="105"/>
      <c r="E94" s="105"/>
      <c r="F94" s="105"/>
      <c r="G94" s="105"/>
    </row>
    <row r="95" spans="1:7">
      <c r="A95" s="11"/>
      <c r="B95" s="11"/>
      <c r="C95" s="105"/>
      <c r="D95" s="105"/>
      <c r="E95" s="105"/>
      <c r="F95" s="105"/>
      <c r="G95" s="105"/>
    </row>
    <row r="96" spans="1:7">
      <c r="A96" s="11"/>
      <c r="B96" s="11"/>
      <c r="C96" s="105"/>
      <c r="D96" s="105"/>
      <c r="E96" s="105"/>
      <c r="F96" s="105"/>
      <c r="G96" s="105"/>
    </row>
    <row r="97" spans="1:7">
      <c r="A97" s="11"/>
      <c r="B97" s="11"/>
      <c r="C97" s="105"/>
      <c r="D97" s="105"/>
      <c r="E97" s="105"/>
      <c r="F97" s="105"/>
      <c r="G97" s="105"/>
    </row>
    <row r="98" spans="1:7">
      <c r="A98" s="11"/>
      <c r="B98" s="11"/>
      <c r="C98" s="105"/>
      <c r="D98" s="105"/>
      <c r="E98" s="105"/>
      <c r="F98" s="105"/>
      <c r="G98" s="105"/>
    </row>
    <row r="99" spans="1:7">
      <c r="A99" s="11"/>
      <c r="B99" s="11"/>
      <c r="C99" s="105"/>
      <c r="D99" s="105"/>
      <c r="E99" s="105"/>
      <c r="F99" s="105"/>
      <c r="G99" s="105"/>
    </row>
    <row r="100" spans="1:7">
      <c r="A100" s="11"/>
      <c r="B100" s="11"/>
      <c r="C100" s="105"/>
      <c r="D100" s="105"/>
      <c r="E100" s="105"/>
      <c r="F100" s="105"/>
      <c r="G100" s="105"/>
    </row>
    <row r="101" spans="1:7">
      <c r="A101" s="11"/>
      <c r="B101" s="11"/>
      <c r="C101" s="105"/>
      <c r="D101" s="105"/>
      <c r="E101" s="105"/>
      <c r="F101" s="105"/>
      <c r="G101" s="105"/>
    </row>
    <row r="102" spans="1:7">
      <c r="A102" s="11"/>
      <c r="B102" s="11"/>
      <c r="C102" s="105"/>
      <c r="D102" s="105"/>
      <c r="E102" s="105"/>
      <c r="F102" s="105"/>
      <c r="G102" s="105"/>
    </row>
    <row r="103" spans="1:7">
      <c r="A103" s="11"/>
      <c r="B103" s="11"/>
      <c r="C103" s="105"/>
      <c r="D103" s="105"/>
      <c r="E103" s="105"/>
      <c r="F103" s="105"/>
      <c r="G103" s="105"/>
    </row>
    <row r="104" spans="1:7">
      <c r="A104" s="11"/>
      <c r="B104" s="11"/>
      <c r="C104" s="105"/>
      <c r="D104" s="105"/>
      <c r="E104" s="105"/>
      <c r="F104" s="105"/>
      <c r="G104" s="105"/>
    </row>
    <row r="105" spans="1:7">
      <c r="A105" s="11"/>
      <c r="B105" s="11"/>
      <c r="C105" s="105"/>
      <c r="D105" s="105"/>
      <c r="E105" s="105"/>
      <c r="F105" s="105"/>
      <c r="G105" s="105"/>
    </row>
    <row r="106" spans="1:7">
      <c r="A106" s="11"/>
      <c r="B106" s="11"/>
      <c r="C106" s="105"/>
      <c r="D106" s="105"/>
      <c r="E106" s="105"/>
      <c r="F106" s="105"/>
      <c r="G106" s="105"/>
    </row>
    <row r="107" spans="1:7">
      <c r="A107" s="11"/>
      <c r="B107" s="11"/>
      <c r="C107" s="105"/>
      <c r="D107" s="105"/>
      <c r="E107" s="105"/>
      <c r="F107" s="105"/>
      <c r="G107" s="105"/>
    </row>
    <row r="108" spans="1:7">
      <c r="A108" s="11"/>
      <c r="B108" s="11"/>
      <c r="C108" s="105"/>
      <c r="D108" s="105"/>
      <c r="E108" s="105"/>
      <c r="F108" s="105"/>
      <c r="G108" s="105"/>
    </row>
    <row r="109" spans="1:7">
      <c r="A109" s="11"/>
      <c r="B109" s="11"/>
      <c r="C109" s="105"/>
      <c r="D109" s="105"/>
      <c r="E109" s="105"/>
      <c r="F109" s="105"/>
      <c r="G109" s="105"/>
    </row>
    <row r="110" spans="1:7">
      <c r="A110" s="11"/>
      <c r="B110" s="11"/>
      <c r="C110" s="105"/>
      <c r="D110" s="105"/>
      <c r="E110" s="105"/>
      <c r="F110" s="105"/>
      <c r="G110" s="105"/>
    </row>
    <row r="111" spans="1:7">
      <c r="A111" s="11"/>
      <c r="B111" s="11"/>
      <c r="C111" s="105"/>
      <c r="D111" s="105"/>
      <c r="E111" s="105"/>
      <c r="F111" s="105"/>
      <c r="G111" s="105"/>
    </row>
    <row r="112" spans="1:7">
      <c r="A112" s="11"/>
      <c r="B112" s="11"/>
      <c r="C112" s="105"/>
      <c r="D112" s="105"/>
      <c r="E112" s="105"/>
      <c r="F112" s="105"/>
      <c r="G112" s="105"/>
    </row>
    <row r="113" spans="1:7">
      <c r="A113" s="11"/>
      <c r="B113" s="11"/>
      <c r="C113" s="105"/>
      <c r="D113" s="105"/>
      <c r="E113" s="105"/>
      <c r="F113" s="105"/>
      <c r="G113" s="105"/>
    </row>
    <row r="114" spans="1:7">
      <c r="A114" s="11"/>
      <c r="B114" s="11"/>
      <c r="C114" s="105"/>
      <c r="D114" s="105"/>
      <c r="E114" s="105"/>
      <c r="F114" s="105"/>
      <c r="G114" s="105"/>
    </row>
    <row r="115" spans="1:7">
      <c r="A115" s="11"/>
      <c r="B115" s="11"/>
      <c r="C115" s="105"/>
      <c r="D115" s="105"/>
      <c r="E115" s="105"/>
      <c r="F115" s="105"/>
      <c r="G115" s="105"/>
    </row>
    <row r="116" spans="1:7">
      <c r="A116" s="11"/>
      <c r="B116" s="11"/>
      <c r="C116" s="105"/>
      <c r="D116" s="105"/>
      <c r="E116" s="105"/>
      <c r="F116" s="105"/>
      <c r="G116" s="105"/>
    </row>
    <row r="117" spans="1:7">
      <c r="A117" s="11"/>
      <c r="B117" s="11"/>
      <c r="C117" s="105"/>
      <c r="D117" s="105"/>
      <c r="E117" s="105"/>
      <c r="F117" s="105"/>
      <c r="G117" s="105"/>
    </row>
    <row r="118" spans="1:7">
      <c r="A118" s="11"/>
      <c r="B118" s="11"/>
      <c r="C118" s="105"/>
      <c r="D118" s="105"/>
      <c r="E118" s="105"/>
      <c r="F118" s="105"/>
      <c r="G118" s="105"/>
    </row>
    <row r="119" spans="1:7">
      <c r="A119" s="11"/>
      <c r="B119" s="11"/>
      <c r="C119" s="105"/>
      <c r="D119" s="105"/>
      <c r="E119" s="105"/>
      <c r="F119" s="105"/>
      <c r="G119" s="105"/>
    </row>
    <row r="120" spans="1:7">
      <c r="A120" s="11"/>
      <c r="B120" s="11"/>
      <c r="C120" s="105"/>
      <c r="D120" s="105"/>
      <c r="E120" s="105"/>
      <c r="F120" s="105"/>
      <c r="G120" s="105"/>
    </row>
    <row r="121" spans="1:7">
      <c r="A121" s="11"/>
      <c r="B121" s="11"/>
      <c r="C121" s="105"/>
      <c r="D121" s="105"/>
      <c r="E121" s="105"/>
      <c r="F121" s="105"/>
      <c r="G121" s="105"/>
    </row>
    <row r="122" spans="1:7">
      <c r="A122" s="11"/>
      <c r="B122" s="11"/>
      <c r="C122" s="105"/>
      <c r="D122" s="105"/>
      <c r="E122" s="105"/>
      <c r="F122" s="105"/>
      <c r="G122" s="105"/>
    </row>
    <row r="123" spans="1:7">
      <c r="A123" s="11"/>
      <c r="B123" s="11"/>
      <c r="C123" s="105"/>
      <c r="D123" s="105"/>
      <c r="E123" s="105"/>
      <c r="F123" s="105"/>
      <c r="G123" s="105"/>
    </row>
    <row r="124" spans="1:7">
      <c r="A124" s="11"/>
      <c r="B124" s="11"/>
      <c r="C124" s="105"/>
      <c r="D124" s="105"/>
      <c r="E124" s="105"/>
      <c r="F124" s="105"/>
      <c r="G124" s="105"/>
    </row>
    <row r="125" spans="1:7">
      <c r="A125" s="11"/>
      <c r="B125" s="11"/>
      <c r="C125" s="105"/>
      <c r="D125" s="105"/>
      <c r="E125" s="105"/>
      <c r="F125" s="105"/>
      <c r="G125" s="105"/>
    </row>
    <row r="126" spans="1:7">
      <c r="A126" s="11"/>
      <c r="B126" s="11"/>
      <c r="C126" s="105"/>
      <c r="D126" s="105"/>
      <c r="E126" s="105"/>
      <c r="F126" s="105"/>
      <c r="G126" s="105"/>
    </row>
    <row r="127" spans="1:7">
      <c r="A127" s="11"/>
      <c r="B127" s="11"/>
      <c r="C127" s="105"/>
      <c r="D127" s="105"/>
      <c r="E127" s="105"/>
      <c r="F127" s="105"/>
      <c r="G127" s="105"/>
    </row>
    <row r="128" spans="1:7">
      <c r="A128" s="11"/>
      <c r="B128" s="11"/>
      <c r="C128" s="105"/>
      <c r="D128" s="105"/>
      <c r="E128" s="105"/>
      <c r="F128" s="105"/>
      <c r="G128" s="105"/>
    </row>
    <row r="129" spans="1:7">
      <c r="A129" s="11"/>
      <c r="B129" s="11"/>
      <c r="C129" s="105"/>
      <c r="D129" s="105"/>
      <c r="E129" s="105"/>
      <c r="F129" s="105"/>
      <c r="G129" s="105"/>
    </row>
    <row r="130" spans="1:7">
      <c r="A130" s="11"/>
      <c r="B130" s="11"/>
      <c r="C130" s="105"/>
      <c r="D130" s="105"/>
      <c r="E130" s="105"/>
      <c r="F130" s="105"/>
      <c r="G130" s="105"/>
    </row>
    <row r="131" spans="1:7">
      <c r="A131" s="11"/>
      <c r="B131" s="11"/>
      <c r="C131" s="105"/>
      <c r="D131" s="105"/>
      <c r="E131" s="105"/>
      <c r="F131" s="105"/>
      <c r="G131" s="105"/>
    </row>
    <row r="132" spans="1:7">
      <c r="A132" s="11"/>
      <c r="B132" s="11"/>
      <c r="C132" s="105"/>
      <c r="D132" s="105"/>
      <c r="E132" s="105"/>
      <c r="F132" s="105"/>
      <c r="G132" s="105"/>
    </row>
    <row r="133" spans="1:7">
      <c r="A133" s="11"/>
      <c r="B133" s="11"/>
      <c r="C133" s="105"/>
      <c r="D133" s="105"/>
      <c r="E133" s="105"/>
      <c r="F133" s="105"/>
      <c r="G133" s="105"/>
    </row>
    <row r="134" spans="1:7">
      <c r="A134" s="11"/>
      <c r="B134" s="11"/>
      <c r="C134" s="105"/>
      <c r="D134" s="105"/>
      <c r="E134" s="105"/>
      <c r="F134" s="105"/>
      <c r="G134" s="105"/>
    </row>
    <row r="135" spans="1:7">
      <c r="A135" s="11"/>
      <c r="B135" s="11"/>
      <c r="C135" s="105"/>
      <c r="D135" s="105"/>
      <c r="E135" s="105"/>
      <c r="F135" s="105"/>
      <c r="G135" s="105"/>
    </row>
    <row r="136" spans="1:7">
      <c r="A136" s="11"/>
      <c r="B136" s="11"/>
      <c r="C136" s="105"/>
      <c r="D136" s="105"/>
      <c r="E136" s="105"/>
      <c r="F136" s="105"/>
      <c r="G136" s="105"/>
    </row>
    <row r="137" spans="1:7">
      <c r="A137" s="11"/>
      <c r="B137" s="11"/>
      <c r="C137" s="105"/>
      <c r="D137" s="105"/>
      <c r="E137" s="105"/>
      <c r="F137" s="105"/>
      <c r="G137" s="105"/>
    </row>
    <row r="138" spans="1:7">
      <c r="A138" s="11"/>
      <c r="B138" s="11"/>
      <c r="C138" s="105"/>
      <c r="D138" s="105"/>
      <c r="E138" s="105"/>
      <c r="F138" s="105"/>
      <c r="G138" s="105"/>
    </row>
    <row r="139" spans="1:7">
      <c r="A139" s="11"/>
      <c r="B139" s="11"/>
      <c r="C139" s="105"/>
      <c r="D139" s="105"/>
      <c r="E139" s="105"/>
      <c r="F139" s="105"/>
      <c r="G139" s="105"/>
    </row>
    <row r="140" spans="1:7">
      <c r="A140" s="11"/>
      <c r="B140" s="11"/>
      <c r="C140" s="105"/>
      <c r="D140" s="105"/>
      <c r="E140" s="105"/>
      <c r="F140" s="105"/>
      <c r="G140" s="105"/>
    </row>
    <row r="141" spans="1:7">
      <c r="A141" s="11"/>
      <c r="B141" s="11"/>
      <c r="C141" s="105"/>
      <c r="D141" s="105"/>
      <c r="E141" s="105"/>
      <c r="F141" s="105"/>
      <c r="G141" s="105"/>
    </row>
    <row r="142" spans="1:7">
      <c r="A142" s="11"/>
      <c r="B142" s="11"/>
      <c r="C142" s="105"/>
      <c r="D142" s="105"/>
      <c r="E142" s="105"/>
      <c r="F142" s="105"/>
      <c r="G142" s="105"/>
    </row>
    <row r="143" spans="1:7">
      <c r="A143" s="11"/>
      <c r="B143" s="11"/>
      <c r="C143" s="105"/>
      <c r="D143" s="105"/>
      <c r="E143" s="105"/>
      <c r="F143" s="105"/>
      <c r="G143" s="105"/>
    </row>
    <row r="144" spans="1:7">
      <c r="A144" s="11"/>
      <c r="B144" s="11"/>
      <c r="C144" s="105"/>
      <c r="D144" s="105"/>
      <c r="E144" s="105"/>
      <c r="F144" s="105"/>
      <c r="G144" s="105"/>
    </row>
    <row r="145" spans="1:7">
      <c r="A145" s="11"/>
      <c r="B145" s="11"/>
      <c r="C145" s="105"/>
      <c r="D145" s="105"/>
      <c r="E145" s="105"/>
      <c r="F145" s="105"/>
      <c r="G145" s="105"/>
    </row>
    <row r="146" spans="1:7">
      <c r="A146" s="11"/>
      <c r="B146" s="11"/>
      <c r="C146" s="105"/>
      <c r="D146" s="105"/>
      <c r="E146" s="105"/>
      <c r="F146" s="105"/>
      <c r="G146" s="105"/>
    </row>
    <row r="147" spans="1:7">
      <c r="A147" s="11"/>
      <c r="B147" s="11"/>
      <c r="C147" s="105"/>
      <c r="D147" s="105"/>
      <c r="E147" s="105"/>
      <c r="F147" s="105"/>
      <c r="G147" s="105"/>
    </row>
    <row r="148" spans="1:7">
      <c r="A148" s="11"/>
      <c r="B148" s="11"/>
      <c r="C148" s="105"/>
      <c r="D148" s="105"/>
      <c r="E148" s="105"/>
      <c r="F148" s="105"/>
      <c r="G148" s="105"/>
    </row>
    <row r="149" spans="1:7">
      <c r="A149" s="11"/>
      <c r="B149" s="11"/>
      <c r="C149" s="105"/>
      <c r="D149" s="105"/>
      <c r="E149" s="105"/>
      <c r="F149" s="105"/>
      <c r="G149" s="105"/>
    </row>
    <row r="150" spans="1:7">
      <c r="A150" s="11"/>
      <c r="B150" s="11"/>
      <c r="C150" s="105"/>
      <c r="D150" s="105"/>
      <c r="E150" s="105"/>
      <c r="F150" s="105"/>
      <c r="G150" s="105"/>
    </row>
    <row r="151" spans="1:7">
      <c r="A151" s="11"/>
      <c r="B151" s="11"/>
      <c r="C151" s="105"/>
      <c r="D151" s="105"/>
      <c r="E151" s="105"/>
      <c r="F151" s="105"/>
      <c r="G151" s="105"/>
    </row>
    <row r="152" spans="1:7">
      <c r="A152" s="11"/>
      <c r="B152" s="11"/>
      <c r="C152" s="105"/>
      <c r="D152" s="105"/>
      <c r="E152" s="105"/>
      <c r="F152" s="105"/>
      <c r="G152" s="105"/>
    </row>
    <row r="153" spans="1:7">
      <c r="A153" s="11"/>
      <c r="B153" s="11"/>
      <c r="C153" s="105"/>
      <c r="D153" s="105"/>
      <c r="E153" s="105"/>
      <c r="F153" s="105"/>
      <c r="G153" s="105"/>
    </row>
    <row r="154" spans="1:7">
      <c r="A154" s="11"/>
      <c r="B154" s="11"/>
      <c r="C154" s="105"/>
      <c r="D154" s="105"/>
      <c r="E154" s="105"/>
      <c r="F154" s="105"/>
      <c r="G154" s="105"/>
    </row>
    <row r="155" spans="1:7">
      <c r="A155" s="11"/>
      <c r="B155" s="11"/>
      <c r="C155" s="105"/>
      <c r="D155" s="105"/>
      <c r="E155" s="105"/>
      <c r="F155" s="105"/>
      <c r="G155" s="105"/>
    </row>
    <row r="156" spans="1:7">
      <c r="A156" s="11"/>
      <c r="B156" s="11"/>
      <c r="C156" s="105"/>
      <c r="D156" s="105"/>
      <c r="E156" s="105"/>
      <c r="F156" s="105"/>
      <c r="G156" s="105"/>
    </row>
    <row r="157" spans="1:7">
      <c r="A157" s="11"/>
      <c r="B157" s="11"/>
      <c r="C157" s="105"/>
      <c r="D157" s="105"/>
      <c r="E157" s="105"/>
      <c r="F157" s="105"/>
      <c r="G157" s="105"/>
    </row>
    <row r="158" spans="1:7">
      <c r="A158" s="11"/>
      <c r="B158" s="11"/>
      <c r="C158" s="105"/>
      <c r="D158" s="105"/>
      <c r="E158" s="105"/>
      <c r="F158" s="105"/>
      <c r="G158" s="105"/>
    </row>
    <row r="159" spans="1:7">
      <c r="A159" s="11"/>
      <c r="B159" s="11"/>
      <c r="C159" s="105"/>
      <c r="D159" s="105"/>
      <c r="E159" s="105"/>
      <c r="F159" s="105"/>
      <c r="G159" s="105"/>
    </row>
    <row r="160" spans="1:7">
      <c r="A160" s="11"/>
      <c r="B160" s="11"/>
      <c r="C160" s="105"/>
      <c r="D160" s="105"/>
      <c r="E160" s="105"/>
      <c r="F160" s="105"/>
      <c r="G160" s="105"/>
    </row>
    <row r="161" spans="1:7">
      <c r="A161" s="11"/>
      <c r="B161" s="11"/>
      <c r="C161" s="105"/>
      <c r="D161" s="105"/>
      <c r="E161" s="105"/>
      <c r="F161" s="105"/>
      <c r="G161" s="105"/>
    </row>
    <row r="162" spans="1:7">
      <c r="A162" s="11"/>
      <c r="B162" s="11"/>
      <c r="C162" s="105"/>
      <c r="D162" s="105"/>
      <c r="E162" s="105"/>
      <c r="F162" s="105"/>
      <c r="G162" s="105"/>
    </row>
    <row r="163" spans="1:7">
      <c r="A163" s="11"/>
      <c r="B163" s="11"/>
      <c r="C163" s="105"/>
      <c r="D163" s="105"/>
      <c r="E163" s="105"/>
      <c r="F163" s="105"/>
      <c r="G163" s="105"/>
    </row>
    <row r="164" spans="1:7">
      <c r="A164" s="11"/>
      <c r="B164" s="11"/>
      <c r="C164" s="105"/>
      <c r="D164" s="105"/>
      <c r="E164" s="105"/>
      <c r="F164" s="105"/>
      <c r="G164" s="105"/>
    </row>
    <row r="165" spans="1:7">
      <c r="A165" s="11"/>
      <c r="B165" s="11"/>
      <c r="C165" s="105"/>
      <c r="D165" s="105"/>
      <c r="E165" s="105"/>
      <c r="F165" s="105"/>
      <c r="G165" s="105"/>
    </row>
    <row r="166" spans="1:7">
      <c r="A166" s="11"/>
      <c r="B166" s="11"/>
      <c r="C166" s="105"/>
      <c r="D166" s="105"/>
      <c r="E166" s="105"/>
      <c r="F166" s="105"/>
      <c r="G166" s="105"/>
    </row>
    <row r="167" spans="1:7">
      <c r="A167" s="11"/>
      <c r="B167" s="11"/>
      <c r="C167" s="105"/>
      <c r="D167" s="105"/>
      <c r="E167" s="105"/>
      <c r="F167" s="105"/>
      <c r="G167" s="105"/>
    </row>
    <row r="168" spans="1:7">
      <c r="A168" s="11"/>
      <c r="B168" s="11"/>
      <c r="C168" s="105"/>
      <c r="D168" s="105"/>
      <c r="E168" s="105"/>
      <c r="F168" s="105"/>
      <c r="G168" s="105"/>
    </row>
    <row r="169" spans="1:7">
      <c r="A169" s="11"/>
      <c r="B169" s="11"/>
      <c r="C169" s="105"/>
      <c r="D169" s="105"/>
      <c r="E169" s="105"/>
      <c r="F169" s="105"/>
      <c r="G169" s="105"/>
    </row>
    <row r="170" spans="1:7">
      <c r="A170" s="11"/>
      <c r="B170" s="11"/>
      <c r="C170" s="105"/>
      <c r="D170" s="105"/>
      <c r="E170" s="105"/>
      <c r="F170" s="105"/>
      <c r="G170" s="105"/>
    </row>
    <row r="171" spans="1:7">
      <c r="A171" s="11"/>
      <c r="B171" s="11"/>
      <c r="C171" s="105"/>
      <c r="D171" s="105"/>
      <c r="E171" s="105"/>
      <c r="F171" s="105"/>
      <c r="G171" s="105"/>
    </row>
    <row r="172" spans="1:7">
      <c r="A172" s="11"/>
      <c r="B172" s="11"/>
      <c r="C172" s="105"/>
      <c r="D172" s="105"/>
      <c r="E172" s="105"/>
      <c r="F172" s="105"/>
      <c r="G172" s="105"/>
    </row>
    <row r="173" spans="1:7">
      <c r="A173" s="11"/>
      <c r="B173" s="11"/>
      <c r="C173" s="105"/>
      <c r="D173" s="105"/>
      <c r="E173" s="105"/>
      <c r="F173" s="105"/>
      <c r="G173" s="105"/>
    </row>
    <row r="174" spans="1:7">
      <c r="A174" s="11"/>
      <c r="B174" s="11"/>
      <c r="C174" s="105"/>
      <c r="D174" s="105"/>
      <c r="E174" s="105"/>
      <c r="F174" s="105"/>
      <c r="G174" s="105"/>
    </row>
    <row r="175" spans="1:7">
      <c r="A175" s="11"/>
      <c r="B175" s="11"/>
      <c r="C175" s="105"/>
      <c r="D175" s="105"/>
      <c r="E175" s="105"/>
      <c r="F175" s="105"/>
      <c r="G175" s="105"/>
    </row>
    <row r="176" spans="1:7">
      <c r="A176" s="11"/>
      <c r="B176" s="11"/>
      <c r="C176" s="105"/>
      <c r="D176" s="105"/>
      <c r="E176" s="105"/>
      <c r="F176" s="105"/>
      <c r="G176" s="105"/>
    </row>
    <row r="177" spans="1:7">
      <c r="A177" s="11"/>
      <c r="B177" s="11"/>
      <c r="C177" s="105"/>
      <c r="D177" s="105"/>
      <c r="E177" s="105"/>
      <c r="F177" s="105"/>
      <c r="G177" s="105"/>
    </row>
    <row r="178" spans="1:7">
      <c r="A178" s="11"/>
      <c r="B178" s="11"/>
      <c r="C178" s="105"/>
      <c r="D178" s="105"/>
      <c r="E178" s="105"/>
      <c r="F178" s="105"/>
      <c r="G178" s="105"/>
    </row>
    <row r="179" spans="1:7">
      <c r="A179" s="11"/>
      <c r="B179" s="11"/>
      <c r="C179" s="105"/>
      <c r="D179" s="105"/>
      <c r="E179" s="105"/>
      <c r="F179" s="105"/>
      <c r="G179" s="105"/>
    </row>
    <row r="180" spans="1:7">
      <c r="A180" s="11"/>
      <c r="B180" s="11"/>
      <c r="C180" s="105"/>
      <c r="D180" s="105"/>
      <c r="E180" s="105"/>
      <c r="F180" s="105"/>
      <c r="G180" s="105"/>
    </row>
    <row r="181" spans="1:7">
      <c r="A181" s="11"/>
      <c r="B181" s="11"/>
      <c r="C181" s="105"/>
      <c r="D181" s="105"/>
      <c r="E181" s="105"/>
      <c r="F181" s="105"/>
      <c r="G181" s="105"/>
    </row>
    <row r="182" spans="1:7">
      <c r="A182" s="11"/>
      <c r="B182" s="11"/>
      <c r="C182" s="105"/>
      <c r="D182" s="105"/>
      <c r="E182" s="105"/>
      <c r="F182" s="105"/>
      <c r="G182" s="105"/>
    </row>
    <row r="183" spans="1:7">
      <c r="A183" s="11"/>
      <c r="B183" s="11"/>
      <c r="C183" s="105"/>
      <c r="D183" s="105"/>
      <c r="E183" s="105"/>
      <c r="F183" s="105"/>
      <c r="G183" s="105"/>
    </row>
    <row r="184" spans="1:7">
      <c r="A184" s="11"/>
      <c r="B184" s="11"/>
      <c r="C184" s="105"/>
      <c r="D184" s="105"/>
      <c r="E184" s="105"/>
      <c r="F184" s="105"/>
      <c r="G184" s="105"/>
    </row>
    <row r="185" spans="1:7">
      <c r="A185" s="11"/>
      <c r="B185" s="11"/>
      <c r="C185" s="105"/>
      <c r="D185" s="105"/>
      <c r="E185" s="105"/>
      <c r="F185" s="105"/>
      <c r="G185" s="105"/>
    </row>
    <row r="186" spans="1:7">
      <c r="A186" s="11"/>
      <c r="B186" s="11"/>
      <c r="C186" s="105"/>
      <c r="D186" s="105"/>
      <c r="E186" s="105"/>
      <c r="F186" s="105"/>
      <c r="G186" s="105"/>
    </row>
    <row r="187" spans="1:7">
      <c r="A187" s="11"/>
      <c r="B187" s="11"/>
      <c r="C187" s="105"/>
      <c r="D187" s="105"/>
      <c r="E187" s="105"/>
      <c r="F187" s="105"/>
      <c r="G187" s="105"/>
    </row>
    <row r="188" spans="1:7">
      <c r="A188" s="11"/>
      <c r="B188" s="11"/>
      <c r="C188" s="105"/>
      <c r="D188" s="105"/>
      <c r="E188" s="105"/>
      <c r="F188" s="105"/>
      <c r="G188" s="105"/>
    </row>
    <row r="189" spans="1:7">
      <c r="A189" s="11"/>
      <c r="B189" s="11"/>
      <c r="C189" s="105"/>
      <c r="D189" s="105"/>
      <c r="E189" s="105"/>
      <c r="F189" s="105"/>
      <c r="G189" s="105"/>
    </row>
    <row r="190" spans="1:7">
      <c r="A190" s="11"/>
      <c r="B190" s="11"/>
      <c r="C190" s="105"/>
      <c r="D190" s="105"/>
      <c r="E190" s="105"/>
      <c r="F190" s="105"/>
      <c r="G190" s="105"/>
    </row>
    <row r="191" spans="1:7">
      <c r="A191" s="11"/>
      <c r="B191" s="11"/>
      <c r="C191" s="105"/>
      <c r="D191" s="105"/>
      <c r="E191" s="105"/>
      <c r="F191" s="105"/>
      <c r="G191" s="105"/>
    </row>
    <row r="192" spans="1:7">
      <c r="A192" s="11"/>
      <c r="B192" s="11"/>
      <c r="C192" s="105"/>
      <c r="D192" s="105"/>
      <c r="E192" s="105"/>
      <c r="F192" s="105"/>
      <c r="G192" s="105"/>
    </row>
    <row r="193" spans="1:7">
      <c r="A193" s="11"/>
      <c r="B193" s="11"/>
      <c r="C193" s="105"/>
      <c r="D193" s="105"/>
      <c r="E193" s="105"/>
      <c r="F193" s="105"/>
      <c r="G193" s="105"/>
    </row>
    <row r="194" spans="1:7">
      <c r="A194" s="11"/>
      <c r="B194" s="11"/>
      <c r="C194" s="105"/>
      <c r="D194" s="105"/>
      <c r="E194" s="105"/>
      <c r="F194" s="105"/>
      <c r="G194" s="105"/>
    </row>
    <row r="195" spans="1:7">
      <c r="A195" s="11"/>
      <c r="B195" s="11"/>
      <c r="C195" s="105"/>
      <c r="D195" s="105"/>
      <c r="E195" s="105"/>
      <c r="F195" s="105"/>
      <c r="G195" s="105"/>
    </row>
    <row r="196" spans="1:7">
      <c r="A196" s="11"/>
      <c r="B196" s="11"/>
      <c r="C196" s="105"/>
      <c r="D196" s="105"/>
      <c r="E196" s="105"/>
      <c r="F196" s="105"/>
      <c r="G196" s="105"/>
    </row>
    <row r="197" spans="1:7">
      <c r="A197" s="11"/>
      <c r="B197" s="11"/>
      <c r="C197" s="105"/>
      <c r="D197" s="105"/>
      <c r="E197" s="105"/>
      <c r="F197" s="105"/>
      <c r="G197" s="105"/>
    </row>
    <row r="198" spans="1:7">
      <c r="A198" s="11"/>
      <c r="B198" s="11"/>
      <c r="C198" s="105"/>
      <c r="D198" s="105"/>
      <c r="E198" s="105"/>
      <c r="F198" s="105"/>
      <c r="G198" s="105"/>
    </row>
    <row r="199" spans="1:7">
      <c r="A199" s="11"/>
      <c r="B199" s="11"/>
      <c r="C199" s="105"/>
      <c r="D199" s="105"/>
      <c r="E199" s="105"/>
      <c r="F199" s="105"/>
      <c r="G199" s="105"/>
    </row>
    <row r="200" spans="1:7">
      <c r="A200" s="11"/>
      <c r="B200" s="11"/>
      <c r="C200" s="105"/>
      <c r="D200" s="105"/>
      <c r="E200" s="105"/>
      <c r="F200" s="105"/>
      <c r="G200" s="105"/>
    </row>
    <row r="201" spans="1:7">
      <c r="A201" s="11"/>
      <c r="B201" s="11"/>
      <c r="C201" s="105"/>
      <c r="D201" s="105"/>
      <c r="E201" s="105"/>
      <c r="F201" s="105"/>
      <c r="G201" s="105"/>
    </row>
    <row r="202" spans="1:7">
      <c r="A202" s="11"/>
      <c r="B202" s="11"/>
      <c r="C202" s="105"/>
      <c r="D202" s="105"/>
      <c r="E202" s="105"/>
      <c r="F202" s="105"/>
      <c r="G202" s="105"/>
    </row>
    <row r="203" spans="1:7">
      <c r="A203" s="11"/>
      <c r="B203" s="11"/>
      <c r="C203" s="105"/>
      <c r="D203" s="105"/>
      <c r="E203" s="105"/>
      <c r="F203" s="105"/>
      <c r="G203" s="105"/>
    </row>
    <row r="204" spans="1:7">
      <c r="A204" s="11"/>
      <c r="B204" s="11"/>
      <c r="C204" s="105"/>
      <c r="D204" s="105"/>
      <c r="E204" s="105"/>
      <c r="F204" s="105"/>
      <c r="G204" s="105"/>
    </row>
    <row r="205" spans="1:7">
      <c r="A205" s="11"/>
      <c r="B205" s="11"/>
      <c r="C205" s="105"/>
      <c r="D205" s="105"/>
      <c r="E205" s="105"/>
      <c r="F205" s="105"/>
      <c r="G205" s="105"/>
    </row>
    <row r="206" spans="1:7">
      <c r="A206" s="11"/>
      <c r="B206" s="11"/>
      <c r="C206" s="105"/>
      <c r="D206" s="105"/>
      <c r="E206" s="105"/>
      <c r="F206" s="105"/>
      <c r="G206" s="105"/>
    </row>
    <row r="207" spans="1:7">
      <c r="A207" s="11"/>
      <c r="B207" s="11"/>
      <c r="C207" s="105"/>
      <c r="D207" s="105"/>
      <c r="E207" s="105"/>
      <c r="F207" s="105"/>
      <c r="G207" s="105"/>
    </row>
    <row r="208" spans="1:7">
      <c r="A208" s="11"/>
      <c r="B208" s="11"/>
      <c r="C208" s="105"/>
      <c r="D208" s="105"/>
      <c r="E208" s="105"/>
      <c r="F208" s="105"/>
      <c r="G208" s="105"/>
    </row>
    <row r="209" spans="1:7">
      <c r="A209" s="11"/>
      <c r="B209" s="11"/>
      <c r="C209" s="105"/>
      <c r="D209" s="105"/>
      <c r="E209" s="105"/>
      <c r="F209" s="105"/>
      <c r="G209" s="105"/>
    </row>
    <row r="210" spans="1:7">
      <c r="A210" s="11"/>
      <c r="B210" s="11"/>
      <c r="C210" s="105"/>
      <c r="D210" s="105"/>
      <c r="E210" s="105"/>
      <c r="F210" s="105"/>
      <c r="G210" s="105"/>
    </row>
    <row r="211" spans="1:7">
      <c r="A211" s="11"/>
      <c r="B211" s="11"/>
      <c r="C211" s="105"/>
      <c r="D211" s="105"/>
      <c r="E211" s="105"/>
      <c r="F211" s="105"/>
      <c r="G211" s="105"/>
    </row>
    <row r="212" spans="1:7">
      <c r="A212" s="11"/>
      <c r="B212" s="11"/>
      <c r="C212" s="105"/>
      <c r="D212" s="105"/>
      <c r="E212" s="105"/>
      <c r="F212" s="105"/>
      <c r="G212" s="105"/>
    </row>
    <row r="213" spans="1:7">
      <c r="A213" s="11"/>
      <c r="B213" s="11"/>
      <c r="C213" s="105"/>
      <c r="D213" s="105"/>
      <c r="E213" s="105"/>
      <c r="F213" s="105"/>
      <c r="G213" s="105"/>
    </row>
    <row r="214" spans="1:7">
      <c r="A214" s="11"/>
      <c r="B214" s="11"/>
      <c r="C214" s="105"/>
      <c r="D214" s="105"/>
      <c r="E214" s="105"/>
      <c r="F214" s="105"/>
      <c r="G214" s="105"/>
    </row>
    <row r="215" spans="1:7">
      <c r="A215" s="11"/>
      <c r="B215" s="11"/>
      <c r="C215" s="105"/>
      <c r="D215" s="105"/>
      <c r="E215" s="105"/>
      <c r="F215" s="105"/>
      <c r="G215" s="105"/>
    </row>
    <row r="216" spans="1:7">
      <c r="A216" s="11"/>
      <c r="B216" s="11"/>
      <c r="C216" s="105"/>
      <c r="D216" s="105"/>
      <c r="E216" s="105"/>
      <c r="F216" s="105"/>
      <c r="G216" s="105"/>
    </row>
    <row r="217" spans="1:7">
      <c r="A217" s="11"/>
      <c r="B217" s="11"/>
      <c r="C217" s="105"/>
      <c r="D217" s="105"/>
      <c r="E217" s="105"/>
      <c r="F217" s="105"/>
      <c r="G217" s="105"/>
    </row>
    <row r="218" spans="1:7">
      <c r="A218" s="11"/>
      <c r="B218" s="11"/>
      <c r="C218" s="105"/>
      <c r="D218" s="105"/>
      <c r="E218" s="105"/>
      <c r="F218" s="105"/>
      <c r="G218" s="105"/>
    </row>
    <row r="219" spans="1:7">
      <c r="A219" s="11"/>
      <c r="B219" s="11"/>
      <c r="C219" s="105"/>
      <c r="D219" s="105"/>
      <c r="E219" s="105"/>
      <c r="F219" s="105"/>
      <c r="G219" s="105"/>
    </row>
    <row r="220" spans="1:7">
      <c r="A220" s="11"/>
      <c r="B220" s="11"/>
      <c r="C220" s="105"/>
      <c r="D220" s="105"/>
      <c r="E220" s="105"/>
      <c r="F220" s="105"/>
      <c r="G220" s="105"/>
    </row>
    <row r="221" spans="1:7">
      <c r="A221" s="11"/>
      <c r="B221" s="11"/>
      <c r="C221" s="105"/>
      <c r="D221" s="105"/>
      <c r="E221" s="105"/>
      <c r="F221" s="105"/>
      <c r="G221" s="105"/>
    </row>
    <row r="222" spans="1:7">
      <c r="A222" s="11"/>
      <c r="B222" s="11"/>
      <c r="C222" s="105"/>
      <c r="D222" s="105"/>
      <c r="E222" s="105"/>
      <c r="F222" s="105"/>
      <c r="G222" s="105"/>
    </row>
    <row r="223" spans="1:7">
      <c r="A223" s="11"/>
      <c r="B223" s="11"/>
      <c r="C223" s="105"/>
      <c r="D223" s="105"/>
      <c r="E223" s="105"/>
      <c r="F223" s="105"/>
      <c r="G223" s="105"/>
    </row>
    <row r="224" spans="1:7">
      <c r="A224" s="11"/>
      <c r="B224" s="11"/>
      <c r="C224" s="105"/>
      <c r="D224" s="105"/>
      <c r="E224" s="105"/>
      <c r="F224" s="105"/>
      <c r="G224" s="105"/>
    </row>
    <row r="225" spans="1:7">
      <c r="A225" s="11"/>
      <c r="B225" s="11"/>
      <c r="C225" s="105"/>
      <c r="D225" s="105"/>
      <c r="E225" s="105"/>
      <c r="F225" s="105"/>
      <c r="G225" s="105"/>
    </row>
    <row r="226" spans="1:7">
      <c r="A226" s="11"/>
      <c r="B226" s="11"/>
      <c r="C226" s="105"/>
      <c r="D226" s="105"/>
      <c r="E226" s="105"/>
      <c r="F226" s="105"/>
      <c r="G226" s="105"/>
    </row>
    <row r="227" spans="1:7">
      <c r="A227" s="11"/>
      <c r="B227" s="11"/>
      <c r="C227" s="105"/>
      <c r="D227" s="105"/>
      <c r="E227" s="105"/>
      <c r="F227" s="105"/>
      <c r="G227" s="105"/>
    </row>
    <row r="228" spans="1:7">
      <c r="A228" s="11"/>
      <c r="B228" s="11"/>
      <c r="C228" s="105"/>
      <c r="D228" s="105"/>
      <c r="E228" s="105"/>
      <c r="F228" s="105"/>
      <c r="G228" s="105"/>
    </row>
    <row r="229" spans="1:7">
      <c r="A229" s="11"/>
      <c r="B229" s="11"/>
      <c r="C229" s="105"/>
      <c r="D229" s="105"/>
      <c r="E229" s="105"/>
      <c r="F229" s="105"/>
      <c r="G229" s="105"/>
    </row>
    <row r="230" spans="1:7">
      <c r="A230" s="11"/>
      <c r="B230" s="11"/>
      <c r="C230" s="105"/>
      <c r="D230" s="105"/>
      <c r="E230" s="105"/>
      <c r="F230" s="105"/>
      <c r="G230" s="105"/>
    </row>
    <row r="231" spans="1:7">
      <c r="A231" s="11"/>
      <c r="B231" s="11"/>
      <c r="C231" s="105"/>
      <c r="D231" s="105"/>
      <c r="E231" s="105"/>
      <c r="F231" s="105"/>
      <c r="G231" s="105"/>
    </row>
    <row r="232" spans="1:7">
      <c r="A232" s="11"/>
      <c r="B232" s="11"/>
      <c r="C232" s="105"/>
      <c r="D232" s="105"/>
      <c r="E232" s="105"/>
      <c r="F232" s="105"/>
      <c r="G232" s="105"/>
    </row>
    <row r="233" spans="1:7">
      <c r="A233" s="11"/>
      <c r="B233" s="11"/>
      <c r="C233" s="105"/>
      <c r="D233" s="105"/>
      <c r="E233" s="105"/>
      <c r="F233" s="105"/>
      <c r="G233" s="105"/>
    </row>
    <row r="234" spans="1:7">
      <c r="A234" s="11"/>
      <c r="B234" s="11"/>
      <c r="C234" s="105"/>
      <c r="D234" s="105"/>
      <c r="E234" s="105"/>
      <c r="F234" s="105"/>
      <c r="G234" s="105"/>
    </row>
    <row r="235" spans="1:7">
      <c r="A235" s="11"/>
      <c r="B235" s="11"/>
      <c r="C235" s="105"/>
      <c r="D235" s="105"/>
      <c r="E235" s="105"/>
      <c r="F235" s="105"/>
      <c r="G235" s="105"/>
    </row>
    <row r="236" spans="1:7">
      <c r="A236" s="11"/>
      <c r="B236" s="11"/>
      <c r="C236" s="105"/>
      <c r="D236" s="105"/>
      <c r="E236" s="105"/>
      <c r="F236" s="105"/>
      <c r="G236" s="105"/>
    </row>
    <row r="237" spans="1:7">
      <c r="A237" s="11"/>
      <c r="B237" s="11"/>
      <c r="C237" s="105"/>
      <c r="D237" s="105"/>
      <c r="E237" s="105"/>
      <c r="F237" s="105"/>
      <c r="G237" s="105"/>
    </row>
    <row r="238" spans="1:7">
      <c r="A238" s="11"/>
      <c r="B238" s="11"/>
      <c r="C238" s="105"/>
      <c r="D238" s="105"/>
      <c r="E238" s="105"/>
      <c r="F238" s="105"/>
      <c r="G238" s="105"/>
    </row>
    <row r="239" spans="1:7">
      <c r="A239" s="11"/>
      <c r="B239" s="11"/>
      <c r="C239" s="105"/>
      <c r="D239" s="105"/>
      <c r="E239" s="105"/>
      <c r="F239" s="105"/>
      <c r="G239" s="105"/>
    </row>
    <row r="240" spans="1:7">
      <c r="A240" s="11"/>
      <c r="B240" s="11"/>
      <c r="C240" s="105"/>
      <c r="D240" s="105"/>
      <c r="E240" s="105"/>
      <c r="F240" s="105"/>
      <c r="G240" s="105"/>
    </row>
    <row r="241" spans="1:7">
      <c r="A241" s="11"/>
      <c r="B241" s="11"/>
      <c r="C241" s="105"/>
      <c r="D241" s="105"/>
      <c r="E241" s="105"/>
      <c r="F241" s="105"/>
      <c r="G241" s="105"/>
    </row>
    <row r="242" spans="1:7">
      <c r="A242" s="11"/>
      <c r="B242" s="11"/>
      <c r="C242" s="105"/>
      <c r="D242" s="105"/>
      <c r="E242" s="105"/>
      <c r="F242" s="105"/>
      <c r="G242" s="105"/>
    </row>
    <row r="243" spans="1:7">
      <c r="A243" s="11"/>
      <c r="B243" s="11"/>
      <c r="C243" s="105"/>
      <c r="D243" s="105"/>
      <c r="E243" s="105"/>
      <c r="F243" s="105"/>
      <c r="G243" s="105"/>
    </row>
    <row r="244" spans="1:7">
      <c r="A244" s="11"/>
      <c r="B244" s="11"/>
      <c r="C244" s="105"/>
      <c r="D244" s="105"/>
      <c r="E244" s="105"/>
      <c r="F244" s="105"/>
      <c r="G244" s="105"/>
    </row>
    <row r="245" spans="1:7">
      <c r="A245" s="11"/>
      <c r="B245" s="11"/>
      <c r="C245" s="105"/>
      <c r="D245" s="105"/>
      <c r="E245" s="105"/>
      <c r="F245" s="105"/>
      <c r="G245" s="105"/>
    </row>
    <row r="246" spans="1:7">
      <c r="A246" s="11"/>
      <c r="B246" s="11"/>
      <c r="C246" s="105"/>
      <c r="D246" s="105"/>
      <c r="E246" s="105"/>
      <c r="F246" s="105"/>
      <c r="G246" s="105"/>
    </row>
    <row r="247" spans="1:7">
      <c r="A247" s="11"/>
      <c r="B247" s="11"/>
      <c r="C247" s="105"/>
      <c r="D247" s="105"/>
      <c r="E247" s="105"/>
      <c r="F247" s="105"/>
      <c r="G247" s="105"/>
    </row>
    <row r="248" spans="1:7">
      <c r="A248" s="11"/>
      <c r="B248" s="11"/>
      <c r="C248" s="105"/>
      <c r="D248" s="105"/>
      <c r="E248" s="105"/>
      <c r="F248" s="105"/>
      <c r="G248" s="105"/>
    </row>
    <row r="249" spans="1:7">
      <c r="A249" s="11"/>
      <c r="B249" s="11"/>
      <c r="C249" s="105"/>
      <c r="D249" s="105"/>
      <c r="E249" s="105"/>
      <c r="F249" s="105"/>
      <c r="G249" s="105"/>
    </row>
    <row r="250" spans="1:7">
      <c r="A250" s="11"/>
      <c r="B250" s="11"/>
      <c r="C250" s="105"/>
      <c r="D250" s="105"/>
      <c r="E250" s="105"/>
      <c r="F250" s="105"/>
      <c r="G250" s="105"/>
    </row>
    <row r="251" spans="1:7">
      <c r="A251" s="11"/>
      <c r="B251" s="11"/>
      <c r="C251" s="105"/>
      <c r="D251" s="105"/>
      <c r="E251" s="105"/>
      <c r="F251" s="105"/>
      <c r="G251" s="105"/>
    </row>
    <row r="252" spans="1:7">
      <c r="A252" s="11"/>
      <c r="B252" s="11"/>
      <c r="C252" s="105"/>
      <c r="D252" s="105"/>
      <c r="E252" s="105"/>
      <c r="F252" s="105"/>
      <c r="G252" s="105"/>
    </row>
    <row r="253" spans="1:7">
      <c r="A253" s="11"/>
      <c r="B253" s="11"/>
      <c r="C253" s="105"/>
      <c r="D253" s="105"/>
      <c r="E253" s="105"/>
      <c r="F253" s="105"/>
      <c r="G253" s="105"/>
    </row>
    <row r="254" spans="1:7">
      <c r="A254" s="11"/>
      <c r="B254" s="11"/>
      <c r="C254" s="105"/>
      <c r="D254" s="105"/>
      <c r="E254" s="105"/>
      <c r="F254" s="105"/>
      <c r="G254" s="105"/>
    </row>
    <row r="255" spans="1:7">
      <c r="A255" s="11"/>
      <c r="B255" s="11"/>
      <c r="C255" s="105"/>
      <c r="D255" s="105"/>
      <c r="E255" s="105"/>
      <c r="F255" s="105"/>
      <c r="G255" s="105"/>
    </row>
    <row r="256" spans="1:7">
      <c r="A256" s="11"/>
      <c r="B256" s="11"/>
      <c r="C256" s="105"/>
      <c r="D256" s="105"/>
      <c r="E256" s="105"/>
      <c r="F256" s="105"/>
      <c r="G256" s="105"/>
    </row>
    <row r="257" spans="1:7">
      <c r="A257" s="11"/>
      <c r="B257" s="11"/>
      <c r="C257" s="105"/>
      <c r="D257" s="105"/>
      <c r="E257" s="105"/>
      <c r="F257" s="105"/>
      <c r="G257" s="105"/>
    </row>
    <row r="258" spans="1:7">
      <c r="A258" s="11"/>
      <c r="B258" s="11"/>
      <c r="C258" s="105"/>
      <c r="D258" s="105"/>
      <c r="E258" s="105"/>
      <c r="F258" s="105"/>
      <c r="G258" s="105"/>
    </row>
    <row r="259" spans="1:7">
      <c r="A259" s="11"/>
      <c r="B259" s="11"/>
      <c r="C259" s="105"/>
      <c r="D259" s="105"/>
      <c r="E259" s="105"/>
      <c r="F259" s="105"/>
      <c r="G259" s="105"/>
    </row>
    <row r="260" spans="1:7">
      <c r="A260" s="11"/>
      <c r="B260" s="11"/>
      <c r="C260" s="105"/>
      <c r="D260" s="105"/>
      <c r="E260" s="105"/>
      <c r="F260" s="105"/>
      <c r="G260" s="105"/>
    </row>
    <row r="261" spans="1:7">
      <c r="A261" s="11"/>
      <c r="B261" s="11"/>
      <c r="C261" s="105"/>
      <c r="D261" s="105"/>
      <c r="E261" s="105"/>
      <c r="F261" s="105"/>
      <c r="G261" s="105"/>
    </row>
    <row r="262" spans="1:7">
      <c r="A262" s="11"/>
      <c r="B262" s="11"/>
      <c r="C262" s="105"/>
      <c r="D262" s="105"/>
      <c r="E262" s="105"/>
      <c r="F262" s="105"/>
      <c r="G262" s="105"/>
    </row>
    <row r="263" spans="1:7">
      <c r="A263" s="11"/>
      <c r="B263" s="11"/>
      <c r="C263" s="105"/>
      <c r="D263" s="105"/>
      <c r="E263" s="105"/>
      <c r="F263" s="105"/>
      <c r="G263" s="105"/>
    </row>
    <row r="264" spans="1:7">
      <c r="A264" s="11"/>
      <c r="B264" s="11"/>
      <c r="C264" s="105"/>
      <c r="D264" s="105"/>
      <c r="E264" s="105"/>
      <c r="F264" s="105"/>
      <c r="G264" s="105"/>
    </row>
    <row r="265" spans="1:7">
      <c r="A265" s="11"/>
      <c r="B265" s="11"/>
      <c r="C265" s="105"/>
      <c r="D265" s="105"/>
      <c r="E265" s="105"/>
      <c r="F265" s="105"/>
      <c r="G265" s="105"/>
    </row>
    <row r="266" spans="1:7">
      <c r="A266" s="11"/>
      <c r="B266" s="11"/>
      <c r="C266" s="105"/>
      <c r="D266" s="105"/>
      <c r="E266" s="105"/>
      <c r="F266" s="105"/>
      <c r="G266" s="105"/>
    </row>
    <row r="267" spans="1:7">
      <c r="A267" s="11"/>
      <c r="B267" s="11"/>
      <c r="C267" s="105"/>
      <c r="D267" s="105"/>
      <c r="E267" s="105"/>
      <c r="F267" s="105"/>
      <c r="G267" s="105"/>
    </row>
    <row r="268" spans="1:7">
      <c r="A268" s="11"/>
      <c r="B268" s="11"/>
      <c r="C268" s="105"/>
      <c r="D268" s="105"/>
      <c r="E268" s="105"/>
      <c r="F268" s="105"/>
      <c r="G268" s="105"/>
    </row>
    <row r="269" spans="1:7">
      <c r="A269" s="11"/>
      <c r="B269" s="11"/>
      <c r="C269" s="105"/>
      <c r="D269" s="105"/>
      <c r="E269" s="105"/>
      <c r="F269" s="105"/>
      <c r="G269" s="105"/>
    </row>
    <row r="270" spans="1:7">
      <c r="A270" s="11"/>
      <c r="B270" s="11"/>
      <c r="C270" s="105"/>
      <c r="D270" s="105"/>
      <c r="E270" s="105"/>
      <c r="F270" s="105"/>
      <c r="G270" s="105"/>
    </row>
    <row r="271" spans="1:7">
      <c r="A271" s="11"/>
      <c r="B271" s="11"/>
      <c r="C271" s="105"/>
      <c r="D271" s="105"/>
      <c r="E271" s="105"/>
      <c r="F271" s="105"/>
      <c r="G271" s="105"/>
    </row>
    <row r="272" spans="1:7">
      <c r="A272" s="11"/>
      <c r="B272" s="11"/>
      <c r="C272" s="105"/>
      <c r="D272" s="105"/>
      <c r="E272" s="105"/>
      <c r="F272" s="105"/>
      <c r="G272" s="105"/>
    </row>
    <row r="273" spans="1:7">
      <c r="A273" s="11"/>
      <c r="B273" s="11"/>
      <c r="C273" s="105"/>
      <c r="D273" s="105"/>
      <c r="E273" s="105"/>
      <c r="F273" s="105"/>
      <c r="G273" s="105"/>
    </row>
    <row r="274" spans="1:7">
      <c r="A274" s="11"/>
      <c r="B274" s="11"/>
      <c r="C274" s="105"/>
      <c r="D274" s="105"/>
      <c r="E274" s="105"/>
      <c r="F274" s="105"/>
      <c r="G274" s="105"/>
    </row>
    <row r="275" spans="1:7">
      <c r="A275" s="11"/>
      <c r="B275" s="11"/>
      <c r="C275" s="105"/>
      <c r="D275" s="105"/>
      <c r="E275" s="105"/>
      <c r="F275" s="105"/>
      <c r="G275" s="105"/>
    </row>
    <row r="276" spans="1:7">
      <c r="A276" s="11"/>
      <c r="B276" s="11"/>
      <c r="C276" s="105"/>
      <c r="D276" s="105"/>
      <c r="E276" s="105"/>
      <c r="F276" s="105"/>
      <c r="G276" s="105"/>
    </row>
    <row r="277" spans="1:7">
      <c r="A277" s="11"/>
      <c r="B277" s="11"/>
      <c r="C277" s="105"/>
      <c r="D277" s="105"/>
      <c r="E277" s="105"/>
      <c r="F277" s="105"/>
      <c r="G277" s="105"/>
    </row>
    <row r="278" spans="1:7">
      <c r="A278" s="11"/>
      <c r="B278" s="11"/>
      <c r="C278" s="105"/>
      <c r="D278" s="105"/>
      <c r="E278" s="105"/>
      <c r="F278" s="105"/>
      <c r="G278" s="105"/>
    </row>
    <row r="279" spans="1:7">
      <c r="A279" s="11"/>
      <c r="B279" s="11"/>
      <c r="C279" s="105"/>
      <c r="D279" s="105"/>
      <c r="E279" s="105"/>
      <c r="F279" s="105"/>
      <c r="G279" s="105"/>
    </row>
    <row r="280" spans="1:7">
      <c r="A280" s="11"/>
      <c r="B280" s="11"/>
      <c r="C280" s="105"/>
      <c r="D280" s="105"/>
      <c r="E280" s="105"/>
      <c r="F280" s="105"/>
      <c r="G280" s="105"/>
    </row>
    <row r="281" spans="1:7">
      <c r="A281" s="11"/>
      <c r="B281" s="11"/>
      <c r="C281" s="105"/>
      <c r="D281" s="105"/>
      <c r="E281" s="105"/>
      <c r="F281" s="105"/>
      <c r="G281" s="105"/>
    </row>
    <row r="282" spans="1:7">
      <c r="A282" s="11"/>
      <c r="B282" s="11"/>
      <c r="C282" s="105"/>
      <c r="D282" s="105"/>
      <c r="E282" s="105"/>
      <c r="F282" s="105"/>
      <c r="G282" s="105"/>
    </row>
    <row r="283" spans="1:7">
      <c r="A283" s="11"/>
      <c r="B283" s="11"/>
      <c r="C283" s="105"/>
      <c r="D283" s="105"/>
      <c r="E283" s="105"/>
      <c r="F283" s="105"/>
      <c r="G283" s="105"/>
    </row>
    <row r="284" spans="1:7">
      <c r="A284" s="11"/>
      <c r="B284" s="11"/>
      <c r="C284" s="105"/>
      <c r="D284" s="105"/>
      <c r="E284" s="105"/>
      <c r="F284" s="105"/>
      <c r="G284" s="105"/>
    </row>
    <row r="285" spans="1:7">
      <c r="A285" s="11"/>
      <c r="B285" s="11"/>
      <c r="C285" s="105"/>
      <c r="D285" s="105"/>
      <c r="E285" s="105"/>
      <c r="F285" s="105"/>
      <c r="G285" s="105"/>
    </row>
    <row r="286" spans="1:7">
      <c r="A286" s="11"/>
      <c r="B286" s="11"/>
      <c r="C286" s="105"/>
      <c r="D286" s="105"/>
      <c r="E286" s="105"/>
      <c r="F286" s="105"/>
      <c r="G286" s="105"/>
    </row>
    <row r="287" spans="1:7">
      <c r="A287" s="11"/>
      <c r="B287" s="11"/>
      <c r="C287" s="105"/>
      <c r="D287" s="105"/>
      <c r="E287" s="105"/>
      <c r="F287" s="105"/>
      <c r="G287" s="105"/>
    </row>
    <row r="288" spans="1:7">
      <c r="A288" s="11"/>
      <c r="B288" s="11"/>
      <c r="C288" s="105"/>
      <c r="D288" s="105"/>
      <c r="E288" s="105"/>
      <c r="F288" s="105"/>
      <c r="G288" s="105"/>
    </row>
    <row r="289" spans="1:7">
      <c r="A289" s="11"/>
      <c r="B289" s="11"/>
      <c r="C289" s="105"/>
      <c r="D289" s="105"/>
      <c r="E289" s="105"/>
      <c r="F289" s="105"/>
      <c r="G289" s="105"/>
    </row>
    <row r="290" spans="1:7">
      <c r="A290" s="11"/>
      <c r="B290" s="11"/>
      <c r="C290" s="105"/>
      <c r="D290" s="105"/>
      <c r="E290" s="105"/>
      <c r="F290" s="105"/>
      <c r="G290" s="105"/>
    </row>
    <row r="291" spans="1:7">
      <c r="A291" s="11"/>
      <c r="B291" s="11"/>
      <c r="C291" s="105"/>
      <c r="D291" s="105"/>
      <c r="E291" s="105"/>
      <c r="F291" s="105"/>
      <c r="G291" s="105"/>
    </row>
    <row r="292" spans="1:7">
      <c r="A292" s="11"/>
      <c r="B292" s="11"/>
      <c r="C292" s="105"/>
      <c r="D292" s="105"/>
      <c r="E292" s="105"/>
      <c r="F292" s="105"/>
      <c r="G292" s="105"/>
    </row>
    <row r="293" spans="1:7">
      <c r="A293" s="11"/>
      <c r="B293" s="11"/>
      <c r="C293" s="105"/>
      <c r="D293" s="105"/>
      <c r="E293" s="105"/>
      <c r="F293" s="105"/>
      <c r="G293" s="105"/>
    </row>
    <row r="294" spans="1:7">
      <c r="A294" s="11"/>
      <c r="B294" s="11"/>
      <c r="C294" s="105"/>
      <c r="D294" s="105"/>
      <c r="E294" s="105"/>
      <c r="F294" s="105"/>
      <c r="G294" s="105"/>
    </row>
    <row r="295" spans="1:7">
      <c r="A295" s="11"/>
      <c r="B295" s="11"/>
      <c r="C295" s="105"/>
      <c r="D295" s="105"/>
      <c r="E295" s="105"/>
      <c r="F295" s="105"/>
      <c r="G295" s="105"/>
    </row>
    <row r="296" spans="1:7">
      <c r="A296" s="11"/>
      <c r="B296" s="11"/>
      <c r="C296" s="105"/>
      <c r="D296" s="105"/>
      <c r="E296" s="105"/>
      <c r="F296" s="105"/>
      <c r="G296" s="105"/>
    </row>
    <row r="297" spans="1:7">
      <c r="A297" s="11"/>
      <c r="B297" s="11"/>
      <c r="C297" s="105"/>
      <c r="D297" s="105"/>
      <c r="E297" s="105"/>
      <c r="F297" s="105"/>
      <c r="G297" s="105"/>
    </row>
    <row r="298" spans="1:7">
      <c r="A298" s="11"/>
      <c r="B298" s="11"/>
      <c r="C298" s="105"/>
      <c r="D298" s="105"/>
      <c r="E298" s="105"/>
      <c r="F298" s="105"/>
      <c r="G298" s="105"/>
    </row>
    <row r="299" spans="1:7">
      <c r="A299" s="11"/>
      <c r="B299" s="11"/>
      <c r="C299" s="105"/>
      <c r="D299" s="105"/>
      <c r="E299" s="105"/>
      <c r="F299" s="105"/>
      <c r="G299" s="105"/>
    </row>
    <row r="300" spans="1:7">
      <c r="A300" s="11"/>
      <c r="B300" s="11"/>
      <c r="C300" s="105"/>
      <c r="D300" s="105"/>
      <c r="E300" s="105"/>
      <c r="F300" s="105"/>
      <c r="G300" s="105"/>
    </row>
    <row r="301" spans="1:7">
      <c r="A301" s="11"/>
      <c r="B301" s="11"/>
      <c r="C301" s="105"/>
      <c r="D301" s="105"/>
      <c r="E301" s="105"/>
      <c r="F301" s="105"/>
      <c r="G301" s="105"/>
    </row>
    <row r="302" spans="1:7">
      <c r="A302" s="11"/>
      <c r="B302" s="11"/>
      <c r="C302" s="105"/>
      <c r="D302" s="105"/>
      <c r="E302" s="105"/>
      <c r="F302" s="105"/>
      <c r="G302" s="105"/>
    </row>
    <row r="303" spans="1:7">
      <c r="A303" s="11"/>
      <c r="B303" s="11"/>
      <c r="C303" s="105"/>
      <c r="D303" s="105"/>
      <c r="E303" s="105"/>
      <c r="F303" s="105"/>
      <c r="G303" s="105"/>
    </row>
    <row r="304" spans="1:7">
      <c r="A304" s="11"/>
      <c r="B304" s="11"/>
      <c r="C304" s="105"/>
      <c r="D304" s="105"/>
      <c r="E304" s="105"/>
      <c r="F304" s="105"/>
      <c r="G304" s="105"/>
    </row>
    <row r="305" spans="1:7">
      <c r="A305" s="11"/>
      <c r="B305" s="11"/>
      <c r="C305" s="105"/>
      <c r="D305" s="105"/>
      <c r="E305" s="105"/>
      <c r="F305" s="105"/>
      <c r="G305" s="105"/>
    </row>
    <row r="306" spans="1:7">
      <c r="A306" s="11"/>
      <c r="B306" s="11"/>
      <c r="C306" s="105"/>
      <c r="D306" s="105"/>
      <c r="E306" s="105"/>
      <c r="F306" s="105"/>
      <c r="G306" s="105"/>
    </row>
    <row r="307" spans="1:7">
      <c r="A307" s="11"/>
      <c r="B307" s="11"/>
      <c r="C307" s="105"/>
      <c r="D307" s="105"/>
      <c r="E307" s="105"/>
      <c r="F307" s="105"/>
      <c r="G307" s="105"/>
    </row>
    <row r="308" spans="1:7">
      <c r="A308" s="11"/>
      <c r="B308" s="11"/>
      <c r="C308" s="105"/>
      <c r="D308" s="105"/>
      <c r="E308" s="105"/>
      <c r="F308" s="105"/>
      <c r="G308" s="105"/>
    </row>
    <row r="309" spans="1:7">
      <c r="A309" s="11"/>
      <c r="B309" s="11"/>
      <c r="C309" s="105"/>
      <c r="D309" s="105"/>
      <c r="E309" s="105"/>
      <c r="F309" s="105"/>
      <c r="G309" s="105"/>
    </row>
    <row r="310" spans="1:7">
      <c r="A310" s="11"/>
      <c r="B310" s="11"/>
      <c r="C310" s="105"/>
      <c r="D310" s="105"/>
      <c r="E310" s="105"/>
      <c r="F310" s="105"/>
      <c r="G310" s="105"/>
    </row>
    <row r="311" spans="1:7">
      <c r="A311" s="11"/>
      <c r="B311" s="11"/>
      <c r="C311" s="105"/>
      <c r="D311" s="105"/>
      <c r="E311" s="105"/>
      <c r="F311" s="105"/>
      <c r="G311" s="105"/>
    </row>
    <row r="312" spans="1:7">
      <c r="A312" s="11"/>
      <c r="B312" s="11"/>
      <c r="C312" s="105"/>
      <c r="D312" s="105"/>
      <c r="E312" s="105"/>
      <c r="F312" s="105"/>
      <c r="G312" s="105"/>
    </row>
    <row r="313" spans="1:7">
      <c r="A313" s="11"/>
      <c r="B313" s="11"/>
      <c r="C313" s="105"/>
      <c r="D313" s="105"/>
      <c r="E313" s="105"/>
      <c r="F313" s="105"/>
      <c r="G313" s="105"/>
    </row>
    <row r="314" spans="1:7">
      <c r="A314" s="11"/>
      <c r="B314" s="11"/>
      <c r="C314" s="105"/>
      <c r="D314" s="105"/>
      <c r="E314" s="105"/>
      <c r="F314" s="105"/>
      <c r="G314" s="105"/>
    </row>
    <row r="315" spans="1:7">
      <c r="A315" s="11"/>
      <c r="B315" s="11"/>
      <c r="C315" s="105"/>
      <c r="D315" s="105"/>
      <c r="E315" s="105"/>
      <c r="F315" s="105"/>
      <c r="G315" s="105"/>
    </row>
    <row r="316" spans="1:7">
      <c r="A316" s="11"/>
      <c r="B316" s="11"/>
      <c r="C316" s="105"/>
      <c r="D316" s="105"/>
      <c r="E316" s="105"/>
      <c r="F316" s="105"/>
      <c r="G316" s="105"/>
    </row>
    <row r="317" spans="1:7">
      <c r="A317" s="11"/>
      <c r="B317" s="11"/>
      <c r="C317" s="105"/>
      <c r="D317" s="105"/>
      <c r="E317" s="105"/>
      <c r="F317" s="105"/>
      <c r="G317" s="105"/>
    </row>
    <row r="318" spans="1:7">
      <c r="A318" s="11"/>
      <c r="B318" s="11"/>
      <c r="C318" s="105"/>
      <c r="D318" s="105"/>
      <c r="E318" s="105"/>
      <c r="F318" s="105"/>
      <c r="G318" s="105"/>
    </row>
    <row r="319" spans="1:7">
      <c r="A319" s="11"/>
      <c r="B319" s="11"/>
      <c r="C319" s="105"/>
      <c r="D319" s="105"/>
      <c r="E319" s="105"/>
      <c r="F319" s="105"/>
      <c r="G319" s="105"/>
    </row>
    <row r="320" spans="1:7">
      <c r="A320" s="11"/>
      <c r="B320" s="11"/>
      <c r="C320" s="105"/>
      <c r="D320" s="105"/>
      <c r="E320" s="105"/>
      <c r="F320" s="105"/>
      <c r="G320" s="105"/>
    </row>
    <row r="321" spans="1:7">
      <c r="A321" s="11"/>
      <c r="B321" s="11"/>
      <c r="C321" s="105"/>
      <c r="D321" s="105"/>
      <c r="E321" s="105"/>
      <c r="F321" s="105"/>
      <c r="G321" s="105"/>
    </row>
    <row r="322" spans="1:7">
      <c r="A322" s="11"/>
      <c r="B322" s="11"/>
      <c r="C322" s="105"/>
      <c r="D322" s="105"/>
      <c r="E322" s="105"/>
      <c r="F322" s="105"/>
      <c r="G322" s="105"/>
    </row>
    <row r="323" spans="1:7">
      <c r="A323" s="11"/>
      <c r="B323" s="11"/>
      <c r="C323" s="105"/>
      <c r="D323" s="105"/>
      <c r="E323" s="105"/>
      <c r="F323" s="105"/>
      <c r="G323" s="105"/>
    </row>
    <row r="324" spans="1:7">
      <c r="A324" s="11"/>
      <c r="B324" s="11"/>
      <c r="C324" s="105"/>
      <c r="D324" s="105"/>
      <c r="E324" s="105"/>
      <c r="F324" s="105"/>
      <c r="G324" s="105"/>
    </row>
    <row r="325" spans="1:7">
      <c r="A325" s="11"/>
      <c r="B325" s="11"/>
      <c r="C325" s="105"/>
      <c r="D325" s="105"/>
      <c r="E325" s="105"/>
      <c r="F325" s="105"/>
      <c r="G325" s="105"/>
    </row>
    <row r="326" spans="1:7">
      <c r="A326" s="11"/>
      <c r="B326" s="11"/>
      <c r="C326" s="105"/>
      <c r="D326" s="105"/>
      <c r="E326" s="105"/>
      <c r="F326" s="105"/>
      <c r="G326" s="105"/>
    </row>
    <row r="327" spans="1:7">
      <c r="A327" s="11"/>
      <c r="B327" s="11"/>
      <c r="C327" s="105"/>
      <c r="D327" s="105"/>
      <c r="E327" s="105"/>
      <c r="F327" s="105"/>
      <c r="G327" s="105"/>
    </row>
    <row r="328" spans="1:7">
      <c r="A328" s="11"/>
      <c r="B328" s="11"/>
      <c r="C328" s="105"/>
      <c r="D328" s="105"/>
      <c r="E328" s="105"/>
      <c r="F328" s="105"/>
      <c r="G328" s="105"/>
    </row>
    <row r="329" spans="1:7">
      <c r="C329" s="19"/>
      <c r="D329" s="19"/>
      <c r="E329" s="19"/>
      <c r="F329" s="19"/>
      <c r="G329" s="19"/>
    </row>
    <row r="330" spans="1:7" ht="13.5" thickBot="1">
      <c r="A330" s="110" t="s">
        <v>153</v>
      </c>
      <c r="B330" s="111"/>
      <c r="C330" s="109" t="e">
        <f>#REF!/#REF!</f>
        <v>#REF!</v>
      </c>
      <c r="D330" s="109" t="e">
        <f>#REF!/#REF!</f>
        <v>#REF!</v>
      </c>
      <c r="E330" s="109" t="e">
        <f>#REF!/#REF!</f>
        <v>#REF!</v>
      </c>
      <c r="F330" s="109" t="e">
        <f>#REF!/#REF!</f>
        <v>#REF!</v>
      </c>
      <c r="G330" s="109" t="e">
        <f>#REF!/#REF!</f>
        <v>#REF!</v>
      </c>
    </row>
    <row r="331" spans="1:7" ht="13.5" thickTop="1"/>
  </sheetData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CC46-CBB5-4714-97D5-FA494BB307ED}">
  <sheetPr transitionEvaluation="1"/>
  <dimension ref="A1:I55"/>
  <sheetViews>
    <sheetView defaultGridColor="0" view="pageBreakPreview" colorId="22" zoomScale="70" zoomScaleNormal="85" zoomScaleSheetLayoutView="70" workbookViewId="0"/>
  </sheetViews>
  <sheetFormatPr defaultColWidth="12.5703125" defaultRowHeight="12.75"/>
  <cols>
    <col min="1" max="1" width="26.7109375" style="25" customWidth="1"/>
    <col min="2" max="2" width="10" style="25" customWidth="1"/>
    <col min="3" max="3" width="8.7109375" style="25" customWidth="1"/>
    <col min="4" max="11" width="15.7109375" style="25" customWidth="1"/>
    <col min="12" max="16384" width="12.5703125" style="25"/>
  </cols>
  <sheetData>
    <row r="1" spans="1:9">
      <c r="A1" s="112"/>
      <c r="B1" s="113"/>
      <c r="C1" s="113"/>
      <c r="D1" s="113"/>
      <c r="E1" s="113"/>
      <c r="F1" s="113"/>
      <c r="G1" s="113"/>
      <c r="H1" s="113"/>
      <c r="I1" s="113"/>
    </row>
    <row r="2" spans="1:9">
      <c r="A2" s="114" t="str">
        <f>+'TOTAL FUNCFAC'!A2</f>
        <v>12 Months Ended December 2022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114" t="s">
        <v>154</v>
      </c>
      <c r="B3" s="113"/>
      <c r="C3" s="113"/>
      <c r="D3" s="113"/>
      <c r="E3" s="113"/>
      <c r="F3" s="113"/>
      <c r="G3" s="113"/>
      <c r="H3" s="113"/>
      <c r="I3" s="113"/>
    </row>
    <row r="4" spans="1:9">
      <c r="A4" s="26" t="s">
        <v>155</v>
      </c>
      <c r="B4" s="114"/>
      <c r="C4" s="113"/>
      <c r="D4" s="113"/>
      <c r="E4" s="113"/>
      <c r="F4" s="113"/>
      <c r="G4" s="113"/>
      <c r="H4" s="113"/>
      <c r="I4" s="113"/>
    </row>
    <row r="5" spans="1:9">
      <c r="A5" s="115"/>
      <c r="B5" s="116"/>
      <c r="D5" s="117"/>
    </row>
    <row r="6" spans="1:9">
      <c r="B6" s="118" t="s">
        <v>156</v>
      </c>
    </row>
    <row r="7" spans="1:9">
      <c r="A7" s="119" t="s">
        <v>4</v>
      </c>
      <c r="B7" s="119" t="s">
        <v>157</v>
      </c>
      <c r="C7" s="119" t="s">
        <v>158</v>
      </c>
      <c r="D7" s="119" t="s">
        <v>159</v>
      </c>
      <c r="E7" s="119" t="s">
        <v>5</v>
      </c>
      <c r="F7" s="119" t="s">
        <v>160</v>
      </c>
      <c r="G7" s="119" t="s">
        <v>7</v>
      </c>
      <c r="H7" s="119" t="s">
        <v>161</v>
      </c>
      <c r="I7" s="119" t="s">
        <v>162</v>
      </c>
    </row>
    <row r="8" spans="1:9">
      <c r="A8" s="120"/>
      <c r="B8" s="118"/>
      <c r="C8" s="118"/>
      <c r="D8" s="118"/>
      <c r="E8" s="118"/>
      <c r="F8" s="118"/>
      <c r="G8" s="118"/>
      <c r="H8" s="120"/>
      <c r="I8" s="118"/>
    </row>
    <row r="9" spans="1:9">
      <c r="A9" s="25" t="s">
        <v>163</v>
      </c>
      <c r="B9" s="121"/>
      <c r="C9" s="121" t="s">
        <v>72</v>
      </c>
      <c r="D9" s="12">
        <v>13524287.900885388</v>
      </c>
      <c r="E9" s="122">
        <f>$D9*VLOOKUP(+$C9,$C$45:$I$51,3)</f>
        <v>13524287.900885388</v>
      </c>
      <c r="F9" s="122">
        <f>$D9*VLOOKUP(+$C9,$C$45:$I$51,4)</f>
        <v>0</v>
      </c>
      <c r="G9" s="122">
        <f>$D9*VLOOKUP(+$C9,$C$45:$I$51,5)</f>
        <v>0</v>
      </c>
      <c r="H9" s="122">
        <f>$D9*VLOOKUP(+$C9,$C$45:$I$51,6)</f>
        <v>0</v>
      </c>
      <c r="I9" s="122">
        <f>$D9*VLOOKUP(+$C9,$C$45:$I$51,7)</f>
        <v>0</v>
      </c>
    </row>
    <row r="10" spans="1:9">
      <c r="A10" s="25" t="s">
        <v>164</v>
      </c>
      <c r="B10" s="121"/>
      <c r="C10" s="121" t="s">
        <v>113</v>
      </c>
      <c r="D10" s="12">
        <v>7950005.0287946174</v>
      </c>
      <c r="E10" s="122">
        <f>$D10*VLOOKUP(+$C10,$C$45:$I$51,3)</f>
        <v>0</v>
      </c>
      <c r="F10" s="122">
        <f>$D10*VLOOKUP(+$C10,$C$45:$I$51,4)</f>
        <v>7950005.0287946174</v>
      </c>
      <c r="G10" s="122">
        <f>$D10*VLOOKUP(+$C10,$C$45:$I$51,5)</f>
        <v>0</v>
      </c>
      <c r="H10" s="122">
        <f>$D10*VLOOKUP(+$C10,$C$45:$I$51,6)</f>
        <v>0</v>
      </c>
      <c r="I10" s="122">
        <f>$D10*VLOOKUP(+$C10,$C$45:$I$51,7)</f>
        <v>0</v>
      </c>
    </row>
    <row r="11" spans="1:9">
      <c r="A11" s="25" t="s">
        <v>165</v>
      </c>
      <c r="B11" s="121"/>
      <c r="C11" s="121" t="s">
        <v>7</v>
      </c>
      <c r="D11" s="12">
        <v>8215930.3727515368</v>
      </c>
      <c r="E11" s="122">
        <f>$D11*VLOOKUP(+$C11,$C$45:$I$51,3)</f>
        <v>0</v>
      </c>
      <c r="F11" s="122">
        <f>$D11*VLOOKUP(+$C11,$C$45:$I$51,4)</f>
        <v>0</v>
      </c>
      <c r="G11" s="122">
        <f>$D11*VLOOKUP(+$C11,$C$45:$I$51,5)</f>
        <v>8215930.3727515368</v>
      </c>
      <c r="H11" s="122">
        <f>$D11*VLOOKUP(+$C11,$C$45:$I$51,6)</f>
        <v>0</v>
      </c>
      <c r="I11" s="122">
        <f>$D11*VLOOKUP(+$C11,$C$45:$I$51,7)</f>
        <v>0</v>
      </c>
    </row>
    <row r="12" spans="1:9">
      <c r="A12" s="25" t="s">
        <v>141</v>
      </c>
      <c r="B12" s="121" t="s">
        <v>166</v>
      </c>
      <c r="C12" s="121" t="s">
        <v>72</v>
      </c>
      <c r="D12" s="27">
        <f>54508.1016497185+43.6977677778877+8987.43315183077</f>
        <v>63539.232569327156</v>
      </c>
      <c r="E12" s="122">
        <f>$D12*VLOOKUP(+$C12,$C$45:$I$51,3)</f>
        <v>63539.232569327156</v>
      </c>
      <c r="F12" s="122">
        <f>$D12*VLOOKUP(+$C12,$C$45:$I$51,4)</f>
        <v>0</v>
      </c>
      <c r="G12" s="122">
        <f>$D12*VLOOKUP(+$C12,$C$45:$I$51,5)</f>
        <v>0</v>
      </c>
      <c r="H12" s="122">
        <f>$D12*VLOOKUP(+$C12,$C$45:$I$51,6)</f>
        <v>0</v>
      </c>
      <c r="I12" s="122">
        <f>$D12*VLOOKUP(+$C12,$C$45:$I$51,7)</f>
        <v>0</v>
      </c>
    </row>
    <row r="13" spans="1:9">
      <c r="A13" s="25" t="s">
        <v>33</v>
      </c>
      <c r="B13" s="123"/>
      <c r="C13" s="123"/>
      <c r="D13" s="28"/>
      <c r="E13" s="28"/>
      <c r="F13" s="28"/>
      <c r="G13" s="28"/>
      <c r="H13" s="28"/>
      <c r="I13" s="12"/>
    </row>
    <row r="14" spans="1:9">
      <c r="A14" s="124" t="s">
        <v>167</v>
      </c>
      <c r="B14" s="125" t="str">
        <f>GP!B7</f>
        <v>CN</v>
      </c>
      <c r="C14" s="125" t="str">
        <f>GP!C7</f>
        <v>CUST</v>
      </c>
      <c r="D14" s="122">
        <f>GP!D7</f>
        <v>16578.558604615377</v>
      </c>
      <c r="E14" s="122">
        <f>$D14*VLOOKUP(+$C14,$C$45:$I$51,3)</f>
        <v>0</v>
      </c>
      <c r="F14" s="122">
        <f t="shared" ref="F14:F23" si="0">$D14*VLOOKUP(+$C14,$C$45:$I$51,4)</f>
        <v>0</v>
      </c>
      <c r="G14" s="122">
        <f t="shared" ref="G14:G23" si="1">$D14*VLOOKUP(+$C14,$C$45:$I$51,5)</f>
        <v>0</v>
      </c>
      <c r="H14" s="122">
        <f t="shared" ref="H14:H23" si="2">$D14*VLOOKUP(+$C14,$C$45:$I$51,6)</f>
        <v>16578.558604615377</v>
      </c>
      <c r="I14" s="122">
        <f t="shared" ref="I14:I23" si="3">$D14*VLOOKUP(+$C14,$C$45:$I$51,7)</f>
        <v>0</v>
      </c>
    </row>
    <row r="15" spans="1:9">
      <c r="A15" s="124" t="s">
        <v>168</v>
      </c>
      <c r="B15" s="125" t="str">
        <f>GP!B8</f>
        <v>SE</v>
      </c>
      <c r="C15" s="125" t="str">
        <f>GP!C8</f>
        <v>P</v>
      </c>
      <c r="D15" s="122">
        <f>GP!D8</f>
        <v>5146.076019230768</v>
      </c>
      <c r="E15" s="122">
        <f>$D15*VLOOKUP(+$C15,$C$45:$I$51,3)</f>
        <v>5146.076019230768</v>
      </c>
      <c r="F15" s="122">
        <f t="shared" si="0"/>
        <v>0</v>
      </c>
      <c r="G15" s="122">
        <f t="shared" si="1"/>
        <v>0</v>
      </c>
      <c r="H15" s="122">
        <f t="shared" si="2"/>
        <v>0</v>
      </c>
      <c r="I15" s="122">
        <f t="shared" si="3"/>
        <v>0</v>
      </c>
    </row>
    <row r="16" spans="1:9">
      <c r="A16" s="124"/>
      <c r="B16" s="125" t="str">
        <f>GP!B9</f>
        <v>SG</v>
      </c>
      <c r="C16" s="125" t="str">
        <f>GP!C9</f>
        <v>P</v>
      </c>
      <c r="D16" s="122">
        <f>GP!D9</f>
        <v>129976.94251384615</v>
      </c>
      <c r="E16" s="122">
        <f>$D16*VLOOKUP(+$C16,$C$45:$I$51,3)</f>
        <v>129976.94251384615</v>
      </c>
      <c r="F16" s="122">
        <f t="shared" si="0"/>
        <v>0</v>
      </c>
      <c r="G16" s="122">
        <f t="shared" si="1"/>
        <v>0</v>
      </c>
      <c r="H16" s="122">
        <f t="shared" si="2"/>
        <v>0</v>
      </c>
      <c r="I16" s="122">
        <f t="shared" si="3"/>
        <v>0</v>
      </c>
    </row>
    <row r="17" spans="1:9">
      <c r="A17" s="124"/>
      <c r="B17" s="125" t="str">
        <f>GP!B10</f>
        <v>SG</v>
      </c>
      <c r="C17" s="125" t="str">
        <f>GP!C10</f>
        <v>T</v>
      </c>
      <c r="D17" s="122">
        <f>GP!D10</f>
        <v>188338.64706153801</v>
      </c>
      <c r="E17" s="122">
        <f t="shared" ref="E17:E23" si="4">$D17*VLOOKUP(+$C17,$C$45:$I$51,3)</f>
        <v>0</v>
      </c>
      <c r="F17" s="122">
        <f t="shared" si="0"/>
        <v>188338.64706153801</v>
      </c>
      <c r="G17" s="122">
        <f t="shared" si="1"/>
        <v>0</v>
      </c>
      <c r="H17" s="122">
        <f t="shared" si="2"/>
        <v>0</v>
      </c>
      <c r="I17" s="122">
        <f t="shared" si="3"/>
        <v>0</v>
      </c>
    </row>
    <row r="18" spans="1:9">
      <c r="A18" s="124"/>
      <c r="B18" s="125" t="str">
        <f>GP!B12</f>
        <v>SO</v>
      </c>
      <c r="C18" s="125" t="str">
        <f>GP!C12</f>
        <v>DPW</v>
      </c>
      <c r="D18" s="122">
        <f>GP!D12</f>
        <v>0</v>
      </c>
      <c r="E18" s="122">
        <f t="shared" si="4"/>
        <v>0</v>
      </c>
      <c r="F18" s="122">
        <f t="shared" si="0"/>
        <v>0</v>
      </c>
      <c r="G18" s="122">
        <f t="shared" si="1"/>
        <v>0</v>
      </c>
      <c r="H18" s="122">
        <f t="shared" si="2"/>
        <v>0</v>
      </c>
      <c r="I18" s="122">
        <f t="shared" si="3"/>
        <v>0</v>
      </c>
    </row>
    <row r="19" spans="1:9">
      <c r="A19" s="124"/>
      <c r="B19" s="125" t="str">
        <f>GP!B17</f>
        <v>SSGCT</v>
      </c>
      <c r="C19" s="125" t="str">
        <f>GP!C17</f>
        <v>DPW</v>
      </c>
      <c r="D19" s="122">
        <f>GP!D17</f>
        <v>0</v>
      </c>
      <c r="E19" s="122">
        <f t="shared" si="4"/>
        <v>0</v>
      </c>
      <c r="F19" s="122">
        <f t="shared" si="0"/>
        <v>0</v>
      </c>
      <c r="G19" s="122">
        <f t="shared" si="1"/>
        <v>0</v>
      </c>
      <c r="H19" s="122">
        <f t="shared" si="2"/>
        <v>0</v>
      </c>
      <c r="I19" s="122">
        <f t="shared" si="3"/>
        <v>0</v>
      </c>
    </row>
    <row r="20" spans="1:9">
      <c r="A20" s="124"/>
      <c r="B20" s="125" t="str">
        <f>GP!B18</f>
        <v>SSGCT</v>
      </c>
      <c r="C20" s="125" t="str">
        <f>GP!C18</f>
        <v>P</v>
      </c>
      <c r="D20" s="122">
        <f>GP!D18</f>
        <v>0</v>
      </c>
      <c r="E20" s="122">
        <f t="shared" si="4"/>
        <v>0</v>
      </c>
      <c r="F20" s="122">
        <f t="shared" si="0"/>
        <v>0</v>
      </c>
      <c r="G20" s="122">
        <f t="shared" si="1"/>
        <v>0</v>
      </c>
      <c r="H20" s="122">
        <f t="shared" si="2"/>
        <v>0</v>
      </c>
      <c r="I20" s="122">
        <f t="shared" si="3"/>
        <v>0</v>
      </c>
    </row>
    <row r="21" spans="1:9">
      <c r="A21" s="124" t="s">
        <v>33</v>
      </c>
      <c r="B21" s="125" t="str">
        <f>GP!B19</f>
        <v>SITUS</v>
      </c>
      <c r="C21" s="125" t="str">
        <f>GP!C19</f>
        <v>DPW</v>
      </c>
      <c r="D21" s="122">
        <f>GP!D19</f>
        <v>293083.26650769223</v>
      </c>
      <c r="E21" s="122">
        <f t="shared" si="4"/>
        <v>0</v>
      </c>
      <c r="F21" s="122">
        <f t="shared" si="0"/>
        <v>0</v>
      </c>
      <c r="G21" s="122">
        <f t="shared" si="1"/>
        <v>293083.26650769223</v>
      </c>
      <c r="H21" s="122">
        <f t="shared" si="2"/>
        <v>0</v>
      </c>
      <c r="I21" s="122">
        <f t="shared" si="3"/>
        <v>0</v>
      </c>
    </row>
    <row r="22" spans="1:9">
      <c r="A22" s="124" t="s">
        <v>33</v>
      </c>
      <c r="B22" s="125" t="str">
        <f>GP!B20</f>
        <v>SITUS</v>
      </c>
      <c r="C22" s="125" t="str">
        <f>GP!C20</f>
        <v>P</v>
      </c>
      <c r="D22" s="122">
        <f>GP!D20</f>
        <v>0</v>
      </c>
      <c r="E22" s="122">
        <f t="shared" si="4"/>
        <v>0</v>
      </c>
      <c r="F22" s="122">
        <f t="shared" si="0"/>
        <v>0</v>
      </c>
      <c r="G22" s="122">
        <f t="shared" si="1"/>
        <v>0</v>
      </c>
      <c r="H22" s="122">
        <f t="shared" si="2"/>
        <v>0</v>
      </c>
      <c r="I22" s="122">
        <f t="shared" si="3"/>
        <v>0</v>
      </c>
    </row>
    <row r="23" spans="1:9">
      <c r="A23" s="124" t="s">
        <v>33</v>
      </c>
      <c r="B23" s="125" t="str">
        <f>GP!B21</f>
        <v>SITUS</v>
      </c>
      <c r="C23" s="125" t="str">
        <f>GP!C21</f>
        <v>TD</v>
      </c>
      <c r="D23" s="122">
        <f>GP!D21</f>
        <v>430161.58238615387</v>
      </c>
      <c r="E23" s="122">
        <f t="shared" si="4"/>
        <v>0</v>
      </c>
      <c r="F23" s="122">
        <f t="shared" si="0"/>
        <v>211542.76929976448</v>
      </c>
      <c r="G23" s="122">
        <f t="shared" si="1"/>
        <v>218618.81308638939</v>
      </c>
      <c r="H23" s="122">
        <f t="shared" si="2"/>
        <v>0</v>
      </c>
      <c r="I23" s="122">
        <f t="shared" si="3"/>
        <v>0</v>
      </c>
    </row>
    <row r="24" spans="1:9">
      <c r="A24" s="25" t="s">
        <v>169</v>
      </c>
      <c r="D24" s="126">
        <f t="shared" ref="D24:I24" si="5">SUBTOTAL(9,D14:D23)</f>
        <v>1063285.0730930762</v>
      </c>
      <c r="E24" s="126">
        <f t="shared" si="5"/>
        <v>135123.01853307692</v>
      </c>
      <c r="F24" s="126">
        <f t="shared" si="5"/>
        <v>399881.41636130249</v>
      </c>
      <c r="G24" s="126">
        <f t="shared" si="5"/>
        <v>511702.07959408162</v>
      </c>
      <c r="H24" s="126">
        <f t="shared" si="5"/>
        <v>16578.558604615377</v>
      </c>
      <c r="I24" s="126">
        <f t="shared" si="5"/>
        <v>0</v>
      </c>
    </row>
    <row r="25" spans="1:9">
      <c r="D25" s="122"/>
      <c r="E25" s="122"/>
      <c r="F25" s="122"/>
      <c r="G25" s="122"/>
      <c r="H25" s="122"/>
    </row>
    <row r="26" spans="1:9">
      <c r="A26" s="25" t="s">
        <v>45</v>
      </c>
      <c r="D26" s="122"/>
      <c r="E26" s="122"/>
      <c r="F26" s="122"/>
      <c r="G26" s="122"/>
      <c r="H26" s="122"/>
    </row>
    <row r="27" spans="1:9">
      <c r="A27" s="25" t="s">
        <v>170</v>
      </c>
      <c r="B27" s="29" t="str">
        <f>IP!A7</f>
        <v>CN</v>
      </c>
      <c r="C27" s="29" t="str">
        <f>IP!B7</f>
        <v>CUST</v>
      </c>
      <c r="D27" s="122">
        <f>IP!C7</f>
        <v>225883.54660230727</v>
      </c>
      <c r="E27" s="122">
        <f t="shared" ref="E27:E37" si="6">$D27*VLOOKUP(+$C27,$C$45:$I$52,3)</f>
        <v>0</v>
      </c>
      <c r="F27" s="122">
        <f t="shared" ref="F27:F37" si="7">$D27*VLOOKUP(+$C27,$C$45:$I$52,4)</f>
        <v>0</v>
      </c>
      <c r="G27" s="122">
        <f t="shared" ref="G27:G37" si="8">$D27*VLOOKUP(+$C27,$C$45:$I$52,5)</f>
        <v>0</v>
      </c>
      <c r="H27" s="122">
        <f t="shared" ref="H27:H37" si="9">$D27*VLOOKUP(+$C27,$C$45:$I$52,6)</f>
        <v>225883.54660230727</v>
      </c>
      <c r="I27" s="122">
        <f t="shared" ref="I27:I37" si="10">$D27*VLOOKUP(+$C27,$C$45:$I$52,7)</f>
        <v>0</v>
      </c>
    </row>
    <row r="28" spans="1:9">
      <c r="A28" s="25" t="s">
        <v>170</v>
      </c>
      <c r="B28" s="29" t="str">
        <f>IP!A8</f>
        <v>SE</v>
      </c>
      <c r="C28" s="29" t="str">
        <f>IP!B8</f>
        <v>P</v>
      </c>
      <c r="D28" s="122">
        <f>IP!C8</f>
        <v>9.1057799999999993</v>
      </c>
      <c r="E28" s="122">
        <f t="shared" si="6"/>
        <v>9.1057799999999993</v>
      </c>
      <c r="F28" s="122">
        <f t="shared" si="7"/>
        <v>0</v>
      </c>
      <c r="G28" s="122">
        <f t="shared" si="8"/>
        <v>0</v>
      </c>
      <c r="H28" s="122">
        <f t="shared" si="9"/>
        <v>0</v>
      </c>
      <c r="I28" s="122">
        <f t="shared" si="10"/>
        <v>0</v>
      </c>
    </row>
    <row r="29" spans="1:9">
      <c r="A29" s="25" t="s">
        <v>171</v>
      </c>
      <c r="B29" s="29" t="str">
        <f>IP!A9</f>
        <v>SG</v>
      </c>
      <c r="C29" s="29" t="str">
        <f>IP!B9</f>
        <v>P</v>
      </c>
      <c r="D29" s="122">
        <f>IP!C9</f>
        <v>137948.67124076921</v>
      </c>
      <c r="E29" s="122">
        <f t="shared" si="6"/>
        <v>137948.67124076921</v>
      </c>
      <c r="F29" s="122">
        <f t="shared" si="7"/>
        <v>0</v>
      </c>
      <c r="G29" s="122">
        <f t="shared" si="8"/>
        <v>0</v>
      </c>
      <c r="H29" s="122">
        <f t="shared" si="9"/>
        <v>0</v>
      </c>
      <c r="I29" s="122">
        <f t="shared" si="10"/>
        <v>0</v>
      </c>
    </row>
    <row r="30" spans="1:9">
      <c r="A30" s="25" t="s">
        <v>172</v>
      </c>
      <c r="B30" s="29" t="str">
        <f>IP!A10</f>
        <v>SG</v>
      </c>
      <c r="C30" s="29" t="str">
        <f>IP!B10</f>
        <v>T</v>
      </c>
      <c r="D30" s="122">
        <f>IP!C10</f>
        <v>71734.151370769294</v>
      </c>
      <c r="E30" s="122">
        <f t="shared" si="6"/>
        <v>0</v>
      </c>
      <c r="F30" s="122">
        <f t="shared" si="7"/>
        <v>71734.151370769294</v>
      </c>
      <c r="G30" s="122">
        <f t="shared" si="8"/>
        <v>0</v>
      </c>
      <c r="H30" s="122">
        <f t="shared" si="9"/>
        <v>0</v>
      </c>
      <c r="I30" s="122">
        <f t="shared" si="10"/>
        <v>0</v>
      </c>
    </row>
    <row r="31" spans="1:9">
      <c r="A31" s="25" t="s">
        <v>173</v>
      </c>
      <c r="B31" s="29" t="str">
        <f>IP!A11</f>
        <v>SG-P</v>
      </c>
      <c r="C31" s="29" t="str">
        <f>IP!B11</f>
        <v>P</v>
      </c>
      <c r="D31" s="122">
        <f>IP!C11</f>
        <v>171865.92080846199</v>
      </c>
      <c r="E31" s="122">
        <f t="shared" si="6"/>
        <v>171865.92080846199</v>
      </c>
      <c r="F31" s="122">
        <f t="shared" si="7"/>
        <v>0</v>
      </c>
      <c r="G31" s="122">
        <f t="shared" si="8"/>
        <v>0</v>
      </c>
      <c r="H31" s="122">
        <f t="shared" si="9"/>
        <v>0</v>
      </c>
      <c r="I31" s="122">
        <f t="shared" si="10"/>
        <v>0</v>
      </c>
    </row>
    <row r="32" spans="1:9">
      <c r="B32" s="29" t="str">
        <f>IP!A12</f>
        <v>SG-U</v>
      </c>
      <c r="C32" s="29" t="str">
        <f>IP!B12</f>
        <v>P</v>
      </c>
      <c r="D32" s="122">
        <f>IP!C12</f>
        <v>10500.066017692299</v>
      </c>
      <c r="E32" s="122">
        <f t="shared" si="6"/>
        <v>10500.066017692299</v>
      </c>
      <c r="F32" s="122">
        <f t="shared" si="7"/>
        <v>0</v>
      </c>
      <c r="G32" s="122">
        <f t="shared" si="8"/>
        <v>0</v>
      </c>
      <c r="H32" s="122">
        <f t="shared" si="9"/>
        <v>0</v>
      </c>
      <c r="I32" s="122">
        <f t="shared" si="10"/>
        <v>0</v>
      </c>
    </row>
    <row r="33" spans="1:9">
      <c r="A33" s="25" t="s">
        <v>174</v>
      </c>
      <c r="B33" s="29" t="str">
        <f>IP!A15</f>
        <v>SO</v>
      </c>
      <c r="C33" s="29" t="str">
        <f>IP!B15</f>
        <v>P</v>
      </c>
      <c r="D33" s="122">
        <f>IP!C15</f>
        <v>50558.713933846113</v>
      </c>
      <c r="E33" s="122">
        <f t="shared" si="6"/>
        <v>50558.713933846113</v>
      </c>
      <c r="F33" s="122">
        <f t="shared" si="7"/>
        <v>0</v>
      </c>
      <c r="G33" s="122">
        <f t="shared" si="8"/>
        <v>0</v>
      </c>
      <c r="H33" s="122">
        <f t="shared" si="9"/>
        <v>0</v>
      </c>
      <c r="I33" s="122">
        <f t="shared" si="10"/>
        <v>0</v>
      </c>
    </row>
    <row r="34" spans="1:9">
      <c r="A34" s="25" t="s">
        <v>168</v>
      </c>
      <c r="B34" s="29" t="str">
        <f>IP!A16</f>
        <v>SO</v>
      </c>
      <c r="C34" s="29" t="str">
        <f>IP!B16</f>
        <v>PTD</v>
      </c>
      <c r="D34" s="122">
        <f>IP!C16</f>
        <v>308593.75547692343</v>
      </c>
      <c r="E34" s="122">
        <f t="shared" si="6"/>
        <v>140568.52152888797</v>
      </c>
      <c r="F34" s="122">
        <f t="shared" si="7"/>
        <v>82630.631737122632</v>
      </c>
      <c r="G34" s="122">
        <f t="shared" si="8"/>
        <v>85394.602210912824</v>
      </c>
      <c r="H34" s="122">
        <f t="shared" si="9"/>
        <v>0</v>
      </c>
      <c r="I34" s="122">
        <f t="shared" si="10"/>
        <v>0</v>
      </c>
    </row>
    <row r="35" spans="1:9">
      <c r="A35" s="25" t="s">
        <v>175</v>
      </c>
      <c r="B35" s="29" t="str">
        <f>IP!A18</f>
        <v>SO</v>
      </c>
      <c r="C35" s="29" t="str">
        <f>IP!B18</f>
        <v>TD</v>
      </c>
      <c r="D35" s="122">
        <f>IP!C18</f>
        <v>44346.571733076897</v>
      </c>
      <c r="E35" s="122">
        <f t="shared" si="6"/>
        <v>0</v>
      </c>
      <c r="F35" s="122">
        <f t="shared" si="7"/>
        <v>21808.541202882898</v>
      </c>
      <c r="G35" s="122">
        <f t="shared" si="8"/>
        <v>22538.030530193999</v>
      </c>
      <c r="H35" s="122">
        <f t="shared" si="9"/>
        <v>0</v>
      </c>
      <c r="I35" s="122">
        <f t="shared" si="10"/>
        <v>0</v>
      </c>
    </row>
    <row r="36" spans="1:9">
      <c r="A36" s="25" t="s">
        <v>176</v>
      </c>
      <c r="B36" s="29" t="str">
        <f>IP!A19</f>
        <v>SO</v>
      </c>
      <c r="C36" s="29" t="str">
        <f>IP!B19</f>
        <v>LABOR</v>
      </c>
      <c r="D36" s="122">
        <f>IP!C19</f>
        <v>0</v>
      </c>
      <c r="E36" s="122">
        <f>$D36*VLOOKUP(+$C36,$C$45:$I$52,3)</f>
        <v>0</v>
      </c>
      <c r="F36" s="122">
        <f t="shared" si="7"/>
        <v>0</v>
      </c>
      <c r="G36" s="122">
        <f t="shared" si="8"/>
        <v>0</v>
      </c>
      <c r="H36" s="122">
        <f t="shared" si="9"/>
        <v>0</v>
      </c>
      <c r="I36" s="122">
        <f t="shared" si="10"/>
        <v>0</v>
      </c>
    </row>
    <row r="37" spans="1:9">
      <c r="A37" s="25" t="s">
        <v>176</v>
      </c>
      <c r="B37" s="29" t="str">
        <f>IP!A25</f>
        <v>SITUS</v>
      </c>
      <c r="C37" s="29" t="str">
        <f>IP!B25</f>
        <v>TD</v>
      </c>
      <c r="D37" s="122">
        <f>IP!C25</f>
        <v>-13020.802017692316</v>
      </c>
      <c r="E37" s="122">
        <f t="shared" si="6"/>
        <v>0</v>
      </c>
      <c r="F37" s="122">
        <f t="shared" si="7"/>
        <v>-6403.30664130283</v>
      </c>
      <c r="G37" s="122">
        <f t="shared" si="8"/>
        <v>-6617.4953763894864</v>
      </c>
      <c r="H37" s="122">
        <f t="shared" si="9"/>
        <v>0</v>
      </c>
      <c r="I37" s="122">
        <f t="shared" si="10"/>
        <v>0</v>
      </c>
    </row>
    <row r="38" spans="1:9">
      <c r="A38" s="25" t="s">
        <v>177</v>
      </c>
      <c r="D38" s="126">
        <f t="shared" ref="D38:I38" si="11">SUBTOTAL(9,D27:D37)</f>
        <v>1008419.7009461542</v>
      </c>
      <c r="E38" s="126">
        <f t="shared" si="11"/>
        <v>511450.99930965761</v>
      </c>
      <c r="F38" s="126">
        <f t="shared" si="11"/>
        <v>169770.01766947197</v>
      </c>
      <c r="G38" s="126">
        <f t="shared" si="11"/>
        <v>101315.13736471733</v>
      </c>
      <c r="H38" s="126">
        <f t="shared" si="11"/>
        <v>225883.54660230727</v>
      </c>
      <c r="I38" s="126">
        <f t="shared" si="11"/>
        <v>0</v>
      </c>
    </row>
    <row r="39" spans="1:9">
      <c r="D39" s="122"/>
      <c r="E39" s="122"/>
      <c r="F39" s="122"/>
      <c r="G39" s="122"/>
      <c r="H39" s="122"/>
    </row>
    <row r="40" spans="1:9" ht="13.5" thickBot="1">
      <c r="A40" s="25" t="s">
        <v>178</v>
      </c>
      <c r="D40" s="127">
        <f t="shared" ref="D40:I40" si="12">SUBTOTAL(9,D8:D38)</f>
        <v>31825467.309040099</v>
      </c>
      <c r="E40" s="127">
        <f t="shared" si="12"/>
        <v>14234401.151297452</v>
      </c>
      <c r="F40" s="127">
        <f t="shared" si="12"/>
        <v>8519656.4628253896</v>
      </c>
      <c r="G40" s="127">
        <f t="shared" si="12"/>
        <v>8828947.5897103343</v>
      </c>
      <c r="H40" s="127">
        <f t="shared" si="12"/>
        <v>242462.10520692263</v>
      </c>
      <c r="I40" s="127">
        <f t="shared" si="12"/>
        <v>0</v>
      </c>
    </row>
    <row r="41" spans="1:9" ht="13.5" thickTop="1">
      <c r="D41" s="128"/>
    </row>
    <row r="42" spans="1:9">
      <c r="B42" s="129" t="s">
        <v>179</v>
      </c>
      <c r="C42" s="130"/>
      <c r="D42" s="131">
        <f>SUM(E42:I42)</f>
        <v>1</v>
      </c>
      <c r="E42" s="131">
        <f>E40/$D40</f>
        <v>0.44726448202864683</v>
      </c>
      <c r="F42" s="131">
        <f>F40/$D40</f>
        <v>0.26769933588391837</v>
      </c>
      <c r="G42" s="131">
        <f>G40/$D40</f>
        <v>0.27741768892117574</v>
      </c>
      <c r="H42" s="131">
        <f>H40/$D40</f>
        <v>7.6184931662590443E-3</v>
      </c>
      <c r="I42" s="132">
        <f>I40/$D40</f>
        <v>0</v>
      </c>
    </row>
    <row r="43" spans="1:9">
      <c r="D43" s="30"/>
      <c r="E43" s="133"/>
      <c r="F43" s="133"/>
      <c r="G43" s="133"/>
      <c r="H43" s="133"/>
      <c r="I43" s="133"/>
    </row>
    <row r="44" spans="1:9">
      <c r="A44" s="31"/>
      <c r="D44" s="133"/>
      <c r="E44" s="133"/>
      <c r="F44" s="133"/>
      <c r="G44" s="133"/>
      <c r="H44" s="133"/>
      <c r="I44" s="133"/>
    </row>
    <row r="45" spans="1:9">
      <c r="A45" s="31"/>
      <c r="B45" s="25" t="s">
        <v>180</v>
      </c>
      <c r="D45" s="133"/>
      <c r="E45" s="134" t="s">
        <v>181</v>
      </c>
      <c r="F45" s="134" t="s">
        <v>182</v>
      </c>
      <c r="G45" s="134" t="s">
        <v>7</v>
      </c>
      <c r="H45" s="134" t="s">
        <v>8</v>
      </c>
      <c r="I45" s="134" t="s">
        <v>162</v>
      </c>
    </row>
    <row r="46" spans="1:9">
      <c r="A46" s="31"/>
      <c r="C46" s="25" t="s">
        <v>72</v>
      </c>
      <c r="D46" s="16">
        <f>SUM(E46:F46)</f>
        <v>1</v>
      </c>
      <c r="E46" s="16">
        <f>'FORM 1'!$C$13</f>
        <v>1</v>
      </c>
      <c r="F46" s="16">
        <f>'FORM 1'!$D$13</f>
        <v>0</v>
      </c>
      <c r="G46" s="16">
        <f>'FORM 1'!$E$13</f>
        <v>0</v>
      </c>
      <c r="H46" s="16">
        <f>'FORM 1'!$F$13</f>
        <v>0</v>
      </c>
      <c r="I46" s="16">
        <f>'FORM 1'!$G$13</f>
        <v>0</v>
      </c>
    </row>
    <row r="47" spans="1:9">
      <c r="C47" s="25" t="s">
        <v>113</v>
      </c>
      <c r="D47" s="16">
        <f>SUM(E47:F47)</f>
        <v>1</v>
      </c>
      <c r="E47" s="16">
        <f>'FORM 1'!$C$14</f>
        <v>0</v>
      </c>
      <c r="F47" s="16">
        <f>'FORM 1'!$D$14</f>
        <v>1</v>
      </c>
      <c r="G47" s="16">
        <f>'FORM 1'!$E$14</f>
        <v>0</v>
      </c>
      <c r="H47" s="16">
        <f>'FORM 1'!$F$14</f>
        <v>0</v>
      </c>
      <c r="I47" s="16">
        <f>'FORM 1'!$G$14</f>
        <v>0</v>
      </c>
    </row>
    <row r="48" spans="1:9">
      <c r="C48" s="25" t="s">
        <v>116</v>
      </c>
      <c r="D48" s="16">
        <f>SUM(E48:I48)</f>
        <v>1</v>
      </c>
      <c r="E48" s="16">
        <f>'FORM 1'!$C$18</f>
        <v>0</v>
      </c>
      <c r="F48" s="16">
        <f>'FORM 1'!$D$18</f>
        <v>0.49177513279152762</v>
      </c>
      <c r="G48" s="16">
        <f>'FORM 1'!$E$18</f>
        <v>0.50822486720847238</v>
      </c>
      <c r="H48" s="16">
        <f>'FORM 1'!$F$18</f>
        <v>0</v>
      </c>
      <c r="I48" s="16">
        <f>'FORM 1'!$G$18</f>
        <v>0</v>
      </c>
    </row>
    <row r="49" spans="3:9">
      <c r="C49" s="25" t="s">
        <v>8</v>
      </c>
      <c r="D49" s="16">
        <f>SUM(E49:I49)</f>
        <v>1</v>
      </c>
      <c r="E49" s="16">
        <v>0</v>
      </c>
      <c r="F49" s="16">
        <v>0</v>
      </c>
      <c r="G49" s="16">
        <v>0</v>
      </c>
      <c r="H49" s="16">
        <v>1</v>
      </c>
      <c r="I49" s="16">
        <v>0</v>
      </c>
    </row>
    <row r="50" spans="3:9">
      <c r="C50" s="25" t="s">
        <v>7</v>
      </c>
      <c r="D50" s="16">
        <f>SUM(E50:I50)</f>
        <v>1</v>
      </c>
      <c r="E50" s="16">
        <v>0</v>
      </c>
      <c r="F50" s="16">
        <v>0</v>
      </c>
      <c r="G50" s="16">
        <v>1</v>
      </c>
      <c r="H50" s="16">
        <v>0</v>
      </c>
      <c r="I50" s="16">
        <v>0</v>
      </c>
    </row>
    <row r="51" spans="3:9">
      <c r="C51" s="29" t="s">
        <v>120</v>
      </c>
      <c r="D51" s="16">
        <f>SUM(E51:I51)</f>
        <v>1</v>
      </c>
      <c r="E51" s="16">
        <f>'FORM 1'!$C$16</f>
        <v>0.45551317560409821</v>
      </c>
      <c r="F51" s="16">
        <f>'FORM 1'!$D$16</f>
        <v>0.26776508037053176</v>
      </c>
      <c r="G51" s="16">
        <f>'FORM 1'!$E$16</f>
        <v>0.27672174402536998</v>
      </c>
      <c r="H51" s="16">
        <f>'FORM 1'!$F$16</f>
        <v>0</v>
      </c>
      <c r="I51" s="16">
        <f>'FORM 1'!$G$16</f>
        <v>0</v>
      </c>
    </row>
    <row r="52" spans="3:9">
      <c r="C52" s="25" t="s">
        <v>54</v>
      </c>
      <c r="D52" s="16">
        <f>SUM(E52:I52)</f>
        <v>1</v>
      </c>
      <c r="E52" s="133">
        <f>'SCH M'!F149</f>
        <v>0.42836100153567491</v>
      </c>
      <c r="F52" s="133">
        <f>'SCH M'!G149</f>
        <v>9.5362892375417618E-2</v>
      </c>
      <c r="G52" s="133">
        <f>'SCH M'!H149</f>
        <v>0.36138829440728865</v>
      </c>
      <c r="H52" s="133">
        <f>'SCH M'!I149</f>
        <v>0.11488781168161885</v>
      </c>
      <c r="I52" s="133">
        <f>'SCH M'!J149</f>
        <v>0</v>
      </c>
    </row>
    <row r="53" spans="3:9">
      <c r="D53" s="133"/>
      <c r="E53" s="133"/>
      <c r="F53" s="133"/>
      <c r="G53" s="133"/>
      <c r="H53" s="133"/>
      <c r="I53" s="133"/>
    </row>
    <row r="54" spans="3:9" s="120" customFormat="1">
      <c r="D54" s="135"/>
      <c r="E54" s="135"/>
      <c r="F54" s="135"/>
      <c r="G54" s="135"/>
      <c r="H54" s="135"/>
      <c r="I54" s="135"/>
    </row>
    <row r="55" spans="3:9">
      <c r="D55" s="133"/>
      <c r="E55" s="133"/>
      <c r="F55" s="133"/>
      <c r="G55" s="133"/>
      <c r="H55" s="133"/>
      <c r="I55" s="133"/>
    </row>
  </sheetData>
  <printOptions horizontalCentered="1"/>
  <pageMargins left="0.12" right="0.16" top="0.25" bottom="0.71" header="0.24" footer="0.34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CE28-DD50-45F6-9D13-801F92E4D897}">
  <dimension ref="A1:G72"/>
  <sheetViews>
    <sheetView view="pageBreakPreview" zoomScale="70" zoomScaleNormal="90" zoomScaleSheetLayoutView="70" workbookViewId="0"/>
  </sheetViews>
  <sheetFormatPr defaultColWidth="9.140625" defaultRowHeight="12.75"/>
  <cols>
    <col min="1" max="1" width="21.7109375" customWidth="1"/>
    <col min="2" max="2" width="21.7109375" style="8" customWidth="1"/>
    <col min="3" max="4" width="20.140625" style="8" bestFit="1" customWidth="1"/>
    <col min="5" max="5" width="20" style="8" customWidth="1"/>
    <col min="6" max="6" width="20.140625" style="8" bestFit="1" customWidth="1"/>
    <col min="7" max="7" width="23.5703125" style="8" customWidth="1"/>
  </cols>
  <sheetData>
    <row r="1" spans="1:7">
      <c r="A1" s="32" t="str">
        <f>+'TOTAL FUNCFAC'!A1</f>
        <v>PacifiCorp</v>
      </c>
      <c r="B1" s="32"/>
      <c r="C1" s="32"/>
      <c r="D1" s="32"/>
      <c r="E1" s="32"/>
      <c r="F1" s="32"/>
      <c r="G1" s="32"/>
    </row>
    <row r="2" spans="1:7">
      <c r="A2" s="136" t="s">
        <v>183</v>
      </c>
      <c r="B2" s="137"/>
      <c r="C2" s="136"/>
      <c r="D2" s="2"/>
      <c r="E2" s="2"/>
      <c r="F2" s="2"/>
      <c r="G2" s="2"/>
    </row>
    <row r="3" spans="1:7">
      <c r="A3" s="32" t="s">
        <v>184</v>
      </c>
      <c r="B3" s="32"/>
      <c r="C3" s="32"/>
      <c r="D3" s="2"/>
      <c r="E3" s="2"/>
      <c r="F3" s="2"/>
      <c r="G3" s="2"/>
    </row>
    <row r="4" spans="1:7">
      <c r="A4" s="138"/>
      <c r="B4" s="32"/>
      <c r="C4" s="32"/>
      <c r="D4" s="2"/>
      <c r="E4" s="2"/>
      <c r="F4" s="2"/>
      <c r="G4" s="2"/>
    </row>
    <row r="5" spans="1:7">
      <c r="A5" s="32"/>
      <c r="B5" s="32"/>
      <c r="C5" s="32"/>
      <c r="D5" s="2"/>
      <c r="E5" s="2"/>
      <c r="F5" s="2"/>
      <c r="G5" s="2"/>
    </row>
    <row r="6" spans="1:7" ht="13.5" thickBot="1">
      <c r="A6" s="91" t="s">
        <v>157</v>
      </c>
      <c r="B6" s="91" t="s">
        <v>10</v>
      </c>
      <c r="C6" s="91" t="s">
        <v>5</v>
      </c>
      <c r="D6" s="91" t="s">
        <v>6</v>
      </c>
      <c r="E6" s="91" t="s">
        <v>7</v>
      </c>
      <c r="F6" s="91" t="s">
        <v>8</v>
      </c>
      <c r="G6" s="91" t="s">
        <v>9</v>
      </c>
    </row>
    <row r="7" spans="1:7">
      <c r="E7" s="2"/>
      <c r="F7" s="2"/>
      <c r="G7" s="2"/>
    </row>
    <row r="8" spans="1:7">
      <c r="A8" s="11" t="s">
        <v>185</v>
      </c>
      <c r="B8" s="139">
        <f>SUM(C8:G8)</f>
        <v>29690223.302431542</v>
      </c>
      <c r="C8" s="33">
        <f>+'GROSS PLANT'!D9</f>
        <v>13524287.900885388</v>
      </c>
      <c r="D8" s="33">
        <f>+'GROSS PLANT'!D10</f>
        <v>7950005.0287946174</v>
      </c>
      <c r="E8" s="33">
        <f>+'GROSS PLANT'!D11</f>
        <v>8215930.3727515368</v>
      </c>
      <c r="F8" s="139">
        <v>0</v>
      </c>
      <c r="G8" s="139">
        <v>0</v>
      </c>
    </row>
    <row r="9" spans="1:7">
      <c r="A9" s="11" t="s">
        <v>186</v>
      </c>
      <c r="B9" s="139">
        <f>SUM(C9:G9)</f>
        <v>0</v>
      </c>
      <c r="C9" s="139"/>
      <c r="D9" s="139"/>
      <c r="E9" s="139"/>
      <c r="F9" s="139">
        <v>0</v>
      </c>
      <c r="G9" s="139">
        <v>0</v>
      </c>
    </row>
    <row r="10" spans="1:7">
      <c r="A10" s="11" t="s">
        <v>187</v>
      </c>
      <c r="B10" s="139">
        <f>SUM(C10:G10)</f>
        <v>29690223.302431542</v>
      </c>
      <c r="C10" s="139">
        <f>C8+C9</f>
        <v>13524287.900885388</v>
      </c>
      <c r="D10" s="139">
        <f>D8+D9</f>
        <v>7950005.0287946174</v>
      </c>
      <c r="E10" s="139">
        <f>E8+E9</f>
        <v>8215930.3727515368</v>
      </c>
      <c r="F10" s="139">
        <v>0</v>
      </c>
      <c r="G10" s="139">
        <v>0</v>
      </c>
    </row>
    <row r="12" spans="1:7">
      <c r="A12" s="11" t="s">
        <v>188</v>
      </c>
      <c r="B12" s="139"/>
      <c r="C12" s="139"/>
      <c r="D12" s="139"/>
      <c r="E12" s="139"/>
      <c r="F12" s="139"/>
      <c r="G12" s="139"/>
    </row>
    <row r="13" spans="1:7">
      <c r="A13" s="11" t="s">
        <v>72</v>
      </c>
      <c r="B13" s="140">
        <f t="shared" ref="B13:B18" si="0">SUM(C13:G13)</f>
        <v>1</v>
      </c>
      <c r="C13" s="140">
        <f>C10/C10</f>
        <v>1</v>
      </c>
      <c r="D13" s="140"/>
      <c r="E13" s="140"/>
      <c r="F13" s="140"/>
      <c r="G13" s="140"/>
    </row>
    <row r="14" spans="1:7">
      <c r="A14" s="11" t="s">
        <v>113</v>
      </c>
      <c r="B14" s="18">
        <f t="shared" si="0"/>
        <v>1</v>
      </c>
      <c r="C14" s="18"/>
      <c r="D14" s="18">
        <f>D10/D10</f>
        <v>1</v>
      </c>
      <c r="E14" s="18"/>
      <c r="F14" s="18"/>
      <c r="G14" s="18"/>
    </row>
    <row r="15" spans="1:7">
      <c r="A15" s="11" t="s">
        <v>7</v>
      </c>
      <c r="B15" s="18">
        <f t="shared" si="0"/>
        <v>1</v>
      </c>
      <c r="C15" s="18"/>
      <c r="D15" s="18"/>
      <c r="E15" s="18">
        <f>E10/E10</f>
        <v>1</v>
      </c>
      <c r="F15" s="18"/>
      <c r="G15" s="18"/>
    </row>
    <row r="16" spans="1:7">
      <c r="A16" s="11" t="s">
        <v>120</v>
      </c>
      <c r="B16" s="18">
        <f t="shared" si="0"/>
        <v>1</v>
      </c>
      <c r="C16" s="18">
        <f>C10/$B10</f>
        <v>0.45551317560409821</v>
      </c>
      <c r="D16" s="18">
        <f>D10/$B10</f>
        <v>0.26776508037053176</v>
      </c>
      <c r="E16" s="18">
        <f>E10/$B10</f>
        <v>0.27672174402536998</v>
      </c>
      <c r="F16" s="18">
        <f>F10/$B10</f>
        <v>0</v>
      </c>
      <c r="G16" s="18">
        <f>G10/$B10</f>
        <v>0</v>
      </c>
    </row>
    <row r="17" spans="1:7">
      <c r="A17" s="11" t="s">
        <v>118</v>
      </c>
      <c r="B17" s="18">
        <f t="shared" si="0"/>
        <v>1</v>
      </c>
      <c r="C17" s="18">
        <f>C10/(C10+D10)</f>
        <v>0.62978967201258707</v>
      </c>
      <c r="D17" s="18">
        <f>D10/(C10+D10)</f>
        <v>0.37021032798741293</v>
      </c>
      <c r="E17" s="18"/>
      <c r="F17" s="18"/>
      <c r="G17" s="18"/>
    </row>
    <row r="18" spans="1:7" ht="13.5" thickBot="1">
      <c r="A18" s="11" t="s">
        <v>116</v>
      </c>
      <c r="B18" s="141">
        <f t="shared" si="0"/>
        <v>1</v>
      </c>
      <c r="C18" s="141"/>
      <c r="D18" s="141">
        <f>D10/(D10+E10)</f>
        <v>0.49177513279152762</v>
      </c>
      <c r="E18" s="141">
        <f>E10/(D10+E10)</f>
        <v>0.50822486720847238</v>
      </c>
      <c r="F18" s="141"/>
      <c r="G18" s="141"/>
    </row>
    <row r="19" spans="1:7" ht="13.5" thickTop="1">
      <c r="B19" s="18"/>
      <c r="C19" s="18"/>
      <c r="D19" s="18"/>
      <c r="E19" s="2"/>
      <c r="F19" s="2"/>
      <c r="G19" s="2"/>
    </row>
    <row r="20" spans="1:7">
      <c r="E20" s="2"/>
      <c r="F20" s="142"/>
      <c r="G20" s="143"/>
    </row>
    <row r="21" spans="1:7">
      <c r="A21" s="32"/>
      <c r="B21" s="32"/>
      <c r="C21" s="31"/>
      <c r="D21" s="31"/>
      <c r="E21" s="31"/>
      <c r="F21" s="31"/>
      <c r="G21" s="143"/>
    </row>
    <row r="22" spans="1:7">
      <c r="A22" s="32"/>
      <c r="B22" s="32"/>
      <c r="C22" s="32"/>
      <c r="D22" s="2"/>
      <c r="E22" s="2"/>
      <c r="F22" s="2"/>
      <c r="G22" s="2"/>
    </row>
    <row r="23" spans="1:7">
      <c r="A23" s="11" t="s">
        <v>54</v>
      </c>
      <c r="B23" s="139">
        <f>SUM(C23:G23)</f>
        <v>328607965</v>
      </c>
      <c r="C23" s="143">
        <v>140762837</v>
      </c>
      <c r="D23" s="143">
        <v>31337006</v>
      </c>
      <c r="E23" s="143">
        <v>118755072</v>
      </c>
      <c r="F23" s="139">
        <f>29588283+8164767</f>
        <v>37753050</v>
      </c>
      <c r="G23" s="139">
        <v>0</v>
      </c>
    </row>
    <row r="24" spans="1:7">
      <c r="B24" s="139"/>
      <c r="C24" s="139"/>
      <c r="D24" s="139"/>
      <c r="E24" s="139"/>
      <c r="F24" s="139"/>
      <c r="G24" s="139"/>
    </row>
    <row r="25" spans="1:7" ht="13.5" thickBot="1">
      <c r="A25" t="s">
        <v>189</v>
      </c>
      <c r="B25" s="144">
        <f t="shared" ref="B25:G25" si="1">B23/$B23</f>
        <v>1</v>
      </c>
      <c r="C25" s="144">
        <f t="shared" si="1"/>
        <v>0.42836100153567491</v>
      </c>
      <c r="D25" s="144">
        <f t="shared" si="1"/>
        <v>9.5362892375417618E-2</v>
      </c>
      <c r="E25" s="144">
        <f t="shared" si="1"/>
        <v>0.36138829440728865</v>
      </c>
      <c r="F25" s="144">
        <f t="shared" si="1"/>
        <v>0.11488781168161885</v>
      </c>
      <c r="G25" s="144">
        <f t="shared" si="1"/>
        <v>0</v>
      </c>
    </row>
    <row r="26" spans="1:7" ht="13.5" thickTop="1">
      <c r="B26" s="139"/>
      <c r="C26" s="139"/>
      <c r="D26" s="139"/>
      <c r="E26" s="139"/>
      <c r="F26" s="139"/>
    </row>
    <row r="27" spans="1:7">
      <c r="C27" s="139"/>
      <c r="D27" s="139"/>
      <c r="E27" s="139"/>
      <c r="F27" s="139"/>
    </row>
    <row r="28" spans="1:7">
      <c r="B28" s="139"/>
      <c r="C28" s="139"/>
      <c r="D28" s="139"/>
      <c r="E28" s="139"/>
      <c r="F28" s="139"/>
    </row>
    <row r="29" spans="1:7">
      <c r="B29" s="139"/>
      <c r="C29" s="139"/>
      <c r="D29" s="139"/>
      <c r="E29" s="139"/>
      <c r="F29" s="139"/>
    </row>
    <row r="30" spans="1:7">
      <c r="A30" s="11" t="s">
        <v>190</v>
      </c>
      <c r="B30" s="139">
        <f>SUM(C30:G30)</f>
        <v>88373341</v>
      </c>
      <c r="C30" s="143">
        <v>65271248</v>
      </c>
      <c r="D30" s="143">
        <v>1327748</v>
      </c>
      <c r="E30" s="143">
        <v>21774345</v>
      </c>
      <c r="F30" s="139">
        <v>0</v>
      </c>
      <c r="G30" s="139">
        <v>0</v>
      </c>
    </row>
    <row r="31" spans="1:7">
      <c r="B31" s="139"/>
      <c r="C31" s="139"/>
      <c r="D31" s="139"/>
      <c r="E31" s="139"/>
      <c r="F31" s="139"/>
      <c r="G31" s="139"/>
    </row>
    <row r="32" spans="1:7" ht="13.5" thickBot="1">
      <c r="A32" s="8" t="s">
        <v>191</v>
      </c>
      <c r="B32" s="144">
        <f t="shared" ref="B32:G32" si="2">B30/$B30</f>
        <v>1</v>
      </c>
      <c r="C32" s="144">
        <f t="shared" si="2"/>
        <v>0.73858527086805514</v>
      </c>
      <c r="D32" s="144">
        <f t="shared" si="2"/>
        <v>1.5024304671246954E-2</v>
      </c>
      <c r="E32" s="144">
        <f t="shared" si="2"/>
        <v>0.24639042446069795</v>
      </c>
      <c r="F32" s="144">
        <f t="shared" si="2"/>
        <v>0</v>
      </c>
      <c r="G32" s="144">
        <f t="shared" si="2"/>
        <v>0</v>
      </c>
    </row>
    <row r="33" spans="1:7" ht="13.5" thickTop="1">
      <c r="B33" s="139"/>
      <c r="C33" s="139"/>
      <c r="D33" s="139"/>
      <c r="E33" s="139"/>
      <c r="F33" s="139"/>
    </row>
    <row r="34" spans="1:7">
      <c r="C34" s="139"/>
      <c r="D34" s="139"/>
      <c r="E34" s="139"/>
      <c r="F34" s="139"/>
    </row>
    <row r="35" spans="1:7">
      <c r="B35" s="139"/>
      <c r="C35" s="139"/>
      <c r="D35" s="139"/>
      <c r="E35" s="139"/>
      <c r="F35" s="139"/>
    </row>
    <row r="36" spans="1:7">
      <c r="B36" s="139"/>
      <c r="C36" s="139"/>
      <c r="D36" s="139"/>
      <c r="E36" s="139"/>
      <c r="F36" s="139"/>
    </row>
    <row r="37" spans="1:7">
      <c r="A37" s="11" t="s">
        <v>192</v>
      </c>
      <c r="B37" s="139">
        <v>33322918</v>
      </c>
      <c r="C37" s="139">
        <f>B37-D37</f>
        <v>14138190</v>
      </c>
      <c r="D37" s="139">
        <v>19184728</v>
      </c>
      <c r="E37" s="139">
        <v>0</v>
      </c>
      <c r="F37" s="139">
        <v>0</v>
      </c>
      <c r="G37" s="139">
        <v>0</v>
      </c>
    </row>
    <row r="38" spans="1:7">
      <c r="B38" s="139"/>
      <c r="C38" s="139"/>
      <c r="D38" s="139"/>
      <c r="E38" s="139"/>
      <c r="F38" s="139"/>
      <c r="G38" s="139"/>
    </row>
    <row r="39" spans="1:7" ht="13.5" thickBot="1">
      <c r="A39" t="s">
        <v>193</v>
      </c>
      <c r="B39" s="144">
        <f t="shared" ref="B39:G39" si="3">B37/$B37</f>
        <v>1</v>
      </c>
      <c r="C39" s="144">
        <f>C37/$B37</f>
        <v>0.42427826998824053</v>
      </c>
      <c r="D39" s="144">
        <f>D37/$B37</f>
        <v>0.57572173001175952</v>
      </c>
      <c r="E39" s="144">
        <f t="shared" si="3"/>
        <v>0</v>
      </c>
      <c r="F39" s="144">
        <f t="shared" si="3"/>
        <v>0</v>
      </c>
      <c r="G39" s="144">
        <f t="shared" si="3"/>
        <v>0</v>
      </c>
    </row>
    <row r="40" spans="1:7" ht="13.5" thickTop="1">
      <c r="B40" s="139"/>
      <c r="C40" s="139"/>
      <c r="D40" s="139"/>
      <c r="E40" s="139"/>
      <c r="F40" s="139"/>
    </row>
    <row r="41" spans="1:7">
      <c r="C41" s="139"/>
      <c r="D41" s="139"/>
      <c r="E41" s="139"/>
      <c r="F41" s="139"/>
    </row>
    <row r="42" spans="1:7">
      <c r="B42" s="139"/>
      <c r="C42" s="139"/>
      <c r="D42" s="139"/>
      <c r="E42" s="139"/>
      <c r="F42" s="139"/>
    </row>
    <row r="43" spans="1:7">
      <c r="B43" s="145"/>
      <c r="E43" s="146"/>
    </row>
    <row r="44" spans="1:7">
      <c r="B44" s="145"/>
      <c r="E44" s="146"/>
    </row>
    <row r="45" spans="1:7">
      <c r="B45" s="145"/>
      <c r="C45" s="143"/>
      <c r="E45" s="146"/>
    </row>
    <row r="46" spans="1:7">
      <c r="B46" s="145"/>
      <c r="E46" s="146"/>
    </row>
    <row r="47" spans="1:7">
      <c r="E47" s="146"/>
    </row>
    <row r="48" spans="1:7">
      <c r="E48" s="146"/>
    </row>
    <row r="49" spans="2:5" s="8" customFormat="1">
      <c r="E49" s="146"/>
    </row>
    <row r="50" spans="2:5" s="8" customFormat="1">
      <c r="E50" s="146"/>
    </row>
    <row r="51" spans="2:5" s="8" customFormat="1">
      <c r="E51" s="146"/>
    </row>
    <row r="52" spans="2:5" s="8" customFormat="1">
      <c r="E52" s="146"/>
    </row>
    <row r="53" spans="2:5" s="8" customFormat="1">
      <c r="E53" s="146"/>
    </row>
    <row r="54" spans="2:5" s="8" customFormat="1">
      <c r="E54" s="146"/>
    </row>
    <row r="55" spans="2:5" s="8" customFormat="1">
      <c r="E55" s="146"/>
    </row>
    <row r="56" spans="2:5" s="8" customFormat="1">
      <c r="E56" s="146"/>
    </row>
    <row r="57" spans="2:5" s="8" customFormat="1">
      <c r="B57" s="18"/>
      <c r="C57" s="147"/>
      <c r="D57" s="148"/>
      <c r="E57" s="146"/>
    </row>
    <row r="58" spans="2:5" s="8" customFormat="1">
      <c r="C58" s="107"/>
      <c r="D58" s="107"/>
      <c r="E58" s="146"/>
    </row>
    <row r="59" spans="2:5" s="8" customFormat="1">
      <c r="B59" s="149"/>
      <c r="C59" s="34"/>
      <c r="D59" s="34"/>
      <c r="E59" s="146"/>
    </row>
    <row r="60" spans="2:5" s="8" customFormat="1">
      <c r="B60" s="149"/>
      <c r="C60" s="34"/>
      <c r="D60" s="34"/>
      <c r="E60" s="146"/>
    </row>
    <row r="61" spans="2:5" s="8" customFormat="1">
      <c r="B61" s="149"/>
      <c r="C61" s="34"/>
      <c r="D61" s="34"/>
      <c r="E61" s="146"/>
    </row>
    <row r="62" spans="2:5" s="8" customFormat="1">
      <c r="B62" s="149"/>
      <c r="C62" s="34"/>
      <c r="D62" s="34"/>
      <c r="E62" s="146"/>
    </row>
    <row r="63" spans="2:5" s="8" customFormat="1">
      <c r="B63" s="149"/>
      <c r="C63" s="34"/>
      <c r="D63" s="34"/>
    </row>
    <row r="64" spans="2:5" s="8" customFormat="1">
      <c r="B64" s="149"/>
      <c r="C64" s="35"/>
      <c r="D64" s="35"/>
    </row>
    <row r="65" spans="2:4" s="8" customFormat="1">
      <c r="B65" s="149"/>
      <c r="C65" s="34"/>
      <c r="D65" s="34"/>
    </row>
    <row r="66" spans="2:4" s="8" customFormat="1">
      <c r="B66" s="149"/>
      <c r="C66" s="34"/>
      <c r="D66" s="34"/>
    </row>
    <row r="67" spans="2:4" s="8" customFormat="1">
      <c r="B67" s="149"/>
      <c r="C67" s="34"/>
      <c r="D67" s="34"/>
    </row>
    <row r="68" spans="2:4" s="8" customFormat="1">
      <c r="B68" s="149"/>
      <c r="C68" s="34"/>
      <c r="D68" s="34"/>
    </row>
    <row r="69" spans="2:4" s="8" customFormat="1">
      <c r="B69" s="149"/>
      <c r="C69" s="34"/>
      <c r="D69" s="34"/>
    </row>
    <row r="70" spans="2:4" s="8" customFormat="1">
      <c r="B70" s="149"/>
      <c r="C70" s="34"/>
      <c r="D70" s="34"/>
    </row>
    <row r="71" spans="2:4" s="8" customFormat="1">
      <c r="C71" s="36"/>
      <c r="D71" s="36"/>
    </row>
    <row r="72" spans="2:4" s="8" customFormat="1"/>
  </sheetData>
  <printOptions horizontalCentered="1"/>
  <pageMargins left="0.12" right="0.16" top="0.25" bottom="0.71" header="0.24" footer="0.34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4826-D203-4AD4-82FC-7733C63BDFB6}">
  <dimension ref="A1:J32"/>
  <sheetViews>
    <sheetView view="pageBreakPreview" zoomScale="70" zoomScaleNormal="90" zoomScaleSheetLayoutView="70" workbookViewId="0"/>
  </sheetViews>
  <sheetFormatPr defaultColWidth="9.140625" defaultRowHeight="12.75"/>
  <cols>
    <col min="1" max="1" width="18" style="8" bestFit="1" customWidth="1"/>
    <col min="2" max="7" width="15.7109375" style="8" customWidth="1"/>
    <col min="10" max="10" width="14.7109375" customWidth="1"/>
  </cols>
  <sheetData>
    <row r="1" spans="1:10" ht="15.75" customHeight="1">
      <c r="A1" s="1" t="str">
        <f>+'TOTAL FUNCFAC'!$A$1</f>
        <v>PacifiCorp</v>
      </c>
      <c r="B1" s="1"/>
      <c r="C1" s="1"/>
      <c r="D1" s="1"/>
      <c r="E1" s="1"/>
      <c r="F1" s="1"/>
      <c r="G1" s="1"/>
    </row>
    <row r="2" spans="1:10" ht="15.75" customHeight="1">
      <c r="A2" s="1" t="str">
        <f>+'TOTAL FUNCFAC'!A2</f>
        <v>12 Months Ended December 2022</v>
      </c>
      <c r="B2" s="1"/>
      <c r="C2" s="1"/>
      <c r="D2" s="1"/>
      <c r="E2" s="1"/>
      <c r="F2" s="1"/>
      <c r="G2" s="1"/>
    </row>
    <row r="3" spans="1:10" ht="15.75" customHeight="1">
      <c r="A3" s="1" t="s">
        <v>194</v>
      </c>
      <c r="B3" s="1"/>
      <c r="C3" s="1"/>
      <c r="D3" s="1"/>
      <c r="E3" s="1"/>
      <c r="F3" s="1"/>
      <c r="G3" s="1"/>
    </row>
    <row r="4" spans="1:10">
      <c r="A4" s="115"/>
      <c r="B4" s="150"/>
      <c r="J4" s="37"/>
    </row>
    <row r="5" spans="1:10">
      <c r="J5" s="37"/>
    </row>
    <row r="6" spans="1:10">
      <c r="A6" s="11" t="s">
        <v>3</v>
      </c>
      <c r="B6" s="105" t="s">
        <v>159</v>
      </c>
      <c r="C6" s="105" t="s">
        <v>5</v>
      </c>
      <c r="D6" s="105" t="s">
        <v>6</v>
      </c>
      <c r="E6" s="105" t="s">
        <v>7</v>
      </c>
      <c r="F6" s="105" t="s">
        <v>8</v>
      </c>
      <c r="G6" s="105" t="s">
        <v>9</v>
      </c>
      <c r="J6" s="37"/>
    </row>
    <row r="7" spans="1:10">
      <c r="A7" s="8" t="s">
        <v>8</v>
      </c>
      <c r="B7" s="38">
        <v>919.37534999999991</v>
      </c>
      <c r="C7" s="22">
        <f>VLOOKUP($A7,$A$16:$G$22,3,FALSE)*$B7</f>
        <v>0</v>
      </c>
      <c r="D7" s="22">
        <f>VLOOKUP($A7,$A$16:$G$22,4,FALSE)*$B7</f>
        <v>0</v>
      </c>
      <c r="E7" s="22">
        <f>VLOOKUP($A7,$A$16:$G$22,5,FALSE)*$B7</f>
        <v>0</v>
      </c>
      <c r="F7" s="22">
        <f>VLOOKUP($A7,$A$16:$G$22,6,FALSE)*$B7</f>
        <v>919.37534999999991</v>
      </c>
      <c r="G7" s="22">
        <f>VLOOKUP($A7,$A$16:$G$22,7,FALSE)*$B7</f>
        <v>0</v>
      </c>
    </row>
    <row r="8" spans="1:10">
      <c r="A8" s="8" t="s">
        <v>7</v>
      </c>
      <c r="B8" s="38">
        <v>204800.95438000016</v>
      </c>
      <c r="C8" s="22">
        <f>VLOOKUP($A8,$A$16:$G$22,3,FALSE)*$B8</f>
        <v>0</v>
      </c>
      <c r="D8" s="22">
        <f>VLOOKUP($A8,$A$16:$G$22,4,FALSE)*$B8</f>
        <v>0</v>
      </c>
      <c r="E8" s="22">
        <f>VLOOKUP($A8,$A$16:$G$22,5,FALSE)*$B8</f>
        <v>204800.95438000016</v>
      </c>
      <c r="F8" s="22">
        <f>VLOOKUP($A8,$A$16:$G$22,6,FALSE)*$B8</f>
        <v>0</v>
      </c>
      <c r="G8" s="22">
        <f>VLOOKUP($A8,$A$16:$G$22,7,FALSE)*$B8</f>
        <v>0</v>
      </c>
    </row>
    <row r="9" spans="1:10">
      <c r="A9" s="8" t="s">
        <v>72</v>
      </c>
      <c r="B9" s="38">
        <v>593857.5116000002</v>
      </c>
      <c r="C9" s="22">
        <f>VLOOKUP($A9,$A$16:$G$22,3,FALSE)*$B9</f>
        <v>593857.5116000002</v>
      </c>
      <c r="D9" s="22">
        <f>VLOOKUP($A9,$A$16:$G$22,4,FALSE)*$B9</f>
        <v>0</v>
      </c>
      <c r="E9" s="22">
        <f>VLOOKUP($A9,$A$16:$G$22,5,FALSE)*$B9</f>
        <v>0</v>
      </c>
      <c r="F9" s="22">
        <f>VLOOKUP($A9,$A$16:$G$22,6,FALSE)*$B9</f>
        <v>0</v>
      </c>
      <c r="G9" s="22">
        <f>VLOOKUP($A9,$A$16:$G$22,7,FALSE)*$B9</f>
        <v>0</v>
      </c>
    </row>
    <row r="10" spans="1:10">
      <c r="A10" s="8" t="s">
        <v>120</v>
      </c>
      <c r="B10" s="38">
        <v>19527.73949</v>
      </c>
      <c r="C10" s="22">
        <f>VLOOKUP($A10,$A$16:$G$22,3,FALSE)*$B10</f>
        <v>8895.1426274594523</v>
      </c>
      <c r="D10" s="22">
        <f>VLOOKUP($A10,$A$16:$G$22,4,FALSE)*$B10</f>
        <v>5228.8467339946565</v>
      </c>
      <c r="E10" s="22">
        <f>VLOOKUP($A10,$A$16:$G$22,5,FALSE)*$B10</f>
        <v>5403.7501285458884</v>
      </c>
      <c r="F10" s="22">
        <f>VLOOKUP($A10,$A$16:$G$22,6,FALSE)*$B10</f>
        <v>0</v>
      </c>
      <c r="G10" s="22">
        <f>VLOOKUP($A10,$A$16:$G$22,7,FALSE)*$B10</f>
        <v>0</v>
      </c>
    </row>
    <row r="11" spans="1:10">
      <c r="A11" s="8" t="s">
        <v>113</v>
      </c>
      <c r="B11" s="38">
        <v>137291.54098999998</v>
      </c>
      <c r="C11" s="22">
        <f>VLOOKUP($A11,$A$16:$G$22,3,FALSE)*$B11</f>
        <v>0</v>
      </c>
      <c r="D11" s="22">
        <f>VLOOKUP($A11,$A$16:$G$22,4,FALSE)*$B11</f>
        <v>137291.54098999998</v>
      </c>
      <c r="E11" s="22">
        <f>VLOOKUP($A11,$A$16:$G$22,5,FALSE)*$B11</f>
        <v>0</v>
      </c>
      <c r="F11" s="22">
        <f>VLOOKUP($A11,$A$16:$G$22,6,FALSE)*$B11</f>
        <v>0</v>
      </c>
      <c r="G11" s="22">
        <f>VLOOKUP($A11,$A$16:$G$22,7,FALSE)*$B11</f>
        <v>0</v>
      </c>
    </row>
    <row r="12" spans="1:10">
      <c r="A12" s="24" t="s">
        <v>14</v>
      </c>
      <c r="B12" s="22">
        <f t="shared" ref="B12:G12" si="0">SUM(B7:B11)</f>
        <v>956397.12181000027</v>
      </c>
      <c r="C12" s="22">
        <f t="shared" si="0"/>
        <v>602752.65422745969</v>
      </c>
      <c r="D12" s="22">
        <f t="shared" si="0"/>
        <v>142520.38772399465</v>
      </c>
      <c r="E12" s="22">
        <f t="shared" si="0"/>
        <v>210204.70450854604</v>
      </c>
      <c r="F12" s="22">
        <f t="shared" si="0"/>
        <v>919.37534999999991</v>
      </c>
      <c r="G12" s="22">
        <f t="shared" si="0"/>
        <v>0</v>
      </c>
    </row>
    <row r="13" spans="1:10">
      <c r="A13" s="24" t="s">
        <v>195</v>
      </c>
      <c r="B13" s="39">
        <f t="shared" ref="B13:G13" si="1">B12/$B12</f>
        <v>1</v>
      </c>
      <c r="C13" s="40">
        <f t="shared" si="1"/>
        <v>0.63023260995049679</v>
      </c>
      <c r="D13" s="40">
        <f t="shared" si="1"/>
        <v>0.14901800149112956</v>
      </c>
      <c r="E13" s="40">
        <f t="shared" si="1"/>
        <v>0.21978809818115044</v>
      </c>
      <c r="F13" s="40">
        <f t="shared" si="1"/>
        <v>9.6129037722328576E-4</v>
      </c>
      <c r="G13" s="40">
        <f t="shared" si="1"/>
        <v>0</v>
      </c>
    </row>
    <row r="14" spans="1:10">
      <c r="B14" s="41"/>
      <c r="C14" s="41"/>
      <c r="D14" s="41"/>
      <c r="E14" s="41"/>
      <c r="F14" s="41"/>
      <c r="G14" s="41"/>
    </row>
    <row r="15" spans="1:10">
      <c r="B15" s="42"/>
    </row>
    <row r="16" spans="1:10">
      <c r="A16" s="8" t="s">
        <v>72</v>
      </c>
      <c r="B16" s="18">
        <f>'FORM 1'!$B$13</f>
        <v>1</v>
      </c>
      <c r="C16" s="18">
        <f>'FORM 1'!$C$13</f>
        <v>1</v>
      </c>
      <c r="D16" s="18">
        <f>'FORM 1'!$D$13</f>
        <v>0</v>
      </c>
      <c r="E16" s="18">
        <f>'FORM 1'!$E$13</f>
        <v>0</v>
      </c>
      <c r="F16" s="18">
        <f>'FORM 1'!$F$13</f>
        <v>0</v>
      </c>
      <c r="G16" s="18">
        <f>'FORM 1'!$G$13</f>
        <v>0</v>
      </c>
    </row>
    <row r="17" spans="1:7">
      <c r="A17" s="8" t="s">
        <v>113</v>
      </c>
      <c r="B17" s="18">
        <f>'FORM 1'!$B$14</f>
        <v>1</v>
      </c>
      <c r="C17" s="18">
        <f>'FORM 1'!$C$14</f>
        <v>0</v>
      </c>
      <c r="D17" s="18">
        <f>'FORM 1'!$D$14</f>
        <v>1</v>
      </c>
      <c r="E17" s="18">
        <f>'FORM 1'!$E$14</f>
        <v>0</v>
      </c>
      <c r="F17" s="18">
        <f>'FORM 1'!$F$14</f>
        <v>0</v>
      </c>
      <c r="G17" s="18">
        <f>'FORM 1'!$G$14</f>
        <v>0</v>
      </c>
    </row>
    <row r="18" spans="1:7">
      <c r="A18" s="8" t="s">
        <v>7</v>
      </c>
      <c r="B18" s="18">
        <f>'FORM 1'!$B$15</f>
        <v>1</v>
      </c>
      <c r="C18" s="18">
        <f>'FORM 1'!$C$15</f>
        <v>0</v>
      </c>
      <c r="D18" s="18">
        <f>'FORM 1'!$D$15</f>
        <v>0</v>
      </c>
      <c r="E18" s="18">
        <f>'FORM 1'!$E$15</f>
        <v>1</v>
      </c>
      <c r="F18" s="18">
        <f>'FORM 1'!$F$15</f>
        <v>0</v>
      </c>
      <c r="G18" s="18">
        <f>'FORM 1'!$G$15</f>
        <v>0</v>
      </c>
    </row>
    <row r="19" spans="1:7">
      <c r="A19" s="8" t="s">
        <v>8</v>
      </c>
      <c r="B19" s="18">
        <f>'FORM 1'!$B$15</f>
        <v>1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</row>
    <row r="20" spans="1:7">
      <c r="A20" s="8" t="s">
        <v>120</v>
      </c>
      <c r="B20" s="18">
        <f>'FORM 1'!$B$16</f>
        <v>1</v>
      </c>
      <c r="C20" s="18">
        <f>'FORM 1'!$C$16</f>
        <v>0.45551317560409821</v>
      </c>
      <c r="D20" s="18">
        <f>'FORM 1'!$D$16</f>
        <v>0.26776508037053176</v>
      </c>
      <c r="E20" s="18">
        <f>'FORM 1'!$E$16</f>
        <v>0.27672174402536998</v>
      </c>
      <c r="F20" s="18">
        <f>'FORM 1'!$F$16</f>
        <v>0</v>
      </c>
      <c r="G20" s="18">
        <f>'FORM 1'!$G$16</f>
        <v>0</v>
      </c>
    </row>
    <row r="21" spans="1:7">
      <c r="A21" s="8" t="s">
        <v>116</v>
      </c>
      <c r="B21" s="18">
        <f>'FORM 1'!$B$18</f>
        <v>1</v>
      </c>
      <c r="C21" s="18">
        <f>'FORM 1'!$C$18</f>
        <v>0</v>
      </c>
      <c r="D21" s="18">
        <f>'FORM 1'!$D$18</f>
        <v>0.49177513279152762</v>
      </c>
      <c r="E21" s="18">
        <f>'FORM 1'!$E$18</f>
        <v>0.50822486720847238</v>
      </c>
      <c r="F21" s="18">
        <f>'FORM 1'!$F$18</f>
        <v>0</v>
      </c>
      <c r="G21" s="18">
        <f>'FORM 1'!$G$18</f>
        <v>0</v>
      </c>
    </row>
    <row r="22" spans="1:7">
      <c r="A22" s="8" t="s">
        <v>32</v>
      </c>
      <c r="B22" s="18">
        <f>GP!$D$38</f>
        <v>1</v>
      </c>
      <c r="C22" s="18">
        <f>GP!$E$38</f>
        <v>0.20014057788057571</v>
      </c>
      <c r="D22" s="18">
        <f>GP!$F$38</f>
        <v>0.35198617626679318</v>
      </c>
      <c r="E22" s="18">
        <f>GP!$G$38</f>
        <v>0.43574982278046454</v>
      </c>
      <c r="F22" s="18">
        <f>GP!$H$38</f>
        <v>1.2123423072166489E-2</v>
      </c>
      <c r="G22" s="18">
        <f>GP!$I$38</f>
        <v>0</v>
      </c>
    </row>
    <row r="25" spans="1:7">
      <c r="B25" s="31"/>
    </row>
    <row r="27" spans="1:7">
      <c r="B27" s="42"/>
    </row>
    <row r="28" spans="1:7">
      <c r="B28" s="42"/>
    </row>
    <row r="30" spans="1:7">
      <c r="B30" s="43"/>
    </row>
    <row r="31" spans="1:7">
      <c r="B31" s="31"/>
    </row>
    <row r="32" spans="1:7">
      <c r="B32" s="42"/>
    </row>
  </sheetData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9DF0-7889-4DDF-A0D2-ED7F41A7ED3A}">
  <dimension ref="A1:I41"/>
  <sheetViews>
    <sheetView view="pageBreakPreview" zoomScale="70" zoomScaleNormal="90" zoomScaleSheetLayoutView="70" workbookViewId="0"/>
  </sheetViews>
  <sheetFormatPr defaultColWidth="9.140625" defaultRowHeight="12.75"/>
  <cols>
    <col min="1" max="3" width="9.140625" style="8"/>
    <col min="4" max="4" width="16.7109375" style="8" customWidth="1"/>
    <col min="5" max="5" width="17.5703125" style="8" customWidth="1"/>
    <col min="6" max="6" width="14.7109375" style="8" customWidth="1"/>
    <col min="7" max="9" width="16.7109375" style="8" customWidth="1"/>
  </cols>
  <sheetData>
    <row r="1" spans="1:9">
      <c r="A1" s="32" t="str">
        <f>+'TOTAL FUNCFAC'!A1</f>
        <v>PacifiCorp</v>
      </c>
      <c r="B1" s="2"/>
      <c r="C1" s="2"/>
      <c r="D1" s="2"/>
      <c r="E1" s="2"/>
      <c r="F1" s="2"/>
      <c r="G1" s="2"/>
      <c r="H1" s="2"/>
      <c r="I1" s="2"/>
    </row>
    <row r="2" spans="1:9">
      <c r="A2" s="32" t="str">
        <f>+'TOTAL FUNCFAC'!A2:A2</f>
        <v>12 Months Ended December 2022</v>
      </c>
      <c r="B2" s="32"/>
      <c r="C2" s="32"/>
      <c r="D2" s="32"/>
      <c r="E2" s="32"/>
      <c r="F2" s="32"/>
      <c r="G2" s="32"/>
      <c r="H2" s="32"/>
      <c r="I2" s="32"/>
    </row>
    <row r="3" spans="1:9">
      <c r="A3" s="32" t="s">
        <v>196</v>
      </c>
      <c r="B3" s="32"/>
      <c r="C3" s="32"/>
      <c r="D3" s="32"/>
      <c r="E3" s="32"/>
      <c r="F3" s="32"/>
      <c r="G3" s="32"/>
      <c r="H3" s="32"/>
      <c r="I3" s="32"/>
    </row>
    <row r="4" spans="1:9">
      <c r="D4" s="115"/>
    </row>
    <row r="5" spans="1:9">
      <c r="A5" s="8" t="s">
        <v>197</v>
      </c>
    </row>
    <row r="6" spans="1:9">
      <c r="A6" s="44" t="s">
        <v>198</v>
      </c>
      <c r="B6" s="44" t="s">
        <v>157</v>
      </c>
      <c r="C6" s="44" t="s">
        <v>3</v>
      </c>
      <c r="D6" s="151" t="s">
        <v>159</v>
      </c>
      <c r="E6" s="151" t="s">
        <v>5</v>
      </c>
      <c r="F6" s="151" t="s">
        <v>6</v>
      </c>
      <c r="G6" s="151" t="s">
        <v>7</v>
      </c>
      <c r="H6" s="151" t="s">
        <v>199</v>
      </c>
      <c r="I6" s="151" t="s">
        <v>9</v>
      </c>
    </row>
    <row r="7" spans="1:9">
      <c r="A7" s="8" t="s">
        <v>200</v>
      </c>
      <c r="B7" s="8" t="s">
        <v>201</v>
      </c>
      <c r="C7" s="8" t="s">
        <v>72</v>
      </c>
      <c r="D7" s="45">
        <v>19143.78038</v>
      </c>
      <c r="E7" s="143">
        <f>$D7*VLOOKUP(+$C7,$C$31:$I37,3,FALSE)</f>
        <v>19143.78038</v>
      </c>
      <c r="F7" s="143">
        <f>$D7*VLOOKUP(+$C7,$C$31:$I37,4,FALSE)</f>
        <v>0</v>
      </c>
      <c r="G7" s="143">
        <f>$D7*VLOOKUP(+$C7,$C$31:$I37,5,FALSE)</f>
        <v>0</v>
      </c>
      <c r="H7" s="143">
        <f>$D7*VLOOKUP(+$C7,$C$31:$I37,6,FALSE)</f>
        <v>0</v>
      </c>
      <c r="I7" s="143">
        <f>$D7*VLOOKUP(+$C7,$C$31:$I37,7,FALSE)</f>
        <v>0</v>
      </c>
    </row>
    <row r="8" spans="1:9">
      <c r="A8" s="8" t="s">
        <v>200</v>
      </c>
      <c r="B8" s="8" t="s">
        <v>201</v>
      </c>
      <c r="C8" s="8" t="s">
        <v>113</v>
      </c>
      <c r="D8" s="45">
        <v>0</v>
      </c>
      <c r="E8" s="143">
        <f>$D8*VLOOKUP(+$C8,$C$31:$I38,3,FALSE)</f>
        <v>0</v>
      </c>
      <c r="F8" s="143">
        <f>$D8*VLOOKUP(+$C8,$C$31:$I38,4,FALSE)</f>
        <v>0</v>
      </c>
      <c r="G8" s="143">
        <f>$D8*VLOOKUP(+$C8,$C$31:$I38,5,FALSE)</f>
        <v>0</v>
      </c>
      <c r="H8" s="143">
        <f>$D8*VLOOKUP(+$C8,$C$31:$I38,6,FALSE)</f>
        <v>0</v>
      </c>
      <c r="I8" s="143">
        <f>$D8*VLOOKUP(+$C8,$C$31:$I38,7,FALSE)</f>
        <v>0</v>
      </c>
    </row>
    <row r="9" spans="1:9">
      <c r="A9" s="8" t="s">
        <v>200</v>
      </c>
      <c r="B9" s="8" t="s">
        <v>166</v>
      </c>
      <c r="C9" s="8" t="s">
        <v>72</v>
      </c>
      <c r="D9" s="45">
        <v>0</v>
      </c>
      <c r="E9" s="143">
        <f>$D9*VLOOKUP(+$C9,$C$31:$I38,3,FALSE)</f>
        <v>0</v>
      </c>
      <c r="F9" s="143">
        <f>$D9*VLOOKUP(+$C9,$C$31:$I38,4,FALSE)</f>
        <v>0</v>
      </c>
      <c r="G9" s="143">
        <f>$D9*VLOOKUP(+$C9,$C$31:$I38,5,FALSE)</f>
        <v>0</v>
      </c>
      <c r="H9" s="143">
        <f>$D9*VLOOKUP(+$C9,$C$31:$I38,6,FALSE)</f>
        <v>0</v>
      </c>
      <c r="I9" s="143">
        <f>$D9*VLOOKUP(+$C9,$C$31:$I38,7,FALSE)</f>
        <v>0</v>
      </c>
    </row>
    <row r="10" spans="1:9">
      <c r="A10" s="8" t="s">
        <v>200</v>
      </c>
      <c r="B10" s="8" t="s">
        <v>166</v>
      </c>
      <c r="C10" s="8" t="s">
        <v>113</v>
      </c>
      <c r="D10" s="45">
        <v>33344.36851</v>
      </c>
      <c r="E10" s="143">
        <f>$D10*VLOOKUP(+$C10,$C$31:$I39,3,FALSE)</f>
        <v>0</v>
      </c>
      <c r="F10" s="143">
        <f>$D10*VLOOKUP(+$C10,$C$31:$I39,4,FALSE)</f>
        <v>33344.36851</v>
      </c>
      <c r="G10" s="143">
        <f>$D10*VLOOKUP(+$C10,$C$31:$I39,5,FALSE)</f>
        <v>0</v>
      </c>
      <c r="H10" s="143">
        <f>$D10*VLOOKUP(+$C10,$C$31:$I39,6,FALSE)</f>
        <v>0</v>
      </c>
      <c r="I10" s="143">
        <f>$D10*VLOOKUP(+$C10,$C$31:$I39,7,FALSE)</f>
        <v>0</v>
      </c>
    </row>
    <row r="11" spans="1:9">
      <c r="A11" s="8" t="s">
        <v>200</v>
      </c>
      <c r="B11" s="8" t="s">
        <v>202</v>
      </c>
      <c r="C11" s="8" t="s">
        <v>72</v>
      </c>
      <c r="D11" s="45">
        <v>25355.188979999999</v>
      </c>
      <c r="E11" s="143">
        <f>$D11*VLOOKUP(+$C11,$C$31:$I40,3,FALSE)</f>
        <v>25355.188979999999</v>
      </c>
      <c r="F11" s="143">
        <f>$D11*VLOOKUP(+$C11,$C$31:$I40,4,FALSE)</f>
        <v>0</v>
      </c>
      <c r="G11" s="143">
        <f>$D11*VLOOKUP(+$C11,$C$31:$I40,5,FALSE)</f>
        <v>0</v>
      </c>
      <c r="H11" s="143">
        <f>$D11*VLOOKUP(+$C11,$C$31:$I40,6,FALSE)</f>
        <v>0</v>
      </c>
      <c r="I11" s="143">
        <f>$D11*VLOOKUP(+$C11,$C$31:$I40,7,FALSE)</f>
        <v>0</v>
      </c>
    </row>
    <row r="12" spans="1:9">
      <c r="A12" s="8" t="s">
        <v>200</v>
      </c>
      <c r="B12" s="8" t="s">
        <v>202</v>
      </c>
      <c r="C12" s="8" t="s">
        <v>113</v>
      </c>
      <c r="D12" s="45">
        <v>154027.30980000002</v>
      </c>
      <c r="E12" s="143">
        <f>$D12*VLOOKUP(+$C12,$C$31:$I40,3,FALSE)</f>
        <v>0</v>
      </c>
      <c r="F12" s="143">
        <f>$D12*VLOOKUP(+$C12,$C$31:$I40,4,FALSE)</f>
        <v>154027.30980000002</v>
      </c>
      <c r="G12" s="143">
        <f>$D12*VLOOKUP(+$C12,$C$31:$I40,5,FALSE)</f>
        <v>0</v>
      </c>
      <c r="H12" s="143">
        <f>$D12*VLOOKUP(+$C12,$C$31:$I40,6,FALSE)</f>
        <v>0</v>
      </c>
      <c r="I12" s="143">
        <f>$D12*VLOOKUP(+$C12,$C$31:$I40,7,FALSE)</f>
        <v>0</v>
      </c>
    </row>
    <row r="13" spans="1:9">
      <c r="A13" s="8" t="s">
        <v>200</v>
      </c>
      <c r="B13" s="8" t="s">
        <v>203</v>
      </c>
      <c r="C13" s="8" t="s">
        <v>9</v>
      </c>
      <c r="D13" s="45">
        <v>101.94892</v>
      </c>
      <c r="E13" s="143">
        <f>$D13*VLOOKUP(+$C13,$C$31:$I41,3,FALSE)</f>
        <v>0</v>
      </c>
      <c r="F13" s="143">
        <f>$D13*VLOOKUP(+$C13,$C$31:$I41,4,FALSE)</f>
        <v>0</v>
      </c>
      <c r="G13" s="143">
        <f>$D13*VLOOKUP(+$C13,$C$31:$I41,5,FALSE)</f>
        <v>0</v>
      </c>
      <c r="H13" s="143">
        <f>$D13*VLOOKUP(+$C13,$C$31:$I41,6,FALSE)</f>
        <v>0</v>
      </c>
      <c r="I13" s="143">
        <f>$D13*VLOOKUP(+$C13,$C$31:$I41,7,FALSE)</f>
        <v>101.94892</v>
      </c>
    </row>
    <row r="14" spans="1:9">
      <c r="A14" s="8" t="s">
        <v>200</v>
      </c>
      <c r="B14" s="8" t="s">
        <v>204</v>
      </c>
      <c r="C14" s="8" t="s">
        <v>9</v>
      </c>
      <c r="D14" s="45">
        <v>70.66306000000003</v>
      </c>
      <c r="E14" s="143">
        <f>$D14*VLOOKUP(+$C14,$C$31:$I42,3,FALSE)</f>
        <v>0</v>
      </c>
      <c r="F14" s="143">
        <f>$D14*VLOOKUP(+$C14,$C$31:$I42,4,FALSE)</f>
        <v>0</v>
      </c>
      <c r="G14" s="143">
        <f>$D14*VLOOKUP(+$C14,$C$31:$I42,5,FALSE)</f>
        <v>0</v>
      </c>
      <c r="H14" s="143">
        <f>$D14*VLOOKUP(+$C14,$C$31:$I42,6,FALSE)</f>
        <v>0</v>
      </c>
      <c r="I14" s="143">
        <f>$D14*VLOOKUP(+$C14,$C$31:$I42,7,FALSE)</f>
        <v>70.66306000000003</v>
      </c>
    </row>
    <row r="15" spans="1:9">
      <c r="A15" s="8" t="s">
        <v>200</v>
      </c>
      <c r="B15" s="8" t="s">
        <v>204</v>
      </c>
      <c r="C15" s="8" t="s">
        <v>72</v>
      </c>
      <c r="D15" s="45">
        <v>242.70433</v>
      </c>
      <c r="E15" s="143">
        <f>$D15*VLOOKUP(+$C15,$C$31:$I43,3,FALSE)</f>
        <v>242.70433</v>
      </c>
      <c r="F15" s="143">
        <f>$D15*VLOOKUP(+$C15,$C$31:$I43,4,FALSE)</f>
        <v>0</v>
      </c>
      <c r="G15" s="143">
        <f>$D15*VLOOKUP(+$C15,$C$31:$I43,5,FALSE)</f>
        <v>0</v>
      </c>
      <c r="H15" s="143">
        <f>$D15*VLOOKUP(+$C15,$C$31:$I43,6,FALSE)</f>
        <v>0</v>
      </c>
      <c r="I15" s="143">
        <f>$D15*VLOOKUP(+$C15,$C$31:$I43,7,FALSE)</f>
        <v>0</v>
      </c>
    </row>
    <row r="16" spans="1:9">
      <c r="A16" s="8" t="s">
        <v>200</v>
      </c>
      <c r="B16" s="8" t="s">
        <v>204</v>
      </c>
      <c r="C16" s="8" t="s">
        <v>113</v>
      </c>
      <c r="D16" s="45">
        <v>4075.3882800000001</v>
      </c>
      <c r="E16" s="143">
        <f>$D16*VLOOKUP(+$C16,$C$31:$I44,3,FALSE)</f>
        <v>0</v>
      </c>
      <c r="F16" s="143">
        <f>$D16*VLOOKUP(+$C16,$C$31:$I44,4,FALSE)</f>
        <v>4075.3882800000001</v>
      </c>
      <c r="G16" s="143">
        <f>$D16*VLOOKUP(+$C16,$C$31:$I44,5,FALSE)</f>
        <v>0</v>
      </c>
      <c r="H16" s="143">
        <f>$D16*VLOOKUP(+$C16,$C$31:$I44,6,FALSE)</f>
        <v>0</v>
      </c>
      <c r="I16" s="143">
        <f>$D16*VLOOKUP(+$C16,$C$31:$I44,7,FALSE)</f>
        <v>0</v>
      </c>
    </row>
    <row r="17" spans="1:9">
      <c r="A17" s="11" t="s">
        <v>205</v>
      </c>
      <c r="D17" s="143">
        <f t="shared" ref="D17:I17" si="0">SUMIF($B:$B,"SITUS",D:D)</f>
        <v>4388.7556700000005</v>
      </c>
      <c r="E17" s="143">
        <f t="shared" si="0"/>
        <v>242.70433</v>
      </c>
      <c r="F17" s="143">
        <f t="shared" si="0"/>
        <v>4075.3882800000001</v>
      </c>
      <c r="G17" s="143">
        <f t="shared" si="0"/>
        <v>0</v>
      </c>
      <c r="H17" s="143">
        <f t="shared" si="0"/>
        <v>0</v>
      </c>
      <c r="I17" s="143">
        <f t="shared" si="0"/>
        <v>70.66306000000003</v>
      </c>
    </row>
    <row r="18" spans="1:9">
      <c r="A18" s="11" t="s">
        <v>206</v>
      </c>
      <c r="D18" s="143">
        <f t="shared" ref="D18:I18" si="1">SUMIF($B:$B,"CN",D:D)</f>
        <v>0</v>
      </c>
      <c r="E18" s="143">
        <f t="shared" si="1"/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</row>
    <row r="19" spans="1:9">
      <c r="A19" s="11" t="s">
        <v>207</v>
      </c>
      <c r="D19" s="143">
        <f t="shared" ref="D19:I19" si="2">SUMIF($B:$B,"SE",D:D)</f>
        <v>33344.36851</v>
      </c>
      <c r="E19" s="143">
        <f t="shared" si="2"/>
        <v>0</v>
      </c>
      <c r="F19" s="143">
        <f t="shared" si="2"/>
        <v>33344.36851</v>
      </c>
      <c r="G19" s="143">
        <f t="shared" si="2"/>
        <v>0</v>
      </c>
      <c r="H19" s="143">
        <f t="shared" si="2"/>
        <v>0</v>
      </c>
      <c r="I19" s="143">
        <f t="shared" si="2"/>
        <v>0</v>
      </c>
    </row>
    <row r="20" spans="1:9">
      <c r="A20" s="11" t="s">
        <v>208</v>
      </c>
      <c r="D20" s="143">
        <f t="shared" ref="D20:I20" si="3">SUMIF($B:$B,"SG",D:D)</f>
        <v>179382.49878000002</v>
      </c>
      <c r="E20" s="143">
        <f t="shared" si="3"/>
        <v>25355.188979999999</v>
      </c>
      <c r="F20" s="143">
        <f t="shared" si="3"/>
        <v>154027.30980000002</v>
      </c>
      <c r="G20" s="143">
        <f t="shared" si="3"/>
        <v>0</v>
      </c>
      <c r="H20" s="143">
        <f t="shared" si="3"/>
        <v>0</v>
      </c>
      <c r="I20" s="143">
        <f t="shared" si="3"/>
        <v>0</v>
      </c>
    </row>
    <row r="21" spans="1:9">
      <c r="A21" s="11" t="s">
        <v>209</v>
      </c>
      <c r="D21" s="143">
        <f>SUMIF($B:$B,"SO",D:D)</f>
        <v>101.94892</v>
      </c>
      <c r="E21" s="143">
        <f t="shared" ref="E21:I21" si="4">SUMIF($B:$B,"SO",E:E)</f>
        <v>0</v>
      </c>
      <c r="F21" s="143">
        <f t="shared" si="4"/>
        <v>0</v>
      </c>
      <c r="G21" s="143">
        <f t="shared" si="4"/>
        <v>0</v>
      </c>
      <c r="H21" s="143">
        <f t="shared" si="4"/>
        <v>0</v>
      </c>
      <c r="I21" s="143">
        <f t="shared" si="4"/>
        <v>101.94892</v>
      </c>
    </row>
    <row r="22" spans="1:9">
      <c r="A22" s="11" t="s">
        <v>210</v>
      </c>
      <c r="D22" s="143">
        <f t="shared" ref="D22:I22" si="5">SUM(D7:D16)</f>
        <v>236361.35226000001</v>
      </c>
      <c r="E22" s="143">
        <f t="shared" si="5"/>
        <v>44741.673690000003</v>
      </c>
      <c r="F22" s="143">
        <f t="shared" si="5"/>
        <v>191447.06659000003</v>
      </c>
      <c r="G22" s="143">
        <f t="shared" si="5"/>
        <v>0</v>
      </c>
      <c r="H22" s="143">
        <f t="shared" si="5"/>
        <v>0</v>
      </c>
      <c r="I22" s="143">
        <f t="shared" si="5"/>
        <v>172.61198000000002</v>
      </c>
    </row>
    <row r="23" spans="1:9" s="11" customFormat="1">
      <c r="A23" s="11" t="s">
        <v>68</v>
      </c>
      <c r="D23" s="40">
        <f t="shared" ref="D23:D28" si="6">SUM(E23:I23)</f>
        <v>0.99999999999999989</v>
      </c>
      <c r="E23" s="40">
        <f>E17/$D$17</f>
        <v>5.5301399359969375E-2</v>
      </c>
      <c r="F23" s="40">
        <f>F17/$D$17</f>
        <v>0.92859766786698328</v>
      </c>
      <c r="G23" s="40">
        <f>G17/$D$17</f>
        <v>0</v>
      </c>
      <c r="H23" s="40">
        <f>H17/$D$17</f>
        <v>0</v>
      </c>
      <c r="I23" s="40">
        <f>I17/$D$17</f>
        <v>1.6100932773047267E-2</v>
      </c>
    </row>
    <row r="24" spans="1:9" s="11" customFormat="1">
      <c r="A24" s="11" t="s">
        <v>211</v>
      </c>
      <c r="D24" s="40">
        <f t="shared" si="6"/>
        <v>0</v>
      </c>
      <c r="E24" s="40" t="str">
        <f>IF(ISERROR(E18/$D$18)," ",(E18/$D$18))</f>
        <v xml:space="preserve"> </v>
      </c>
      <c r="F24" s="40" t="str">
        <f>IF(ISERROR(F18/$D$18)," ",(F18/$D$18))</f>
        <v xml:space="preserve"> </v>
      </c>
      <c r="G24" s="40" t="str">
        <f>IF(ISERROR(G18/$D$18)," ",(G18/$D$18))</f>
        <v xml:space="preserve"> </v>
      </c>
      <c r="H24" s="40" t="str">
        <f>IF(ISERROR(H18/$D$18)," ",(H18/$D$18))</f>
        <v xml:space="preserve"> </v>
      </c>
      <c r="I24" s="40" t="str">
        <f>IF(ISERROR(I18/$D$18)," ",(I18/$D$18))</f>
        <v xml:space="preserve"> </v>
      </c>
    </row>
    <row r="25" spans="1:9">
      <c r="A25" s="11" t="s">
        <v>62</v>
      </c>
      <c r="D25" s="40">
        <f t="shared" si="6"/>
        <v>1</v>
      </c>
      <c r="E25" s="40">
        <f>E19/$D$19</f>
        <v>0</v>
      </c>
      <c r="F25" s="40">
        <f>F19/$D$19</f>
        <v>1</v>
      </c>
      <c r="G25" s="40">
        <f>G19/$D$19</f>
        <v>0</v>
      </c>
      <c r="H25" s="40">
        <f>H19/$D$19</f>
        <v>0</v>
      </c>
      <c r="I25" s="40">
        <f>I19/$D$19</f>
        <v>0</v>
      </c>
    </row>
    <row r="26" spans="1:9">
      <c r="A26" s="11" t="s">
        <v>64</v>
      </c>
      <c r="D26" s="40">
        <f t="shared" si="6"/>
        <v>0.99999999999999989</v>
      </c>
      <c r="E26" s="40">
        <f>E20/$D$20</f>
        <v>0.1413470609030614</v>
      </c>
      <c r="F26" s="40">
        <f>F20/$D$20</f>
        <v>0.85865293909693852</v>
      </c>
      <c r="G26" s="40">
        <f>G20/$D$20</f>
        <v>0</v>
      </c>
      <c r="H26" s="40">
        <f>H20/$D$20</f>
        <v>0</v>
      </c>
      <c r="I26" s="40">
        <f>I20/$D$20</f>
        <v>0</v>
      </c>
    </row>
    <row r="27" spans="1:9">
      <c r="A27" s="11" t="s">
        <v>70</v>
      </c>
      <c r="D27" s="40">
        <f>SUM(E27:I27)</f>
        <v>1</v>
      </c>
      <c r="E27" s="40">
        <f>E21/$D$21</f>
        <v>0</v>
      </c>
      <c r="F27" s="40">
        <f>F21/$D$21</f>
        <v>0</v>
      </c>
      <c r="G27" s="40">
        <f>G21/$D$21</f>
        <v>0</v>
      </c>
      <c r="H27" s="40">
        <f>H21/$D$21</f>
        <v>0</v>
      </c>
      <c r="I27" s="40">
        <f>I21/$D$21</f>
        <v>1</v>
      </c>
    </row>
    <row r="28" spans="1:9" ht="12.75" customHeight="1">
      <c r="A28" s="11" t="s">
        <v>212</v>
      </c>
      <c r="B28" s="11"/>
      <c r="C28" s="11"/>
      <c r="D28" s="40">
        <f t="shared" si="6"/>
        <v>1</v>
      </c>
      <c r="E28" s="40">
        <f>E22/$D$22</f>
        <v>0.18929352562166629</v>
      </c>
      <c r="F28" s="40">
        <f>F22/$D$22</f>
        <v>0.80997618586733333</v>
      </c>
      <c r="G28" s="40">
        <f>G22/$D$22</f>
        <v>0</v>
      </c>
      <c r="H28" s="40">
        <f>H22/$D$22</f>
        <v>0</v>
      </c>
      <c r="I28" s="40">
        <f>I22/$D$22</f>
        <v>7.302885110004151E-4</v>
      </c>
    </row>
    <row r="29" spans="1:9" ht="12.75" customHeight="1">
      <c r="D29" s="31"/>
      <c r="E29" s="31"/>
      <c r="F29" s="31"/>
    </row>
    <row r="30" spans="1:9">
      <c r="C30" s="46"/>
      <c r="D30" s="152" t="s">
        <v>10</v>
      </c>
      <c r="E30" s="152" t="s">
        <v>181</v>
      </c>
      <c r="F30" s="152" t="s">
        <v>182</v>
      </c>
      <c r="G30" s="152" t="s">
        <v>7</v>
      </c>
      <c r="H30" s="152" t="s">
        <v>8</v>
      </c>
      <c r="I30" s="152" t="s">
        <v>9</v>
      </c>
    </row>
    <row r="31" spans="1:9">
      <c r="C31" s="25" t="s">
        <v>72</v>
      </c>
      <c r="D31" s="47">
        <f>SUM(E31:I31)</f>
        <v>1</v>
      </c>
      <c r="E31" s="47">
        <f>'FORM 1'!$C$13</f>
        <v>1</v>
      </c>
      <c r="F31" s="47">
        <f>'FORM 1'!$D$13</f>
        <v>0</v>
      </c>
      <c r="G31" s="47">
        <f>'FORM 1'!$E$13</f>
        <v>0</v>
      </c>
      <c r="H31" s="47">
        <f>'FORM 1'!$F$13</f>
        <v>0</v>
      </c>
      <c r="I31" s="47">
        <f>'FORM 1'!$G$13</f>
        <v>0</v>
      </c>
    </row>
    <row r="32" spans="1:9">
      <c r="C32" s="25" t="s">
        <v>113</v>
      </c>
      <c r="D32" s="47">
        <f t="shared" ref="D32:D37" si="7">SUM(E32:I32)</f>
        <v>1</v>
      </c>
      <c r="E32" s="47">
        <f>'FORM 1'!$C$14</f>
        <v>0</v>
      </c>
      <c r="F32" s="47">
        <f>'FORM 1'!$D$14</f>
        <v>1</v>
      </c>
      <c r="G32" s="47">
        <f>'FORM 1'!$E$14</f>
        <v>0</v>
      </c>
      <c r="H32" s="47">
        <f>'FORM 1'!$F$14</f>
        <v>0</v>
      </c>
      <c r="I32" s="47">
        <f>'FORM 1'!$G$14</f>
        <v>0</v>
      </c>
    </row>
    <row r="33" spans="3:9">
      <c r="C33" s="25" t="s">
        <v>116</v>
      </c>
      <c r="D33" s="47">
        <f t="shared" si="7"/>
        <v>1</v>
      </c>
      <c r="E33" s="47">
        <f>'FORM 1'!$C$18</f>
        <v>0</v>
      </c>
      <c r="F33" s="47">
        <f>'FORM 1'!$D$18</f>
        <v>0.49177513279152762</v>
      </c>
      <c r="G33" s="47">
        <f>'FORM 1'!$E$18</f>
        <v>0.50822486720847238</v>
      </c>
      <c r="H33" s="47">
        <f>'FORM 1'!$F$18</f>
        <v>0</v>
      </c>
      <c r="I33" s="47">
        <f>'FORM 1'!$G$18</f>
        <v>0</v>
      </c>
    </row>
    <row r="34" spans="3:9">
      <c r="C34" s="25" t="s">
        <v>8</v>
      </c>
      <c r="D34" s="47">
        <f t="shared" si="7"/>
        <v>1</v>
      </c>
      <c r="E34" s="47">
        <v>0</v>
      </c>
      <c r="F34" s="47">
        <v>0</v>
      </c>
      <c r="G34" s="47">
        <v>0</v>
      </c>
      <c r="H34" s="47">
        <v>1</v>
      </c>
      <c r="I34" s="47">
        <v>0</v>
      </c>
    </row>
    <row r="35" spans="3:9">
      <c r="C35" s="25" t="s">
        <v>7</v>
      </c>
      <c r="D35" s="47">
        <f t="shared" si="7"/>
        <v>1</v>
      </c>
      <c r="E35" s="47">
        <v>0</v>
      </c>
      <c r="F35" s="47">
        <v>0</v>
      </c>
      <c r="G35" s="47">
        <v>1</v>
      </c>
      <c r="H35" s="47">
        <v>0</v>
      </c>
      <c r="I35" s="47">
        <v>0</v>
      </c>
    </row>
    <row r="36" spans="3:9">
      <c r="C36" s="29" t="s">
        <v>120</v>
      </c>
      <c r="D36" s="47">
        <f t="shared" si="7"/>
        <v>1</v>
      </c>
      <c r="E36" s="47">
        <f>'FORM 1'!$C$16</f>
        <v>0.45551317560409821</v>
      </c>
      <c r="F36" s="47">
        <f>'FORM 1'!$D$16</f>
        <v>0.26776508037053176</v>
      </c>
      <c r="G36" s="47">
        <f>'FORM 1'!$E$16</f>
        <v>0.27672174402536998</v>
      </c>
      <c r="H36" s="47">
        <f>'FORM 1'!$F$16</f>
        <v>0</v>
      </c>
      <c r="I36" s="47">
        <f>'FORM 1'!$G$16</f>
        <v>0</v>
      </c>
    </row>
    <row r="37" spans="3:9">
      <c r="C37" s="8" t="s">
        <v>9</v>
      </c>
      <c r="D37" s="47">
        <f t="shared" si="7"/>
        <v>1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</row>
    <row r="41" spans="3:9">
      <c r="D41" s="48" t="s">
        <v>213</v>
      </c>
    </row>
  </sheetData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E859-9867-44CF-8F27-A6B534421AFC}">
  <sheetPr transitionEvaluation="1"/>
  <dimension ref="A1:I67"/>
  <sheetViews>
    <sheetView defaultGridColor="0" view="pageBreakPreview" colorId="22" zoomScale="70" zoomScaleNormal="90" zoomScaleSheetLayoutView="70" workbookViewId="0"/>
  </sheetViews>
  <sheetFormatPr defaultColWidth="12.5703125" defaultRowHeight="12.75"/>
  <cols>
    <col min="1" max="1" width="24.28515625" style="124" bestFit="1" customWidth="1"/>
    <col min="2" max="2" width="13" style="124" customWidth="1"/>
    <col min="3" max="3" width="10.7109375" style="124" customWidth="1"/>
    <col min="4" max="4" width="20" style="124" customWidth="1"/>
    <col min="5" max="5" width="13.42578125" style="124" bestFit="1" customWidth="1"/>
    <col min="6" max="9" width="13.42578125" style="124" customWidth="1"/>
    <col min="10" max="16384" width="12.5703125" style="124"/>
  </cols>
  <sheetData>
    <row r="1" spans="1:9">
      <c r="A1" s="112" t="str">
        <f>+'TOTAL FUNCFAC'!$A$1</f>
        <v>PacifiCorp</v>
      </c>
      <c r="B1" s="153"/>
      <c r="C1" s="153"/>
      <c r="D1" s="153"/>
      <c r="E1" s="153"/>
      <c r="F1" s="153"/>
      <c r="G1" s="153"/>
      <c r="H1" s="153"/>
      <c r="I1" s="153"/>
    </row>
    <row r="2" spans="1:9">
      <c r="A2" s="112" t="str">
        <f>+'TOTAL FUNCFAC'!A2</f>
        <v>12 Months Ended December 2022</v>
      </c>
      <c r="B2" s="153"/>
      <c r="C2" s="153"/>
      <c r="D2" s="153"/>
      <c r="E2" s="153"/>
      <c r="F2" s="153"/>
      <c r="G2" s="153"/>
      <c r="H2" s="153"/>
      <c r="I2" s="153"/>
    </row>
    <row r="3" spans="1:9">
      <c r="A3" s="112" t="s">
        <v>33</v>
      </c>
      <c r="B3" s="153"/>
      <c r="C3" s="153"/>
      <c r="D3" s="153"/>
      <c r="E3" s="153"/>
      <c r="F3" s="153"/>
      <c r="G3" s="153"/>
      <c r="H3" s="153"/>
      <c r="I3" s="153"/>
    </row>
    <row r="4" spans="1:9">
      <c r="B4" s="112"/>
    </row>
    <row r="5" spans="1:9">
      <c r="B5" s="154" t="s">
        <v>156</v>
      </c>
    </row>
    <row r="6" spans="1:9">
      <c r="A6" s="155" t="s">
        <v>4</v>
      </c>
      <c r="B6" s="156" t="s">
        <v>157</v>
      </c>
      <c r="C6" s="156" t="s">
        <v>158</v>
      </c>
      <c r="D6" s="156" t="s">
        <v>159</v>
      </c>
      <c r="E6" s="156" t="s">
        <v>181</v>
      </c>
      <c r="F6" s="156" t="s">
        <v>182</v>
      </c>
      <c r="G6" s="156" t="s">
        <v>7</v>
      </c>
      <c r="H6" s="156" t="s">
        <v>8</v>
      </c>
      <c r="I6" s="156" t="s">
        <v>9</v>
      </c>
    </row>
    <row r="7" spans="1:9">
      <c r="A7" s="124" t="s">
        <v>167</v>
      </c>
      <c r="B7" s="157" t="s">
        <v>214</v>
      </c>
      <c r="C7" s="158" t="s">
        <v>8</v>
      </c>
      <c r="D7" s="49">
        <v>16578.558604615377</v>
      </c>
      <c r="E7" s="159">
        <f t="shared" ref="E7:E21" si="0">$D7*VLOOKUP(+$C7,$B$45:$H$51,3)</f>
        <v>0</v>
      </c>
      <c r="F7" s="159">
        <f t="shared" ref="F7:F21" si="1">$D7*VLOOKUP(+$C7,$B$45:$H$51,4)</f>
        <v>0</v>
      </c>
      <c r="G7" s="159">
        <f t="shared" ref="G7:G21" si="2">$D7*VLOOKUP(+$C7,$B$45:$H$51,5)</f>
        <v>0</v>
      </c>
      <c r="H7" s="159">
        <f t="shared" ref="H7:H21" si="3">$D7*VLOOKUP(+$C7,$B$45:$H$51,6)</f>
        <v>16578.558604615377</v>
      </c>
      <c r="I7" s="159">
        <f t="shared" ref="I7:I21" si="4">$D7*VLOOKUP(+$C7,$B$45:$H$51,7)</f>
        <v>0</v>
      </c>
    </row>
    <row r="8" spans="1:9">
      <c r="B8" s="157" t="s">
        <v>166</v>
      </c>
      <c r="C8" s="158" t="s">
        <v>72</v>
      </c>
      <c r="D8" s="49">
        <v>5146.076019230768</v>
      </c>
      <c r="E8" s="159">
        <f t="shared" si="0"/>
        <v>5146.076019230768</v>
      </c>
      <c r="F8" s="159">
        <f t="shared" si="1"/>
        <v>0</v>
      </c>
      <c r="G8" s="159">
        <f t="shared" si="2"/>
        <v>0</v>
      </c>
      <c r="H8" s="159">
        <f t="shared" si="3"/>
        <v>0</v>
      </c>
      <c r="I8" s="159">
        <f t="shared" si="4"/>
        <v>0</v>
      </c>
    </row>
    <row r="9" spans="1:9">
      <c r="B9" s="125" t="s">
        <v>202</v>
      </c>
      <c r="C9" s="160" t="s">
        <v>72</v>
      </c>
      <c r="D9" s="49">
        <v>129976.94251384615</v>
      </c>
      <c r="E9" s="161">
        <f t="shared" si="0"/>
        <v>129976.94251384615</v>
      </c>
      <c r="F9" s="161">
        <f t="shared" si="1"/>
        <v>0</v>
      </c>
      <c r="G9" s="161">
        <f t="shared" si="2"/>
        <v>0</v>
      </c>
      <c r="H9" s="161">
        <f t="shared" si="3"/>
        <v>0</v>
      </c>
      <c r="I9" s="161">
        <f t="shared" si="4"/>
        <v>0</v>
      </c>
    </row>
    <row r="10" spans="1:9">
      <c r="B10" s="125" t="s">
        <v>202</v>
      </c>
      <c r="C10" s="160" t="s">
        <v>113</v>
      </c>
      <c r="D10" s="49">
        <v>188338.64706153801</v>
      </c>
      <c r="E10" s="161">
        <f t="shared" si="0"/>
        <v>0</v>
      </c>
      <c r="F10" s="161">
        <f t="shared" si="1"/>
        <v>188338.64706153801</v>
      </c>
      <c r="G10" s="161">
        <f t="shared" si="2"/>
        <v>0</v>
      </c>
      <c r="H10" s="161">
        <f t="shared" si="3"/>
        <v>0</v>
      </c>
      <c r="I10" s="161">
        <f t="shared" si="4"/>
        <v>0</v>
      </c>
    </row>
    <row r="11" spans="1:9">
      <c r="B11" s="157" t="s">
        <v>202</v>
      </c>
      <c r="C11" s="158" t="s">
        <v>116</v>
      </c>
      <c r="D11" s="49">
        <v>0</v>
      </c>
      <c r="E11" s="159">
        <f t="shared" si="0"/>
        <v>0</v>
      </c>
      <c r="F11" s="159">
        <f t="shared" si="1"/>
        <v>0</v>
      </c>
      <c r="G11" s="159">
        <f t="shared" si="2"/>
        <v>0</v>
      </c>
      <c r="H11" s="159">
        <f t="shared" si="3"/>
        <v>0</v>
      </c>
      <c r="I11" s="159">
        <f t="shared" si="4"/>
        <v>0</v>
      </c>
    </row>
    <row r="12" spans="1:9">
      <c r="A12" s="124" t="s">
        <v>33</v>
      </c>
      <c r="B12" s="162" t="s">
        <v>203</v>
      </c>
      <c r="C12" s="163" t="s">
        <v>7</v>
      </c>
      <c r="D12" s="49">
        <v>0</v>
      </c>
      <c r="E12" s="164">
        <f t="shared" si="0"/>
        <v>0</v>
      </c>
      <c r="F12" s="164">
        <f t="shared" si="1"/>
        <v>0</v>
      </c>
      <c r="G12" s="164">
        <f t="shared" si="2"/>
        <v>0</v>
      </c>
      <c r="H12" s="164">
        <f t="shared" si="3"/>
        <v>0</v>
      </c>
      <c r="I12" s="164">
        <f t="shared" si="4"/>
        <v>0</v>
      </c>
    </row>
    <row r="13" spans="1:9">
      <c r="B13" s="125" t="s">
        <v>203</v>
      </c>
      <c r="C13" s="160" t="s">
        <v>120</v>
      </c>
      <c r="D13" s="49">
        <v>304196.57841153792</v>
      </c>
      <c r="E13" s="161">
        <f t="shared" si="0"/>
        <v>138565.54944014069</v>
      </c>
      <c r="F13" s="161">
        <f t="shared" si="1"/>
        <v>81453.221266806213</v>
      </c>
      <c r="G13" s="161">
        <f t="shared" si="2"/>
        <v>84177.807704590989</v>
      </c>
      <c r="H13" s="161">
        <f t="shared" si="3"/>
        <v>0</v>
      </c>
      <c r="I13" s="161">
        <f t="shared" si="4"/>
        <v>0</v>
      </c>
    </row>
    <row r="14" spans="1:9">
      <c r="B14" s="125" t="s">
        <v>203</v>
      </c>
      <c r="C14" s="160" t="s">
        <v>116</v>
      </c>
      <c r="D14" s="49">
        <v>0</v>
      </c>
      <c r="E14" s="161">
        <f t="shared" si="0"/>
        <v>0</v>
      </c>
      <c r="F14" s="161">
        <f t="shared" si="1"/>
        <v>0</v>
      </c>
      <c r="G14" s="161">
        <f t="shared" si="2"/>
        <v>0</v>
      </c>
      <c r="H14" s="161">
        <f t="shared" si="3"/>
        <v>0</v>
      </c>
      <c r="I14" s="161">
        <f t="shared" si="4"/>
        <v>0</v>
      </c>
    </row>
    <row r="15" spans="1:9">
      <c r="B15" s="157" t="s">
        <v>203</v>
      </c>
      <c r="C15" s="158" t="s">
        <v>72</v>
      </c>
      <c r="D15" s="165">
        <v>0</v>
      </c>
      <c r="E15" s="159">
        <f t="shared" si="0"/>
        <v>0</v>
      </c>
      <c r="F15" s="159">
        <f t="shared" si="1"/>
        <v>0</v>
      </c>
      <c r="G15" s="159">
        <f t="shared" si="2"/>
        <v>0</v>
      </c>
      <c r="H15" s="159">
        <f t="shared" si="3"/>
        <v>0</v>
      </c>
      <c r="I15" s="159">
        <f t="shared" si="4"/>
        <v>0</v>
      </c>
    </row>
    <row r="16" spans="1:9">
      <c r="A16" s="166"/>
      <c r="B16" s="125" t="s">
        <v>215</v>
      </c>
      <c r="C16" s="160" t="s">
        <v>72</v>
      </c>
      <c r="D16" s="49">
        <v>0</v>
      </c>
      <c r="E16" s="161">
        <f t="shared" si="0"/>
        <v>0</v>
      </c>
      <c r="F16" s="161">
        <f t="shared" si="1"/>
        <v>0</v>
      </c>
      <c r="G16" s="161">
        <f t="shared" si="2"/>
        <v>0</v>
      </c>
      <c r="H16" s="161">
        <f t="shared" si="3"/>
        <v>0</v>
      </c>
      <c r="I16" s="161">
        <f t="shared" si="4"/>
        <v>0</v>
      </c>
    </row>
    <row r="17" spans="1:9">
      <c r="A17" s="166"/>
      <c r="B17" s="125" t="s">
        <v>216</v>
      </c>
      <c r="C17" s="160" t="s">
        <v>7</v>
      </c>
      <c r="D17" s="49">
        <v>0</v>
      </c>
      <c r="E17" s="161">
        <f t="shared" si="0"/>
        <v>0</v>
      </c>
      <c r="F17" s="161">
        <f t="shared" si="1"/>
        <v>0</v>
      </c>
      <c r="G17" s="161">
        <f t="shared" si="2"/>
        <v>0</v>
      </c>
      <c r="H17" s="161">
        <f t="shared" si="3"/>
        <v>0</v>
      </c>
      <c r="I17" s="161">
        <f t="shared" si="4"/>
        <v>0</v>
      </c>
    </row>
    <row r="18" spans="1:9">
      <c r="A18" s="166"/>
      <c r="B18" s="157" t="s">
        <v>216</v>
      </c>
      <c r="C18" s="158" t="s">
        <v>72</v>
      </c>
      <c r="D18" s="49">
        <v>0</v>
      </c>
      <c r="E18" s="159">
        <f t="shared" si="0"/>
        <v>0</v>
      </c>
      <c r="F18" s="159">
        <f t="shared" si="1"/>
        <v>0</v>
      </c>
      <c r="G18" s="159">
        <f t="shared" si="2"/>
        <v>0</v>
      </c>
      <c r="H18" s="159">
        <f t="shared" si="3"/>
        <v>0</v>
      </c>
      <c r="I18" s="159">
        <f t="shared" si="4"/>
        <v>0</v>
      </c>
    </row>
    <row r="19" spans="1:9">
      <c r="B19" s="125" t="s">
        <v>204</v>
      </c>
      <c r="C19" s="160" t="s">
        <v>7</v>
      </c>
      <c r="D19" s="49">
        <v>293083.26650769223</v>
      </c>
      <c r="E19" s="161">
        <f t="shared" si="0"/>
        <v>0</v>
      </c>
      <c r="F19" s="161">
        <f t="shared" si="1"/>
        <v>0</v>
      </c>
      <c r="G19" s="161">
        <f t="shared" si="2"/>
        <v>293083.26650769223</v>
      </c>
      <c r="H19" s="161">
        <f t="shared" si="3"/>
        <v>0</v>
      </c>
      <c r="I19" s="161">
        <f t="shared" si="4"/>
        <v>0</v>
      </c>
    </row>
    <row r="20" spans="1:9">
      <c r="B20" s="125" t="s">
        <v>204</v>
      </c>
      <c r="C20" s="160" t="s">
        <v>72</v>
      </c>
      <c r="D20" s="49">
        <v>0</v>
      </c>
      <c r="E20" s="161">
        <f t="shared" si="0"/>
        <v>0</v>
      </c>
      <c r="F20" s="161">
        <f t="shared" si="1"/>
        <v>0</v>
      </c>
      <c r="G20" s="161">
        <f t="shared" si="2"/>
        <v>0</v>
      </c>
      <c r="H20" s="161">
        <f t="shared" si="3"/>
        <v>0</v>
      </c>
      <c r="I20" s="161">
        <f t="shared" si="4"/>
        <v>0</v>
      </c>
    </row>
    <row r="21" spans="1:9">
      <c r="B21" s="157" t="s">
        <v>204</v>
      </c>
      <c r="C21" s="158" t="s">
        <v>116</v>
      </c>
      <c r="D21" s="49">
        <v>430161.58238615387</v>
      </c>
      <c r="E21" s="159">
        <f t="shared" si="0"/>
        <v>0</v>
      </c>
      <c r="F21" s="159">
        <f t="shared" si="1"/>
        <v>211542.76929976448</v>
      </c>
      <c r="G21" s="159">
        <f t="shared" si="2"/>
        <v>218618.81308638939</v>
      </c>
      <c r="H21" s="159">
        <f t="shared" si="3"/>
        <v>0</v>
      </c>
      <c r="I21" s="159">
        <f t="shared" si="4"/>
        <v>0</v>
      </c>
    </row>
    <row r="22" spans="1:9">
      <c r="A22" s="155" t="s">
        <v>217</v>
      </c>
      <c r="B22" s="125"/>
      <c r="C22" s="160"/>
      <c r="D22" s="161">
        <f t="shared" ref="D22:I22" si="5">SUMIF($C:$C,"CUST",D:D)</f>
        <v>16578.558604615377</v>
      </c>
      <c r="E22" s="161">
        <f t="shared" si="5"/>
        <v>0</v>
      </c>
      <c r="F22" s="161">
        <f t="shared" si="5"/>
        <v>0</v>
      </c>
      <c r="G22" s="161">
        <f t="shared" si="5"/>
        <v>0</v>
      </c>
      <c r="H22" s="161">
        <f t="shared" si="5"/>
        <v>16578.558604615377</v>
      </c>
      <c r="I22" s="161">
        <f t="shared" si="5"/>
        <v>0</v>
      </c>
    </row>
    <row r="23" spans="1:9">
      <c r="A23" s="155" t="s">
        <v>218</v>
      </c>
      <c r="B23" s="125"/>
      <c r="C23" s="160"/>
      <c r="D23" s="161">
        <f t="shared" ref="D23:I23" si="6">SUMIF($C:$C,"TD",D:D)</f>
        <v>430161.58238615387</v>
      </c>
      <c r="E23" s="161">
        <f t="shared" si="6"/>
        <v>0</v>
      </c>
      <c r="F23" s="161">
        <f t="shared" si="6"/>
        <v>211542.76929976448</v>
      </c>
      <c r="G23" s="161">
        <f t="shared" si="6"/>
        <v>218618.81308638939</v>
      </c>
      <c r="H23" s="161">
        <f t="shared" si="6"/>
        <v>0</v>
      </c>
      <c r="I23" s="161">
        <f t="shared" si="6"/>
        <v>0</v>
      </c>
    </row>
    <row r="24" spans="1:9">
      <c r="A24" s="155" t="s">
        <v>219</v>
      </c>
      <c r="B24" s="125"/>
      <c r="C24" s="160"/>
      <c r="D24" s="161">
        <f t="shared" ref="D24:I24" si="7">SUMIF($C:$C,"PTD",D:D)</f>
        <v>304196.57841153792</v>
      </c>
      <c r="E24" s="161">
        <f t="shared" si="7"/>
        <v>138565.54944014069</v>
      </c>
      <c r="F24" s="161">
        <f t="shared" si="7"/>
        <v>81453.221266806213</v>
      </c>
      <c r="G24" s="161">
        <f t="shared" si="7"/>
        <v>84177.807704590989</v>
      </c>
      <c r="H24" s="161">
        <f t="shared" si="7"/>
        <v>0</v>
      </c>
      <c r="I24" s="161">
        <f t="shared" si="7"/>
        <v>0</v>
      </c>
    </row>
    <row r="25" spans="1:9">
      <c r="A25" s="155" t="s">
        <v>220</v>
      </c>
      <c r="B25" s="125"/>
      <c r="C25" s="160"/>
      <c r="D25" s="161">
        <f t="shared" ref="D25:I25" si="8">SUMIF($C:$C,"DPW",D:D)</f>
        <v>293083.26650769223</v>
      </c>
      <c r="E25" s="161">
        <f t="shared" si="8"/>
        <v>0</v>
      </c>
      <c r="F25" s="161">
        <f t="shared" si="8"/>
        <v>0</v>
      </c>
      <c r="G25" s="161">
        <f t="shared" si="8"/>
        <v>293083.26650769223</v>
      </c>
      <c r="H25" s="161">
        <f t="shared" si="8"/>
        <v>0</v>
      </c>
      <c r="I25" s="161">
        <f t="shared" si="8"/>
        <v>0</v>
      </c>
    </row>
    <row r="26" spans="1:9">
      <c r="A26" s="155" t="s">
        <v>221</v>
      </c>
      <c r="D26" s="161">
        <f t="shared" ref="D26:I26" si="9">SUMIF($B:$B,"SSGCH",D:D)</f>
        <v>0</v>
      </c>
      <c r="E26" s="161">
        <f t="shared" si="9"/>
        <v>0</v>
      </c>
      <c r="F26" s="161">
        <f t="shared" si="9"/>
        <v>0</v>
      </c>
      <c r="G26" s="161">
        <f t="shared" si="9"/>
        <v>0</v>
      </c>
      <c r="H26" s="161">
        <f t="shared" si="9"/>
        <v>0</v>
      </c>
      <c r="I26" s="161">
        <f t="shared" si="9"/>
        <v>0</v>
      </c>
    </row>
    <row r="27" spans="1:9">
      <c r="A27" s="155" t="s">
        <v>222</v>
      </c>
      <c r="D27" s="161">
        <f t="shared" ref="D27:I27" si="10">SUMIF($B:$B,"SSGCT",D:D)</f>
        <v>0</v>
      </c>
      <c r="E27" s="161">
        <f t="shared" si="10"/>
        <v>0</v>
      </c>
      <c r="F27" s="161">
        <f t="shared" si="10"/>
        <v>0</v>
      </c>
      <c r="G27" s="161">
        <f t="shared" si="10"/>
        <v>0</v>
      </c>
      <c r="H27" s="161">
        <f t="shared" si="10"/>
        <v>0</v>
      </c>
      <c r="I27" s="161">
        <f t="shared" si="10"/>
        <v>0</v>
      </c>
    </row>
    <row r="28" spans="1:9">
      <c r="A28" s="155" t="s">
        <v>223</v>
      </c>
      <c r="D28" s="161">
        <f t="shared" ref="D28:I28" si="11">SUMIF($B:$B,"SG",D:D)</f>
        <v>318315.58957538416</v>
      </c>
      <c r="E28" s="161">
        <f t="shared" si="11"/>
        <v>129976.94251384615</v>
      </c>
      <c r="F28" s="161">
        <f t="shared" si="11"/>
        <v>188338.64706153801</v>
      </c>
      <c r="G28" s="161">
        <f t="shared" si="11"/>
        <v>0</v>
      </c>
      <c r="H28" s="161">
        <f t="shared" si="11"/>
        <v>0</v>
      </c>
      <c r="I28" s="161">
        <f t="shared" si="11"/>
        <v>0</v>
      </c>
    </row>
    <row r="29" spans="1:9">
      <c r="A29" s="155" t="s">
        <v>224</v>
      </c>
      <c r="D29" s="161">
        <f t="shared" ref="D29:I29" si="12">SUMIF($B:$B,"SE",D:D)</f>
        <v>5146.076019230768</v>
      </c>
      <c r="E29" s="161">
        <f t="shared" si="12"/>
        <v>5146.076019230768</v>
      </c>
      <c r="F29" s="161">
        <f t="shared" si="12"/>
        <v>0</v>
      </c>
      <c r="G29" s="161">
        <f t="shared" si="12"/>
        <v>0</v>
      </c>
      <c r="H29" s="161">
        <f t="shared" si="12"/>
        <v>0</v>
      </c>
      <c r="I29" s="161">
        <f t="shared" si="12"/>
        <v>0</v>
      </c>
    </row>
    <row r="30" spans="1:9">
      <c r="A30" s="155" t="s">
        <v>225</v>
      </c>
      <c r="D30" s="161">
        <f t="shared" ref="D30:I30" si="13">SUMIF($B:$B,"SITUS",D:D)</f>
        <v>723244.84889384615</v>
      </c>
      <c r="E30" s="161">
        <f t="shared" si="13"/>
        <v>0</v>
      </c>
      <c r="F30" s="161">
        <f t="shared" si="13"/>
        <v>211542.76929976448</v>
      </c>
      <c r="G30" s="161">
        <f t="shared" si="13"/>
        <v>511702.07959408162</v>
      </c>
      <c r="H30" s="161">
        <f t="shared" si="13"/>
        <v>0</v>
      </c>
      <c r="I30" s="161">
        <f t="shared" si="13"/>
        <v>0</v>
      </c>
    </row>
    <row r="31" spans="1:9">
      <c r="A31" s="167" t="s">
        <v>226</v>
      </c>
      <c r="B31" s="168"/>
      <c r="C31" s="168"/>
      <c r="D31" s="169">
        <f t="shared" ref="D31:I31" si="14">SUMIF($B:$B,"SO",D:D)</f>
        <v>304196.57841153792</v>
      </c>
      <c r="E31" s="169">
        <f t="shared" si="14"/>
        <v>138565.54944014069</v>
      </c>
      <c r="F31" s="169">
        <f t="shared" si="14"/>
        <v>81453.221266806213</v>
      </c>
      <c r="G31" s="169">
        <f t="shared" si="14"/>
        <v>84177.807704590989</v>
      </c>
      <c r="H31" s="169">
        <f t="shared" si="14"/>
        <v>0</v>
      </c>
      <c r="I31" s="169">
        <f t="shared" si="14"/>
        <v>0</v>
      </c>
    </row>
    <row r="32" spans="1:9">
      <c r="A32" s="155" t="s">
        <v>227</v>
      </c>
      <c r="D32" s="161">
        <f t="shared" ref="D32:I32" si="15">SUM(D7:D21)</f>
        <v>1367481.6515046144</v>
      </c>
      <c r="E32" s="161">
        <f t="shared" si="15"/>
        <v>273688.56797321758</v>
      </c>
      <c r="F32" s="161">
        <f t="shared" si="15"/>
        <v>481334.63762810867</v>
      </c>
      <c r="G32" s="161">
        <f t="shared" si="15"/>
        <v>595879.88729867269</v>
      </c>
      <c r="H32" s="161">
        <f t="shared" si="15"/>
        <v>16578.558604615377</v>
      </c>
      <c r="I32" s="161">
        <f t="shared" si="15"/>
        <v>0</v>
      </c>
    </row>
    <row r="33" spans="1:9">
      <c r="A33" s="155"/>
      <c r="D33" s="161"/>
      <c r="E33" s="161"/>
      <c r="F33" s="161"/>
      <c r="G33" s="161"/>
      <c r="H33" s="161"/>
      <c r="I33" s="161"/>
    </row>
    <row r="34" spans="1:9">
      <c r="A34" s="155" t="s">
        <v>228</v>
      </c>
      <c r="B34" s="155"/>
      <c r="C34" s="155"/>
      <c r="D34" s="50">
        <f>SUM(E34:I34)</f>
        <v>1</v>
      </c>
      <c r="E34" s="51">
        <f>E28/$D$28</f>
        <v>0.40832729143812402</v>
      </c>
      <c r="F34" s="51">
        <f>F28/$D$28</f>
        <v>0.59167270856187604</v>
      </c>
      <c r="G34" s="51">
        <f>G28/$D$28</f>
        <v>0</v>
      </c>
      <c r="H34" s="51">
        <f>H28/$D$28</f>
        <v>0</v>
      </c>
      <c r="I34" s="51">
        <f>I28/$D$28</f>
        <v>0</v>
      </c>
    </row>
    <row r="35" spans="1:9">
      <c r="A35" s="155" t="s">
        <v>229</v>
      </c>
      <c r="B35" s="155"/>
      <c r="C35" s="155"/>
      <c r="D35" s="50">
        <f>SUM(E35:I35)</f>
        <v>1</v>
      </c>
      <c r="E35" s="51">
        <f>E29/$D$29</f>
        <v>1</v>
      </c>
      <c r="F35" s="51">
        <f>F29/$D$29</f>
        <v>0</v>
      </c>
      <c r="G35" s="51">
        <f>G29/$D$29</f>
        <v>0</v>
      </c>
      <c r="H35" s="51">
        <f>H29/$D$29</f>
        <v>0</v>
      </c>
      <c r="I35" s="51">
        <f>I29/$D$29</f>
        <v>0</v>
      </c>
    </row>
    <row r="36" spans="1:9">
      <c r="A36" s="155" t="s">
        <v>230</v>
      </c>
      <c r="B36" s="155"/>
      <c r="C36" s="155"/>
      <c r="D36" s="50">
        <f>SUM(E36:I36)</f>
        <v>0.99999999999999989</v>
      </c>
      <c r="E36" s="51">
        <f>E30/$D$30</f>
        <v>0</v>
      </c>
      <c r="F36" s="51">
        <f>F30/$D$30</f>
        <v>0.29249122150445284</v>
      </c>
      <c r="G36" s="51">
        <f>G30/$D$30</f>
        <v>0.70750877849554705</v>
      </c>
      <c r="H36" s="51">
        <f>H30/$D$30</f>
        <v>0</v>
      </c>
      <c r="I36" s="51">
        <f>I30/$D$30</f>
        <v>0</v>
      </c>
    </row>
    <row r="37" spans="1:9">
      <c r="A37" s="155" t="s">
        <v>231</v>
      </c>
      <c r="B37" s="155"/>
      <c r="C37" s="155"/>
      <c r="D37" s="50">
        <f>SUM(E37:I37)</f>
        <v>0.99999999999999989</v>
      </c>
      <c r="E37" s="51">
        <f>E31/$D$31</f>
        <v>0.45551317560409815</v>
      </c>
      <c r="F37" s="51">
        <f>F31/$D$31</f>
        <v>0.26776508037053176</v>
      </c>
      <c r="G37" s="51">
        <f>G31/$D$31</f>
        <v>0.27672174402536998</v>
      </c>
      <c r="H37" s="51">
        <f>H31/$D$31</f>
        <v>0</v>
      </c>
      <c r="I37" s="51">
        <f>I31/$D$31</f>
        <v>0</v>
      </c>
    </row>
    <row r="38" spans="1:9">
      <c r="A38" s="155" t="s">
        <v>232</v>
      </c>
      <c r="B38" s="155"/>
      <c r="C38" s="155"/>
      <c r="D38" s="50">
        <f>SUM(E38:I38)</f>
        <v>1</v>
      </c>
      <c r="E38" s="170">
        <f>E32/$D$32</f>
        <v>0.20014057788057571</v>
      </c>
      <c r="F38" s="170">
        <f>F32/$D$32</f>
        <v>0.35198617626679318</v>
      </c>
      <c r="G38" s="170">
        <f>G32/$D$32</f>
        <v>0.43574982278046454</v>
      </c>
      <c r="H38" s="170">
        <f>H32/$D$32</f>
        <v>1.2123423072166489E-2</v>
      </c>
      <c r="I38" s="170">
        <f>I32/$D$32</f>
        <v>0</v>
      </c>
    </row>
    <row r="39" spans="1:9">
      <c r="A39" s="124" t="s">
        <v>233</v>
      </c>
      <c r="D39" s="52">
        <f>D32</f>
        <v>1367481.6515046144</v>
      </c>
    </row>
    <row r="40" spans="1:9">
      <c r="A40" s="124" t="s">
        <v>141</v>
      </c>
      <c r="C40" s="124" t="s">
        <v>234</v>
      </c>
      <c r="D40" s="52">
        <f>'GROSS PLANT'!D12</f>
        <v>63539.232569327156</v>
      </c>
      <c r="E40" s="161">
        <f>D29</f>
        <v>5146.076019230768</v>
      </c>
      <c r="F40" s="161">
        <f>SUM(D40+E40)</f>
        <v>68685.30858855792</v>
      </c>
    </row>
    <row r="41" spans="1:9">
      <c r="A41" s="124" t="s">
        <v>235</v>
      </c>
      <c r="C41" s="124" t="s">
        <v>72</v>
      </c>
      <c r="D41" s="53">
        <f>SUM(D39:D40)</f>
        <v>1431020.8840739415</v>
      </c>
      <c r="F41" s="161"/>
    </row>
    <row r="42" spans="1:9">
      <c r="D42" s="161"/>
    </row>
    <row r="43" spans="1:9">
      <c r="D43" s="161"/>
    </row>
    <row r="44" spans="1:9">
      <c r="B44" s="124" t="s">
        <v>180</v>
      </c>
      <c r="D44" s="171" t="s">
        <v>181</v>
      </c>
      <c r="E44" s="171" t="s">
        <v>182</v>
      </c>
      <c r="F44" s="171" t="s">
        <v>7</v>
      </c>
      <c r="G44" s="171" t="s">
        <v>8</v>
      </c>
      <c r="H44" s="171" t="s">
        <v>162</v>
      </c>
    </row>
    <row r="45" spans="1:9">
      <c r="B45" s="124" t="s">
        <v>72</v>
      </c>
      <c r="C45" s="54">
        <f t="shared" ref="C45:C50" si="16">SUM(D45:H45)</f>
        <v>1</v>
      </c>
      <c r="D45" s="54">
        <f>'FORM 1'!$C$13</f>
        <v>1</v>
      </c>
      <c r="E45" s="54">
        <f>'FORM 1'!$D$13</f>
        <v>0</v>
      </c>
      <c r="F45" s="54">
        <f>'FORM 1'!$E$13</f>
        <v>0</v>
      </c>
      <c r="G45" s="54">
        <f>'FORM 1'!$F$13</f>
        <v>0</v>
      </c>
      <c r="H45" s="54">
        <f>'FORM 1'!$G$13</f>
        <v>0</v>
      </c>
    </row>
    <row r="46" spans="1:9">
      <c r="B46" s="124" t="s">
        <v>113</v>
      </c>
      <c r="C46" s="54">
        <f t="shared" si="16"/>
        <v>1</v>
      </c>
      <c r="D46" s="54">
        <f>'FORM 1'!$C$14</f>
        <v>0</v>
      </c>
      <c r="E46" s="54">
        <f>'FORM 1'!$D$14</f>
        <v>1</v>
      </c>
      <c r="F46" s="54">
        <f>'FORM 1'!$E$14</f>
        <v>0</v>
      </c>
      <c r="G46" s="54">
        <f>'FORM 1'!$F$14</f>
        <v>0</v>
      </c>
      <c r="H46" s="54">
        <f>'FORM 1'!$G$14</f>
        <v>0</v>
      </c>
    </row>
    <row r="47" spans="1:9">
      <c r="B47" s="124" t="s">
        <v>116</v>
      </c>
      <c r="C47" s="54">
        <f t="shared" si="16"/>
        <v>1</v>
      </c>
      <c r="D47" s="54">
        <f>'FORM 1'!$C$18</f>
        <v>0</v>
      </c>
      <c r="E47" s="54">
        <f>'FORM 1'!$D$18</f>
        <v>0.49177513279152762</v>
      </c>
      <c r="F47" s="54">
        <f>'FORM 1'!$E$18</f>
        <v>0.50822486720847238</v>
      </c>
      <c r="G47" s="54">
        <f>'FORM 1'!$F$18</f>
        <v>0</v>
      </c>
      <c r="H47" s="54">
        <f>'FORM 1'!$G$18</f>
        <v>0</v>
      </c>
    </row>
    <row r="48" spans="1:9">
      <c r="B48" s="124" t="s">
        <v>8</v>
      </c>
      <c r="C48" s="54">
        <f t="shared" si="16"/>
        <v>1</v>
      </c>
      <c r="D48" s="54">
        <v>0</v>
      </c>
      <c r="E48" s="54">
        <v>0</v>
      </c>
      <c r="F48" s="54">
        <v>0</v>
      </c>
      <c r="G48" s="54">
        <v>1</v>
      </c>
      <c r="H48" s="54">
        <v>0</v>
      </c>
    </row>
    <row r="49" spans="2:9">
      <c r="B49" s="124" t="s">
        <v>7</v>
      </c>
      <c r="C49" s="54">
        <f t="shared" si="16"/>
        <v>1</v>
      </c>
      <c r="D49" s="54">
        <v>0</v>
      </c>
      <c r="E49" s="54">
        <v>0</v>
      </c>
      <c r="F49" s="54">
        <v>1</v>
      </c>
      <c r="G49" s="54">
        <v>0</v>
      </c>
      <c r="H49" s="54">
        <v>0</v>
      </c>
    </row>
    <row r="50" spans="2:9">
      <c r="B50" s="160" t="s">
        <v>120</v>
      </c>
      <c r="C50" s="54">
        <f t="shared" si="16"/>
        <v>1</v>
      </c>
      <c r="D50" s="54">
        <f>'FORM 1'!$C$16</f>
        <v>0.45551317560409821</v>
      </c>
      <c r="E50" s="54">
        <f>'FORM 1'!$D$16</f>
        <v>0.26776508037053176</v>
      </c>
      <c r="F50" s="54">
        <f>'FORM 1'!$E$16</f>
        <v>0.27672174402536998</v>
      </c>
      <c r="G50" s="54">
        <f>'FORM 1'!$F$16</f>
        <v>0</v>
      </c>
      <c r="H50" s="54">
        <f>'FORM 1'!$G$16</f>
        <v>0</v>
      </c>
    </row>
    <row r="51" spans="2:9">
      <c r="B51" s="160" t="s">
        <v>38</v>
      </c>
      <c r="C51" s="54">
        <f>SUM(D51:H51)</f>
        <v>1</v>
      </c>
      <c r="D51" s="54">
        <f>+'GROSS PLANT'!E42</f>
        <v>0.44726448202864683</v>
      </c>
      <c r="E51" s="54">
        <f>+'GROSS PLANT'!F42</f>
        <v>0.26769933588391837</v>
      </c>
      <c r="F51" s="54">
        <f>+'GROSS PLANT'!G42</f>
        <v>0.27741768892117574</v>
      </c>
      <c r="G51" s="54">
        <f>+'GROSS PLANT'!H42</f>
        <v>7.6184931662590443E-3</v>
      </c>
      <c r="H51" s="54">
        <f>+'GROSS PLANT'!I42</f>
        <v>0</v>
      </c>
    </row>
    <row r="52" spans="2:9">
      <c r="D52" s="161"/>
      <c r="E52" s="161"/>
      <c r="F52" s="161"/>
      <c r="G52" s="161"/>
      <c r="H52" s="161"/>
      <c r="I52" s="161"/>
    </row>
    <row r="53" spans="2:9">
      <c r="D53" s="161"/>
      <c r="E53" s="161"/>
      <c r="F53" s="161"/>
      <c r="G53" s="161"/>
    </row>
    <row r="54" spans="2:9">
      <c r="D54" s="161"/>
      <c r="E54" s="161"/>
      <c r="F54" s="161"/>
      <c r="G54" s="161"/>
    </row>
    <row r="55" spans="2:9">
      <c r="D55" s="161"/>
      <c r="E55" s="161"/>
      <c r="F55" s="161"/>
      <c r="G55" s="161"/>
      <c r="H55" s="161"/>
      <c r="I55" s="161"/>
    </row>
    <row r="56" spans="2:9">
      <c r="D56" s="161"/>
      <c r="E56" s="161"/>
      <c r="F56" s="161"/>
      <c r="G56" s="161"/>
      <c r="H56" s="161"/>
      <c r="I56" s="161"/>
    </row>
    <row r="57" spans="2:9">
      <c r="D57" s="161"/>
      <c r="E57" s="161"/>
      <c r="F57" s="161"/>
      <c r="G57" s="161"/>
    </row>
    <row r="58" spans="2:9">
      <c r="E58" s="161"/>
      <c r="F58" s="161"/>
      <c r="G58" s="161"/>
    </row>
    <row r="59" spans="2:9">
      <c r="E59" s="161"/>
      <c r="F59" s="161"/>
      <c r="G59" s="161"/>
    </row>
    <row r="60" spans="2:9">
      <c r="D60" s="161"/>
      <c r="E60" s="161"/>
      <c r="F60" s="161"/>
      <c r="G60" s="161"/>
    </row>
    <row r="61" spans="2:9">
      <c r="D61" s="161"/>
      <c r="E61" s="161"/>
      <c r="F61" s="161"/>
      <c r="G61" s="161"/>
      <c r="H61" s="161"/>
      <c r="I61" s="161"/>
    </row>
    <row r="62" spans="2:9">
      <c r="D62" s="161"/>
      <c r="E62" s="161"/>
      <c r="F62" s="161"/>
      <c r="G62" s="161"/>
      <c r="H62" s="161"/>
      <c r="I62" s="161"/>
    </row>
    <row r="63" spans="2:9">
      <c r="D63" s="161"/>
      <c r="E63" s="161"/>
      <c r="F63" s="161"/>
      <c r="G63" s="161"/>
    </row>
    <row r="64" spans="2:9">
      <c r="D64" s="22"/>
      <c r="E64" s="22"/>
      <c r="F64" s="22"/>
      <c r="G64" s="22"/>
      <c r="H64" s="22"/>
      <c r="I64" s="22"/>
    </row>
    <row r="65" spans="4:9">
      <c r="D65" s="161"/>
      <c r="E65" s="161"/>
      <c r="F65" s="161"/>
      <c r="G65" s="161"/>
      <c r="H65" s="161"/>
      <c r="I65" s="161"/>
    </row>
    <row r="66" spans="4:9">
      <c r="D66" s="161"/>
      <c r="E66" s="161"/>
      <c r="F66" s="161"/>
      <c r="G66" s="161"/>
    </row>
    <row r="67" spans="4:9">
      <c r="D67" s="41"/>
    </row>
  </sheetData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7EDB-D643-4F81-9C64-37AD65073923}">
  <sheetPr transitionEvaluation="1"/>
  <dimension ref="A1:H47"/>
  <sheetViews>
    <sheetView defaultGridColor="0" view="pageBreakPreview" colorId="22" zoomScale="70" zoomScaleNormal="90" zoomScaleSheetLayoutView="70" workbookViewId="0"/>
  </sheetViews>
  <sheetFormatPr defaultColWidth="12.5703125" defaultRowHeight="12.75"/>
  <cols>
    <col min="1" max="1" width="10" style="57" customWidth="1"/>
    <col min="2" max="2" width="21" style="46" bestFit="1" customWidth="1"/>
    <col min="3" max="8" width="16.7109375" style="46" customWidth="1"/>
    <col min="9" max="16384" width="12.5703125" style="46"/>
  </cols>
  <sheetData>
    <row r="1" spans="1:8">
      <c r="A1" s="55" t="str">
        <f>+'TOTAL FUNCFAC'!A1</f>
        <v>PacifiCorp</v>
      </c>
      <c r="B1" s="56"/>
      <c r="C1" s="56"/>
      <c r="D1" s="56"/>
      <c r="E1" s="56"/>
      <c r="F1" s="56"/>
      <c r="G1" s="56"/>
      <c r="H1" s="56"/>
    </row>
    <row r="2" spans="1:8">
      <c r="A2" s="55" t="str">
        <f>+'TOTAL FUNCFAC'!A2</f>
        <v>12 Months Ended December 2022</v>
      </c>
      <c r="B2" s="56"/>
      <c r="C2" s="56"/>
      <c r="D2" s="56"/>
      <c r="E2" s="56"/>
      <c r="F2" s="56"/>
      <c r="G2" s="56"/>
      <c r="H2" s="56"/>
    </row>
    <row r="3" spans="1:8">
      <c r="A3" s="55" t="s">
        <v>45</v>
      </c>
      <c r="B3" s="56"/>
      <c r="C3" s="56"/>
      <c r="D3" s="56"/>
      <c r="E3" s="56"/>
      <c r="F3" s="56"/>
      <c r="G3" s="56"/>
      <c r="H3" s="56"/>
    </row>
    <row r="4" spans="1:8">
      <c r="A4" s="26" t="s">
        <v>155</v>
      </c>
      <c r="B4" s="56"/>
      <c r="C4" s="56"/>
      <c r="D4" s="56"/>
      <c r="E4" s="56"/>
      <c r="F4" s="56"/>
      <c r="G4" s="56"/>
      <c r="H4" s="56"/>
    </row>
    <row r="5" spans="1:8">
      <c r="A5" s="57" t="s">
        <v>156</v>
      </c>
    </row>
    <row r="6" spans="1:8">
      <c r="A6" s="58" t="s">
        <v>157</v>
      </c>
      <c r="B6" s="58" t="s">
        <v>158</v>
      </c>
      <c r="C6" s="58" t="s">
        <v>159</v>
      </c>
      <c r="D6" s="58" t="s">
        <v>5</v>
      </c>
      <c r="E6" s="58" t="s">
        <v>160</v>
      </c>
      <c r="F6" s="58" t="s">
        <v>7</v>
      </c>
      <c r="G6" s="58" t="s">
        <v>199</v>
      </c>
      <c r="H6" s="58" t="s">
        <v>9</v>
      </c>
    </row>
    <row r="7" spans="1:8">
      <c r="A7" s="59" t="s">
        <v>214</v>
      </c>
      <c r="B7" s="59" t="s">
        <v>8</v>
      </c>
      <c r="C7" s="60">
        <v>225883.54660230727</v>
      </c>
      <c r="D7" s="49">
        <f t="shared" ref="D7:D25" si="0">$C7*VLOOKUP(+$B7,$B$39:$H$46,3)</f>
        <v>0</v>
      </c>
      <c r="E7" s="49">
        <f t="shared" ref="E7:E25" si="1">$C7*VLOOKUP(+$B7,$B$39:$H$46,4)</f>
        <v>0</v>
      </c>
      <c r="F7" s="49">
        <f t="shared" ref="F7:F25" si="2">$C7*VLOOKUP(+$B7,$B$39:$H$46,5)</f>
        <v>0</v>
      </c>
      <c r="G7" s="49">
        <f t="shared" ref="G7:G25" si="3">$C7*VLOOKUP(+$B7,$B$39:$H$46,6)</f>
        <v>225883.54660230727</v>
      </c>
      <c r="H7" s="49">
        <f t="shared" ref="H7:H25" si="4">$C7*VLOOKUP(+$B7,$B$39:$H$46,7)</f>
        <v>0</v>
      </c>
    </row>
    <row r="8" spans="1:8">
      <c r="A8" s="59" t="s">
        <v>166</v>
      </c>
      <c r="B8" s="59" t="s">
        <v>72</v>
      </c>
      <c r="C8" s="60">
        <v>9.1057799999999993</v>
      </c>
      <c r="D8" s="49">
        <f t="shared" si="0"/>
        <v>9.1057799999999993</v>
      </c>
      <c r="E8" s="49">
        <f t="shared" si="1"/>
        <v>0</v>
      </c>
      <c r="F8" s="49">
        <f t="shared" si="2"/>
        <v>0</v>
      </c>
      <c r="G8" s="49">
        <f t="shared" si="3"/>
        <v>0</v>
      </c>
      <c r="H8" s="49">
        <f t="shared" si="4"/>
        <v>0</v>
      </c>
    </row>
    <row r="9" spans="1:8">
      <c r="A9" s="59" t="s">
        <v>202</v>
      </c>
      <c r="B9" s="59" t="s">
        <v>72</v>
      </c>
      <c r="C9" s="60">
        <v>137948.67124076921</v>
      </c>
      <c r="D9" s="49">
        <f t="shared" si="0"/>
        <v>137948.67124076921</v>
      </c>
      <c r="E9" s="49">
        <f t="shared" si="1"/>
        <v>0</v>
      </c>
      <c r="F9" s="49">
        <f t="shared" si="2"/>
        <v>0</v>
      </c>
      <c r="G9" s="49">
        <f t="shared" si="3"/>
        <v>0</v>
      </c>
      <c r="H9" s="49">
        <f t="shared" si="4"/>
        <v>0</v>
      </c>
    </row>
    <row r="10" spans="1:8">
      <c r="A10" s="59" t="s">
        <v>202</v>
      </c>
      <c r="B10" s="59" t="s">
        <v>113</v>
      </c>
      <c r="C10" s="60">
        <v>71734.151370769294</v>
      </c>
      <c r="D10" s="49">
        <f t="shared" si="0"/>
        <v>0</v>
      </c>
      <c r="E10" s="49">
        <f t="shared" si="1"/>
        <v>71734.151370769294</v>
      </c>
      <c r="F10" s="49">
        <f t="shared" si="2"/>
        <v>0</v>
      </c>
      <c r="G10" s="49">
        <f t="shared" si="3"/>
        <v>0</v>
      </c>
      <c r="H10" s="49">
        <f t="shared" si="4"/>
        <v>0</v>
      </c>
    </row>
    <row r="11" spans="1:8">
      <c r="A11" s="59" t="s">
        <v>236</v>
      </c>
      <c r="B11" s="59" t="s">
        <v>72</v>
      </c>
      <c r="C11" s="60">
        <v>171865.92080846199</v>
      </c>
      <c r="D11" s="49">
        <f t="shared" si="0"/>
        <v>171865.92080846199</v>
      </c>
      <c r="E11" s="49">
        <f t="shared" si="1"/>
        <v>0</v>
      </c>
      <c r="F11" s="49">
        <f t="shared" si="2"/>
        <v>0</v>
      </c>
      <c r="G11" s="49">
        <f t="shared" si="3"/>
        <v>0</v>
      </c>
      <c r="H11" s="49">
        <f t="shared" si="4"/>
        <v>0</v>
      </c>
    </row>
    <row r="12" spans="1:8">
      <c r="A12" s="59" t="s">
        <v>237</v>
      </c>
      <c r="B12" s="59" t="s">
        <v>72</v>
      </c>
      <c r="C12" s="60">
        <v>10500.066017692299</v>
      </c>
      <c r="D12" s="49">
        <f t="shared" si="0"/>
        <v>10500.066017692299</v>
      </c>
      <c r="E12" s="49">
        <f t="shared" si="1"/>
        <v>0</v>
      </c>
      <c r="F12" s="49">
        <f t="shared" si="2"/>
        <v>0</v>
      </c>
      <c r="G12" s="49">
        <f t="shared" si="3"/>
        <v>0</v>
      </c>
      <c r="H12" s="49">
        <f t="shared" si="4"/>
        <v>0</v>
      </c>
    </row>
    <row r="13" spans="1:8">
      <c r="A13" s="59" t="s">
        <v>203</v>
      </c>
      <c r="B13" s="59" t="s">
        <v>8</v>
      </c>
      <c r="C13" s="60">
        <v>32929.317136923062</v>
      </c>
      <c r="D13" s="49">
        <f t="shared" si="0"/>
        <v>0</v>
      </c>
      <c r="E13" s="49">
        <f t="shared" si="1"/>
        <v>0</v>
      </c>
      <c r="F13" s="49">
        <f t="shared" si="2"/>
        <v>0</v>
      </c>
      <c r="G13" s="49">
        <f t="shared" si="3"/>
        <v>32929.317136923062</v>
      </c>
      <c r="H13" s="49">
        <f t="shared" si="4"/>
        <v>0</v>
      </c>
    </row>
    <row r="14" spans="1:8">
      <c r="A14" s="59" t="s">
        <v>203</v>
      </c>
      <c r="B14" s="59" t="s">
        <v>7</v>
      </c>
      <c r="C14" s="60">
        <v>19379.543709999998</v>
      </c>
      <c r="D14" s="49">
        <f t="shared" si="0"/>
        <v>0</v>
      </c>
      <c r="E14" s="49">
        <f t="shared" si="1"/>
        <v>0</v>
      </c>
      <c r="F14" s="49">
        <f t="shared" si="2"/>
        <v>19379.543709999998</v>
      </c>
      <c r="G14" s="49">
        <f t="shared" si="3"/>
        <v>0</v>
      </c>
      <c r="H14" s="49">
        <f t="shared" si="4"/>
        <v>0</v>
      </c>
    </row>
    <row r="15" spans="1:8">
      <c r="A15" s="59" t="s">
        <v>203</v>
      </c>
      <c r="B15" s="59" t="s">
        <v>72</v>
      </c>
      <c r="C15" s="60">
        <v>50558.713933846113</v>
      </c>
      <c r="D15" s="49">
        <f t="shared" si="0"/>
        <v>50558.713933846113</v>
      </c>
      <c r="E15" s="49">
        <f t="shared" si="1"/>
        <v>0</v>
      </c>
      <c r="F15" s="49">
        <f t="shared" si="2"/>
        <v>0</v>
      </c>
      <c r="G15" s="49">
        <f t="shared" si="3"/>
        <v>0</v>
      </c>
      <c r="H15" s="49">
        <f t="shared" si="4"/>
        <v>0</v>
      </c>
    </row>
    <row r="16" spans="1:8">
      <c r="A16" s="59" t="s">
        <v>203</v>
      </c>
      <c r="B16" s="59" t="s">
        <v>120</v>
      </c>
      <c r="C16" s="60">
        <v>308593.75547692343</v>
      </c>
      <c r="D16" s="49">
        <f t="shared" si="0"/>
        <v>140568.52152888797</v>
      </c>
      <c r="E16" s="49">
        <f t="shared" si="1"/>
        <v>82630.631737122632</v>
      </c>
      <c r="F16" s="49">
        <f t="shared" si="2"/>
        <v>85394.602210912824</v>
      </c>
      <c r="G16" s="49">
        <f t="shared" si="3"/>
        <v>0</v>
      </c>
      <c r="H16" s="49">
        <f t="shared" si="4"/>
        <v>0</v>
      </c>
    </row>
    <row r="17" spans="1:8">
      <c r="A17" s="59" t="s">
        <v>203</v>
      </c>
      <c r="B17" s="59" t="s">
        <v>113</v>
      </c>
      <c r="C17" s="60">
        <v>1446.82672</v>
      </c>
      <c r="D17" s="49">
        <f t="shared" si="0"/>
        <v>0</v>
      </c>
      <c r="E17" s="49">
        <f t="shared" si="1"/>
        <v>1446.82672</v>
      </c>
      <c r="F17" s="49">
        <f t="shared" si="2"/>
        <v>0</v>
      </c>
      <c r="G17" s="49">
        <f t="shared" si="3"/>
        <v>0</v>
      </c>
      <c r="H17" s="49">
        <f t="shared" si="4"/>
        <v>0</v>
      </c>
    </row>
    <row r="18" spans="1:8">
      <c r="A18" s="59" t="s">
        <v>203</v>
      </c>
      <c r="B18" s="59" t="s">
        <v>116</v>
      </c>
      <c r="C18" s="60">
        <v>44346.571733076897</v>
      </c>
      <c r="D18" s="49">
        <f t="shared" si="0"/>
        <v>0</v>
      </c>
      <c r="E18" s="49">
        <f t="shared" si="1"/>
        <v>21808.541202882898</v>
      </c>
      <c r="F18" s="49">
        <f t="shared" si="2"/>
        <v>22538.030530193999</v>
      </c>
      <c r="G18" s="49">
        <f t="shared" si="3"/>
        <v>0</v>
      </c>
      <c r="H18" s="49">
        <f t="shared" si="4"/>
        <v>0</v>
      </c>
    </row>
    <row r="19" spans="1:8">
      <c r="A19" s="59" t="s">
        <v>203</v>
      </c>
      <c r="B19" s="59" t="s">
        <v>54</v>
      </c>
      <c r="C19" s="61">
        <v>0</v>
      </c>
      <c r="D19" s="49">
        <f t="shared" si="0"/>
        <v>0</v>
      </c>
      <c r="E19" s="49">
        <f t="shared" si="1"/>
        <v>0</v>
      </c>
      <c r="F19" s="49">
        <f t="shared" si="2"/>
        <v>0</v>
      </c>
      <c r="G19" s="49">
        <f t="shared" si="3"/>
        <v>0</v>
      </c>
      <c r="H19" s="49">
        <f t="shared" si="4"/>
        <v>0</v>
      </c>
    </row>
    <row r="20" spans="1:8">
      <c r="A20" s="59" t="s">
        <v>203</v>
      </c>
      <c r="B20" s="59" t="s">
        <v>9</v>
      </c>
      <c r="C20" s="61">
        <v>0</v>
      </c>
      <c r="D20" s="49">
        <f t="shared" si="0"/>
        <v>0</v>
      </c>
      <c r="E20" s="49">
        <f t="shared" si="1"/>
        <v>0</v>
      </c>
      <c r="F20" s="49">
        <f t="shared" si="2"/>
        <v>0</v>
      </c>
      <c r="G20" s="49">
        <f t="shared" si="3"/>
        <v>0</v>
      </c>
      <c r="H20" s="49">
        <f t="shared" si="4"/>
        <v>0</v>
      </c>
    </row>
    <row r="21" spans="1:8">
      <c r="A21" s="59" t="s">
        <v>204</v>
      </c>
      <c r="B21" s="59" t="s">
        <v>7</v>
      </c>
      <c r="C21" s="60">
        <v>145.533784615385</v>
      </c>
      <c r="D21" s="49">
        <f t="shared" si="0"/>
        <v>0</v>
      </c>
      <c r="E21" s="49">
        <f t="shared" si="1"/>
        <v>0</v>
      </c>
      <c r="F21" s="49">
        <f t="shared" si="2"/>
        <v>145.533784615385</v>
      </c>
      <c r="G21" s="49">
        <f t="shared" si="3"/>
        <v>0</v>
      </c>
      <c r="H21" s="49">
        <f t="shared" si="4"/>
        <v>0</v>
      </c>
    </row>
    <row r="22" spans="1:8">
      <c r="A22" s="59" t="s">
        <v>204</v>
      </c>
      <c r="B22" s="59" t="s">
        <v>72</v>
      </c>
      <c r="C22" s="60">
        <v>0</v>
      </c>
      <c r="D22" s="49">
        <f t="shared" si="0"/>
        <v>0</v>
      </c>
      <c r="E22" s="49">
        <f t="shared" si="1"/>
        <v>0</v>
      </c>
      <c r="F22" s="49">
        <f t="shared" si="2"/>
        <v>0</v>
      </c>
      <c r="G22" s="49">
        <f t="shared" si="3"/>
        <v>0</v>
      </c>
      <c r="H22" s="49">
        <f t="shared" si="4"/>
        <v>0</v>
      </c>
    </row>
    <row r="23" spans="1:8">
      <c r="A23" s="59" t="s">
        <v>204</v>
      </c>
      <c r="B23" s="59" t="s">
        <v>120</v>
      </c>
      <c r="C23" s="60">
        <v>0</v>
      </c>
      <c r="D23" s="49">
        <f t="shared" si="0"/>
        <v>0</v>
      </c>
      <c r="E23" s="49">
        <f t="shared" si="1"/>
        <v>0</v>
      </c>
      <c r="F23" s="49">
        <f t="shared" si="2"/>
        <v>0</v>
      </c>
      <c r="G23" s="49">
        <f t="shared" si="3"/>
        <v>0</v>
      </c>
      <c r="H23" s="49">
        <f t="shared" si="4"/>
        <v>0</v>
      </c>
    </row>
    <row r="24" spans="1:8">
      <c r="A24" s="59" t="s">
        <v>204</v>
      </c>
      <c r="B24" s="59" t="s">
        <v>113</v>
      </c>
      <c r="C24" s="60">
        <v>6751.2331676923095</v>
      </c>
      <c r="D24" s="49">
        <f t="shared" si="0"/>
        <v>0</v>
      </c>
      <c r="E24" s="49">
        <f t="shared" si="1"/>
        <v>6751.2331676923095</v>
      </c>
      <c r="F24" s="49">
        <f t="shared" si="2"/>
        <v>0</v>
      </c>
      <c r="G24" s="49">
        <f t="shared" si="3"/>
        <v>0</v>
      </c>
      <c r="H24" s="49">
        <f t="shared" si="4"/>
        <v>0</v>
      </c>
    </row>
    <row r="25" spans="1:8">
      <c r="A25" s="59" t="s">
        <v>204</v>
      </c>
      <c r="B25" s="59" t="s">
        <v>116</v>
      </c>
      <c r="C25" s="60">
        <v>-13020.802017692316</v>
      </c>
      <c r="D25" s="49">
        <f t="shared" si="0"/>
        <v>0</v>
      </c>
      <c r="E25" s="49">
        <f t="shared" si="1"/>
        <v>-6403.30664130283</v>
      </c>
      <c r="F25" s="49">
        <f t="shared" si="2"/>
        <v>-6617.4953763894864</v>
      </c>
      <c r="G25" s="49">
        <f t="shared" si="3"/>
        <v>0</v>
      </c>
      <c r="H25" s="49">
        <f t="shared" si="4"/>
        <v>0</v>
      </c>
    </row>
    <row r="26" spans="1:8">
      <c r="A26" s="62" t="s">
        <v>238</v>
      </c>
      <c r="B26" s="8"/>
      <c r="C26" s="22"/>
      <c r="D26" s="22"/>
      <c r="E26" s="22"/>
      <c r="F26" s="22"/>
      <c r="G26" s="22"/>
      <c r="H26" s="22"/>
    </row>
    <row r="27" spans="1:8">
      <c r="A27" s="24" t="s">
        <v>239</v>
      </c>
      <c r="B27" s="8"/>
      <c r="C27" s="22"/>
      <c r="D27" s="22"/>
      <c r="E27" s="22"/>
      <c r="F27" s="22"/>
      <c r="G27" s="22"/>
      <c r="H27" s="22"/>
    </row>
    <row r="28" spans="1:8">
      <c r="A28" s="24" t="s">
        <v>240</v>
      </c>
      <c r="B28" s="59"/>
      <c r="C28" s="22">
        <f t="shared" ref="C28:H28" si="5">SUMIF($A:$A,"SG",C:C)+SUMIF($A:$A,"SG-P",C:C)+SUMIF($A:$A,"SG-U",C:C)</f>
        <v>392048.80943769286</v>
      </c>
      <c r="D28" s="22">
        <f t="shared" si="5"/>
        <v>320314.6580669235</v>
      </c>
      <c r="E28" s="22">
        <f t="shared" si="5"/>
        <v>71734.151370769294</v>
      </c>
      <c r="F28" s="22">
        <f t="shared" si="5"/>
        <v>0</v>
      </c>
      <c r="G28" s="22">
        <f t="shared" si="5"/>
        <v>0</v>
      </c>
      <c r="H28" s="22">
        <f t="shared" si="5"/>
        <v>0</v>
      </c>
    </row>
    <row r="29" spans="1:8">
      <c r="A29" s="24" t="s">
        <v>241</v>
      </c>
      <c r="B29" s="59"/>
      <c r="C29" s="22">
        <f t="shared" ref="C29:H29" si="6">SUMIF($A:$A,"SITUS",C:C)</f>
        <v>-6124.0350653846217</v>
      </c>
      <c r="D29" s="22">
        <f t="shared" si="6"/>
        <v>0</v>
      </c>
      <c r="E29" s="22">
        <f t="shared" si="6"/>
        <v>347.92652638947948</v>
      </c>
      <c r="F29" s="22">
        <f t="shared" si="6"/>
        <v>-6471.9615917741012</v>
      </c>
      <c r="G29" s="22">
        <f t="shared" si="6"/>
        <v>0</v>
      </c>
      <c r="H29" s="22">
        <f t="shared" si="6"/>
        <v>0</v>
      </c>
    </row>
    <row r="30" spans="1:8">
      <c r="A30" s="24" t="s">
        <v>242</v>
      </c>
      <c r="B30" s="59"/>
      <c r="C30" s="22">
        <f t="shared" ref="C30:H30" si="7">SUM(C7:C25)</f>
        <v>1069072.1554653849</v>
      </c>
      <c r="D30" s="22">
        <f>SUM(D7:D25)</f>
        <v>511450.99930965761</v>
      </c>
      <c r="E30" s="22">
        <f t="shared" si="7"/>
        <v>177968.0775571643</v>
      </c>
      <c r="F30" s="22">
        <f t="shared" si="7"/>
        <v>120840.21485933271</v>
      </c>
      <c r="G30" s="22">
        <f t="shared" si="7"/>
        <v>258812.86373923032</v>
      </c>
      <c r="H30" s="22">
        <f t="shared" si="7"/>
        <v>0</v>
      </c>
    </row>
    <row r="31" spans="1:8" hidden="1">
      <c r="A31" s="63" t="s">
        <v>243</v>
      </c>
      <c r="B31" s="63"/>
      <c r="C31" s="50" t="e">
        <f>SUM(D31:H31)</f>
        <v>#DIV/0!</v>
      </c>
      <c r="D31" s="51" t="e">
        <f>D26/$C$26</f>
        <v>#DIV/0!</v>
      </c>
      <c r="E31" s="51" t="e">
        <f>E26/$C$26</f>
        <v>#DIV/0!</v>
      </c>
      <c r="F31" s="51" t="e">
        <f>F26/$C$26</f>
        <v>#DIV/0!</v>
      </c>
      <c r="G31" s="51" t="e">
        <f>G26/$C$26</f>
        <v>#DIV/0!</v>
      </c>
      <c r="H31" s="51" t="e">
        <f>H26/$C$26</f>
        <v>#DIV/0!</v>
      </c>
    </row>
    <row r="32" spans="1:8" hidden="1">
      <c r="A32" s="63" t="s">
        <v>244</v>
      </c>
      <c r="B32" s="63"/>
      <c r="C32" s="50" t="e">
        <f>SUM(D32:H32)</f>
        <v>#DIV/0!</v>
      </c>
      <c r="D32" s="51" t="e">
        <f>D27/$C$27</f>
        <v>#DIV/0!</v>
      </c>
      <c r="E32" s="51" t="e">
        <f>E27/$C$27</f>
        <v>#DIV/0!</v>
      </c>
      <c r="F32" s="51" t="e">
        <f>F27/$C$27</f>
        <v>#DIV/0!</v>
      </c>
      <c r="G32" s="51" t="e">
        <f>G27/$C$27</f>
        <v>#DIV/0!</v>
      </c>
      <c r="H32" s="51" t="e">
        <f>H27/$C$27</f>
        <v>#DIV/0!</v>
      </c>
    </row>
    <row r="33" spans="1:8">
      <c r="A33" s="63" t="s">
        <v>245</v>
      </c>
      <c r="B33" s="63"/>
      <c r="C33" s="50">
        <f>SUM(D33:H33)</f>
        <v>0.99999999999999978</v>
      </c>
      <c r="D33" s="51">
        <f>D28/$C$28</f>
        <v>0.81702749850546386</v>
      </c>
      <c r="E33" s="51">
        <f>E28/$C$28</f>
        <v>0.18297250149453595</v>
      </c>
      <c r="F33" s="51">
        <f>F28/$C$28</f>
        <v>0</v>
      </c>
      <c r="G33" s="51">
        <f>G28/$C$28</f>
        <v>0</v>
      </c>
      <c r="H33" s="51">
        <f>H28/$C$28</f>
        <v>0</v>
      </c>
    </row>
    <row r="34" spans="1:8">
      <c r="A34" s="63" t="s">
        <v>246</v>
      </c>
      <c r="B34" s="63"/>
      <c r="C34" s="50">
        <f>SUM(D34:H34)</f>
        <v>0.99999999999999989</v>
      </c>
      <c r="D34" s="51">
        <f>D29/$C$29</f>
        <v>0</v>
      </c>
      <c r="E34" s="51">
        <f>E29/$C$29</f>
        <v>-5.6813281223044049E-2</v>
      </c>
      <c r="F34" s="51">
        <f>F29/$C$29</f>
        <v>1.056813281223044</v>
      </c>
      <c r="G34" s="51">
        <f>G29/$C$29</f>
        <v>0</v>
      </c>
      <c r="H34" s="51">
        <f>H29/$C$29</f>
        <v>0</v>
      </c>
    </row>
    <row r="35" spans="1:8">
      <c r="A35" s="63" t="s">
        <v>247</v>
      </c>
      <c r="B35" s="63"/>
      <c r="C35" s="50">
        <f>SUM(D35:H35)</f>
        <v>1</v>
      </c>
      <c r="D35" s="51">
        <f>D30/$C$30</f>
        <v>0.47840643561333279</v>
      </c>
      <c r="E35" s="51">
        <f>E30/$C$30</f>
        <v>0.16646965936522015</v>
      </c>
      <c r="F35" s="51">
        <f>F30/$C$30</f>
        <v>0.11303279600124741</v>
      </c>
      <c r="G35" s="51">
        <f>G30/$C$30</f>
        <v>0.24209110902019965</v>
      </c>
      <c r="H35" s="51">
        <f>H30/$C$30</f>
        <v>0</v>
      </c>
    </row>
    <row r="36" spans="1:8">
      <c r="C36" s="49"/>
      <c r="D36" s="49"/>
      <c r="E36" s="49"/>
      <c r="F36" s="49"/>
      <c r="G36" s="49"/>
    </row>
    <row r="38" spans="1:8">
      <c r="A38" s="46"/>
      <c r="B38" s="64" t="s">
        <v>180</v>
      </c>
      <c r="D38" s="65" t="s">
        <v>181</v>
      </c>
      <c r="E38" s="65" t="s">
        <v>182</v>
      </c>
      <c r="F38" s="65" t="s">
        <v>7</v>
      </c>
      <c r="G38" s="65" t="s">
        <v>8</v>
      </c>
      <c r="H38" s="65" t="s">
        <v>9</v>
      </c>
    </row>
    <row r="39" spans="1:8">
      <c r="B39" s="25" t="s">
        <v>72</v>
      </c>
      <c r="C39" s="47">
        <f t="shared" ref="C39:C45" si="8">SUM(D39:H39)</f>
        <v>1</v>
      </c>
      <c r="D39" s="47">
        <f>'FORM 1'!$C$13</f>
        <v>1</v>
      </c>
      <c r="E39" s="47">
        <f>'FORM 1'!$D$13</f>
        <v>0</v>
      </c>
      <c r="F39" s="47">
        <f>'FORM 1'!$E$13</f>
        <v>0</v>
      </c>
      <c r="G39" s="47">
        <f>'FORM 1'!$F$13</f>
        <v>0</v>
      </c>
      <c r="H39" s="47">
        <f>'FORM 1'!$G$13</f>
        <v>0</v>
      </c>
    </row>
    <row r="40" spans="1:8">
      <c r="B40" s="25" t="s">
        <v>113</v>
      </c>
      <c r="C40" s="47">
        <f t="shared" si="8"/>
        <v>1</v>
      </c>
      <c r="D40" s="47">
        <f>'FORM 1'!$C$14</f>
        <v>0</v>
      </c>
      <c r="E40" s="47">
        <f>'FORM 1'!$D$14</f>
        <v>1</v>
      </c>
      <c r="F40" s="47">
        <f>'FORM 1'!$E$14</f>
        <v>0</v>
      </c>
      <c r="G40" s="47">
        <f>'FORM 1'!$F$14</f>
        <v>0</v>
      </c>
      <c r="H40" s="47">
        <f>'FORM 1'!$G$14</f>
        <v>0</v>
      </c>
    </row>
    <row r="41" spans="1:8">
      <c r="B41" s="25" t="s">
        <v>116</v>
      </c>
      <c r="C41" s="47">
        <f t="shared" si="8"/>
        <v>1</v>
      </c>
      <c r="D41" s="47">
        <f>'FORM 1'!$C$18</f>
        <v>0</v>
      </c>
      <c r="E41" s="47">
        <f>'FORM 1'!$D$18</f>
        <v>0.49177513279152762</v>
      </c>
      <c r="F41" s="47">
        <f>'FORM 1'!$E$18</f>
        <v>0.50822486720847238</v>
      </c>
      <c r="G41" s="47">
        <f>'FORM 1'!$F$18</f>
        <v>0</v>
      </c>
      <c r="H41" s="47">
        <f>'FORM 1'!$G$18</f>
        <v>0</v>
      </c>
    </row>
    <row r="42" spans="1:8">
      <c r="B42" s="25" t="s">
        <v>8</v>
      </c>
      <c r="C42" s="47">
        <f t="shared" si="8"/>
        <v>1</v>
      </c>
      <c r="D42" s="47">
        <v>0</v>
      </c>
      <c r="E42" s="47">
        <v>0</v>
      </c>
      <c r="F42" s="47">
        <v>0</v>
      </c>
      <c r="G42" s="47">
        <v>1</v>
      </c>
      <c r="H42" s="47">
        <v>0</v>
      </c>
    </row>
    <row r="43" spans="1:8">
      <c r="B43" s="25" t="s">
        <v>7</v>
      </c>
      <c r="C43" s="47">
        <f t="shared" si="8"/>
        <v>1</v>
      </c>
      <c r="D43" s="47">
        <v>0</v>
      </c>
      <c r="E43" s="47">
        <v>0</v>
      </c>
      <c r="F43" s="47">
        <v>1</v>
      </c>
      <c r="G43" s="47">
        <v>0</v>
      </c>
      <c r="H43" s="47">
        <v>0</v>
      </c>
    </row>
    <row r="44" spans="1:8">
      <c r="B44" s="29" t="s">
        <v>120</v>
      </c>
      <c r="C44" s="47">
        <f t="shared" si="8"/>
        <v>1</v>
      </c>
      <c r="D44" s="47">
        <f>'FORM 1'!$C$16</f>
        <v>0.45551317560409821</v>
      </c>
      <c r="E44" s="47">
        <f>'FORM 1'!$D$16</f>
        <v>0.26776508037053176</v>
      </c>
      <c r="F44" s="47">
        <f>'FORM 1'!$E$16</f>
        <v>0.27672174402536998</v>
      </c>
      <c r="G44" s="47">
        <f>'FORM 1'!$F$16</f>
        <v>0</v>
      </c>
      <c r="H44" s="47">
        <f>'FORM 1'!$G$16</f>
        <v>0</v>
      </c>
    </row>
    <row r="45" spans="1:8">
      <c r="B45" s="29" t="s">
        <v>9</v>
      </c>
      <c r="C45" s="47">
        <f t="shared" si="8"/>
        <v>1</v>
      </c>
      <c r="D45" s="47">
        <f>'TOTAL FUNCFAC'!C16</f>
        <v>0</v>
      </c>
      <c r="E45" s="47">
        <f>'TOTAL FUNCFAC'!D16</f>
        <v>0</v>
      </c>
      <c r="F45" s="47">
        <f>'TOTAL FUNCFAC'!E16</f>
        <v>0</v>
      </c>
      <c r="G45" s="47">
        <f>'TOTAL FUNCFAC'!F16</f>
        <v>0</v>
      </c>
      <c r="H45" s="47">
        <f>'TOTAL FUNCFAC'!G16</f>
        <v>1</v>
      </c>
    </row>
    <row r="46" spans="1:8">
      <c r="B46" s="46" t="s">
        <v>54</v>
      </c>
      <c r="C46" s="47">
        <f>SUM(D46:H46)</f>
        <v>1</v>
      </c>
      <c r="D46" s="47">
        <f>'SCH M'!F149</f>
        <v>0.42836100153567491</v>
      </c>
      <c r="E46" s="47">
        <f>'SCH M'!G149</f>
        <v>9.5362892375417618E-2</v>
      </c>
      <c r="F46" s="47">
        <f>'SCH M'!H149</f>
        <v>0.36138829440728865</v>
      </c>
      <c r="G46" s="47">
        <f>'SCH M'!I149</f>
        <v>0.11488781168161885</v>
      </c>
      <c r="H46" s="47">
        <f>'SCH M'!J149</f>
        <v>0</v>
      </c>
    </row>
    <row r="47" spans="1:8">
      <c r="B47" s="48"/>
    </row>
  </sheetData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CB3F-5065-4949-8F95-454A5951140F}">
  <dimension ref="A1:N168"/>
  <sheetViews>
    <sheetView view="pageBreakPreview" zoomScale="70" zoomScaleNormal="80" zoomScaleSheetLayoutView="70" workbookViewId="0"/>
  </sheetViews>
  <sheetFormatPr defaultColWidth="9.140625" defaultRowHeight="12.75"/>
  <cols>
    <col min="1" max="1" width="19.7109375" style="8" customWidth="1"/>
    <col min="2" max="2" width="14.28515625" style="8" customWidth="1"/>
    <col min="3" max="3" width="12" style="8" customWidth="1"/>
    <col min="4" max="4" width="13.7109375" style="8" customWidth="1"/>
    <col min="5" max="5" width="15.7109375" style="8" customWidth="1"/>
    <col min="6" max="6" width="15" style="8" bestFit="1" customWidth="1"/>
    <col min="7" max="10" width="15.7109375" style="8" customWidth="1"/>
    <col min="11" max="11" width="10.85546875" customWidth="1"/>
    <col min="12" max="12" width="10.5703125" bestFit="1" customWidth="1"/>
    <col min="13" max="14" width="10" bestFit="1" customWidth="1"/>
  </cols>
  <sheetData>
    <row r="1" spans="1:10">
      <c r="B1" s="32" t="str">
        <f>+'TOTAL FUNCFAC'!A1</f>
        <v>PacifiCorp</v>
      </c>
      <c r="C1" s="32"/>
      <c r="D1" s="2"/>
      <c r="E1" s="2"/>
      <c r="F1" s="32"/>
      <c r="G1" s="32"/>
      <c r="H1" s="32"/>
      <c r="I1" s="32"/>
      <c r="J1" s="32"/>
    </row>
    <row r="2" spans="1:10">
      <c r="B2" s="66" t="str">
        <f>+'TOTAL FUNCFAC'!A2</f>
        <v>12 Months Ended December 2022</v>
      </c>
      <c r="C2" s="32"/>
      <c r="D2" s="2"/>
      <c r="E2" s="2"/>
      <c r="F2" s="32"/>
      <c r="G2" s="32"/>
      <c r="H2" s="32"/>
      <c r="I2" s="32"/>
      <c r="J2" s="32"/>
    </row>
    <row r="3" spans="1:10">
      <c r="B3" s="32" t="s">
        <v>248</v>
      </c>
      <c r="C3" s="32"/>
      <c r="D3" s="2"/>
      <c r="E3" s="2"/>
      <c r="F3" s="32"/>
      <c r="G3" s="32"/>
      <c r="H3" s="32"/>
      <c r="I3" s="32"/>
      <c r="J3" s="32"/>
    </row>
    <row r="4" spans="1:10">
      <c r="B4" s="11" t="s">
        <v>249</v>
      </c>
      <c r="C4" s="11" t="s">
        <v>250</v>
      </c>
    </row>
    <row r="5" spans="1:10">
      <c r="B5" s="9" t="s">
        <v>198</v>
      </c>
      <c r="C5" s="9" t="s">
        <v>157</v>
      </c>
      <c r="D5" s="9" t="s">
        <v>3</v>
      </c>
      <c r="E5" s="10" t="s">
        <v>159</v>
      </c>
      <c r="F5" s="10" t="s">
        <v>5</v>
      </c>
      <c r="G5" s="10" t="s">
        <v>6</v>
      </c>
      <c r="H5" s="10" t="s">
        <v>251</v>
      </c>
      <c r="I5" s="10" t="s">
        <v>252</v>
      </c>
      <c r="J5" s="10" t="s">
        <v>253</v>
      </c>
    </row>
    <row r="6" spans="1:10" ht="20.100000000000001" customHeight="1">
      <c r="B6" s="67" t="s">
        <v>254</v>
      </c>
      <c r="C6" s="2"/>
      <c r="D6" s="2"/>
      <c r="E6" s="2"/>
      <c r="F6" s="2"/>
      <c r="G6" s="2"/>
      <c r="H6" s="2"/>
      <c r="I6" s="2"/>
      <c r="J6" s="2"/>
    </row>
    <row r="7" spans="1:10">
      <c r="A7" s="8" t="str">
        <f>IF(C7="","",B7&amp;"-"&amp;C7)</f>
        <v>SCHMAP-SCHMDEXP</v>
      </c>
      <c r="B7" s="43" t="s">
        <v>77</v>
      </c>
      <c r="C7" s="43" t="s">
        <v>255</v>
      </c>
      <c r="D7" s="43" t="s">
        <v>54</v>
      </c>
      <c r="E7" s="22">
        <v>142.52800999999999</v>
      </c>
      <c r="F7" s="22">
        <f>VLOOKUP($D7,$D$143:$J$155,3,FALSE)*$E7</f>
        <v>61.053441110486688</v>
      </c>
      <c r="G7" s="22">
        <f>VLOOKUP($D7,$D$143:$J$155,4,FALSE)*$E7</f>
        <v>13.591883278112446</v>
      </c>
      <c r="H7" s="22">
        <f>VLOOKUP($D7,$D$143:$J$155,5,FALSE)*$E7</f>
        <v>51.507954439164976</v>
      </c>
      <c r="I7" s="22">
        <f>VLOOKUP($D7,$D$143:$J$155,6,FALSE)*$E7</f>
        <v>16.374731172235887</v>
      </c>
      <c r="J7" s="22">
        <f>VLOOKUP($D7,$D$143:$J$155,7,FALSE)*$E7</f>
        <v>0</v>
      </c>
    </row>
    <row r="8" spans="1:10">
      <c r="A8" s="8" t="str">
        <f>IF(C8="","",B8&amp;"-"&amp;C8)</f>
        <v>SCHMAP-SE</v>
      </c>
      <c r="B8" s="43" t="s">
        <v>77</v>
      </c>
      <c r="C8" s="43" t="s">
        <v>166</v>
      </c>
      <c r="D8" s="43" t="s">
        <v>72</v>
      </c>
      <c r="E8" s="22">
        <v>14.943010000000001</v>
      </c>
      <c r="F8" s="22">
        <f>VLOOKUP($D8,$D$143:$J$155,3,FALSE)*$E8</f>
        <v>14.943010000000001</v>
      </c>
      <c r="G8" s="22">
        <f>VLOOKUP($D8,$D$143:$J$155,4,FALSE)*$E8</f>
        <v>0</v>
      </c>
      <c r="H8" s="22">
        <f>VLOOKUP($D8,$D$143:$J$155,5,FALSE)*$E8</f>
        <v>0</v>
      </c>
      <c r="I8" s="22">
        <f>VLOOKUP($D8,$D$143:$J$155,6,FALSE)*$E8</f>
        <v>0</v>
      </c>
      <c r="J8" s="22">
        <f>VLOOKUP($D8,$D$143:$J$155,7,FALSE)*$E8</f>
        <v>0</v>
      </c>
    </row>
    <row r="9" spans="1:10">
      <c r="A9" s="8" t="str">
        <f>IF(C9="","",B9&amp;"-"&amp;C9)</f>
        <v>SCHMAP-SO</v>
      </c>
      <c r="B9" s="43" t="s">
        <v>77</v>
      </c>
      <c r="C9" s="43" t="s">
        <v>203</v>
      </c>
      <c r="D9" s="43" t="s">
        <v>72</v>
      </c>
      <c r="E9" s="22">
        <v>701.53138000000001</v>
      </c>
      <c r="F9" s="22">
        <f>VLOOKUP($D9,$D$143:$J$155,3,FALSE)*$E9</f>
        <v>701.53138000000001</v>
      </c>
      <c r="G9" s="22">
        <f>VLOOKUP($D9,$D$143:$J$155,4,FALSE)*$E9</f>
        <v>0</v>
      </c>
      <c r="H9" s="22">
        <f>VLOOKUP($D9,$D$143:$J$155,5,FALSE)*$E9</f>
        <v>0</v>
      </c>
      <c r="I9" s="22">
        <f>VLOOKUP($D9,$D$143:$J$155,6,FALSE)*$E9</f>
        <v>0</v>
      </c>
      <c r="J9" s="22">
        <f>VLOOKUP($D9,$D$143:$J$155,7,FALSE)*$E9</f>
        <v>0</v>
      </c>
    </row>
    <row r="10" spans="1:10">
      <c r="A10" s="8" t="str">
        <f>IF(C10="","",B10&amp;"-"&amp;C10)</f>
        <v>SCHMAP-SO</v>
      </c>
      <c r="B10" s="43" t="s">
        <v>77</v>
      </c>
      <c r="C10" s="43" t="s">
        <v>203</v>
      </c>
      <c r="D10" s="43" t="s">
        <v>54</v>
      </c>
      <c r="E10" s="22">
        <v>1681.99575</v>
      </c>
      <c r="F10" s="22">
        <f>VLOOKUP($D10,$D$143:$J$155,3,FALSE)*$E10</f>
        <v>720.50138404874872</v>
      </c>
      <c r="G10" s="22">
        <f>VLOOKUP($D10,$D$143:$J$155,4,FALSE)*$E10</f>
        <v>160.39997968315984</v>
      </c>
      <c r="H10" s="22">
        <f>VLOOKUP($D10,$D$143:$J$155,5,FALSE)*$E10</f>
        <v>607.85357529280827</v>
      </c>
      <c r="I10" s="22">
        <f>VLOOKUP($D10,$D$143:$J$155,6,FALSE)*$E10</f>
        <v>193.24081097528327</v>
      </c>
      <c r="J10" s="22">
        <f>VLOOKUP($D10,$D$143:$J$155,7,FALSE)*$E10</f>
        <v>0</v>
      </c>
    </row>
    <row r="11" spans="1:10">
      <c r="A11" s="8" t="str">
        <f>IF(C11="","",B11&amp;"-"&amp;C11)</f>
        <v>SCHMAP-SO</v>
      </c>
      <c r="B11" s="43" t="s">
        <v>77</v>
      </c>
      <c r="C11" s="43" t="s">
        <v>203</v>
      </c>
      <c r="D11" s="43" t="s">
        <v>120</v>
      </c>
      <c r="E11" s="22">
        <v>0</v>
      </c>
      <c r="F11" s="22">
        <f>VLOOKUP($D11,$D$143:$J$155,3,FALSE)*$E11</f>
        <v>0</v>
      </c>
      <c r="G11" s="22">
        <f>VLOOKUP($D11,$D$143:$J$155,4,FALSE)*$E11</f>
        <v>0</v>
      </c>
      <c r="H11" s="22">
        <f>VLOOKUP($D11,$D$143:$J$155,5,FALSE)*$E11</f>
        <v>0</v>
      </c>
      <c r="I11" s="22">
        <f>VLOOKUP($D11,$D$143:$J$155,6,FALSE)*$E11</f>
        <v>0</v>
      </c>
      <c r="J11" s="22">
        <f>VLOOKUP($D11,$D$143:$J$155,7,FALSE)*$E11</f>
        <v>0</v>
      </c>
    </row>
    <row r="12" spans="1:10">
      <c r="B12" s="43"/>
      <c r="C12" s="43"/>
      <c r="D12" s="43"/>
      <c r="E12" s="68"/>
      <c r="F12" s="22"/>
      <c r="G12" s="22"/>
      <c r="H12" s="22"/>
      <c r="I12" s="22"/>
      <c r="J12" s="22"/>
    </row>
    <row r="13" spans="1:10">
      <c r="A13" s="8" t="str">
        <f>IF(C13="","",B13&amp;"-"&amp;C13)</f>
        <v/>
      </c>
      <c r="B13" s="62" t="s">
        <v>226</v>
      </c>
      <c r="E13" s="22">
        <f t="shared" ref="E13:J13" si="0">SUMIF($A:$A,"SCHMAP-SO",E:E)</f>
        <v>2383.5271299999999</v>
      </c>
      <c r="F13" s="22">
        <f t="shared" si="0"/>
        <v>1422.0327640487487</v>
      </c>
      <c r="G13" s="22">
        <f t="shared" si="0"/>
        <v>160.39997968315984</v>
      </c>
      <c r="H13" s="22">
        <f t="shared" si="0"/>
        <v>607.85357529280827</v>
      </c>
      <c r="I13" s="22">
        <f t="shared" si="0"/>
        <v>193.24081097528327</v>
      </c>
      <c r="J13" s="22">
        <f t="shared" si="0"/>
        <v>0</v>
      </c>
    </row>
    <row r="14" spans="1:10">
      <c r="A14" s="8" t="str">
        <f>IF(C14="","",B14&amp;"-"&amp;C14)</f>
        <v/>
      </c>
      <c r="B14" s="24" t="s">
        <v>256</v>
      </c>
      <c r="E14" s="22">
        <f t="shared" ref="E14:J14" si="1">SUMIF($B:$B,"SCHMAP",E:E)</f>
        <v>2540.9981500000004</v>
      </c>
      <c r="F14" s="22">
        <f t="shared" si="1"/>
        <v>1498.0292151592353</v>
      </c>
      <c r="G14" s="22">
        <f t="shared" si="1"/>
        <v>173.99186296127229</v>
      </c>
      <c r="H14" s="22">
        <f t="shared" si="1"/>
        <v>659.36152973197329</v>
      </c>
      <c r="I14" s="22">
        <f t="shared" si="1"/>
        <v>209.61554214751916</v>
      </c>
      <c r="J14" s="22">
        <f t="shared" si="1"/>
        <v>0</v>
      </c>
    </row>
    <row r="15" spans="1:10">
      <c r="A15" s="8" t="str">
        <f>IF(C15="","",B15&amp;"-"&amp;C15)</f>
        <v/>
      </c>
      <c r="B15" s="24" t="s">
        <v>79</v>
      </c>
      <c r="C15" s="24"/>
      <c r="E15" s="39">
        <f>SUM(F15:J15)</f>
        <v>1</v>
      </c>
      <c r="F15" s="40">
        <f t="shared" ref="F15:J16" si="2">IF(ISERROR(F13/$E13)," ",(F13/$E13))</f>
        <v>0.59660859159121415</v>
      </c>
      <c r="G15" s="40">
        <f t="shared" si="2"/>
        <v>6.729521878073183E-2</v>
      </c>
      <c r="H15" s="40">
        <f t="shared" si="2"/>
        <v>0.25502272142914867</v>
      </c>
      <c r="I15" s="40">
        <f t="shared" si="2"/>
        <v>8.1073468198905402E-2</v>
      </c>
      <c r="J15" s="40">
        <f t="shared" si="2"/>
        <v>0</v>
      </c>
    </row>
    <row r="16" spans="1:10">
      <c r="A16" s="8" t="str">
        <f>IF(C16="","",B16&amp;"-"&amp;C16)</f>
        <v/>
      </c>
      <c r="B16" s="24" t="s">
        <v>257</v>
      </c>
      <c r="C16" s="24"/>
      <c r="E16" s="39">
        <f>SUM(F16:J16)</f>
        <v>0.99999999999999989</v>
      </c>
      <c r="F16" s="40">
        <f t="shared" si="2"/>
        <v>0.5895436071684016</v>
      </c>
      <c r="G16" s="40">
        <f t="shared" si="2"/>
        <v>6.8473825123120322E-2</v>
      </c>
      <c r="H16" s="40">
        <f t="shared" si="2"/>
        <v>0.25948918134079446</v>
      </c>
      <c r="I16" s="40">
        <f t="shared" si="2"/>
        <v>8.2493386367683552E-2</v>
      </c>
      <c r="J16" s="40">
        <f t="shared" si="2"/>
        <v>0</v>
      </c>
    </row>
    <row r="17" spans="1:10" s="8" customFormat="1">
      <c r="B17" s="3"/>
      <c r="C17" s="3"/>
      <c r="E17" s="54"/>
      <c r="F17" s="23"/>
      <c r="G17" s="23"/>
      <c r="H17" s="23"/>
      <c r="I17" s="23"/>
      <c r="J17" s="23"/>
    </row>
    <row r="18" spans="1:10" s="8" customFormat="1">
      <c r="A18" s="8" t="str">
        <f t="shared" ref="A18:A47" si="3">IF(C18="","",B18&amp;"-"&amp;C18)</f>
        <v>SCHMAT-CIAC</v>
      </c>
      <c r="B18" s="43" t="s">
        <v>81</v>
      </c>
      <c r="C18" s="43" t="s">
        <v>258</v>
      </c>
      <c r="D18" s="43" t="s">
        <v>7</v>
      </c>
      <c r="E18" s="22">
        <v>127757.058</v>
      </c>
      <c r="F18" s="22">
        <f t="shared" ref="F18:F47" si="4">VLOOKUP($D18,$D$143:$J$155,3,FALSE)*$E18</f>
        <v>0</v>
      </c>
      <c r="G18" s="22">
        <f t="shared" ref="G18:G47" si="5">VLOOKUP($D18,$D$143:$J$155,4,FALSE)*$E18</f>
        <v>0</v>
      </c>
      <c r="H18" s="22">
        <f t="shared" ref="H18:H47" si="6">VLOOKUP($D18,$D$143:$J$155,5,FALSE)*$E18</f>
        <v>127757.058</v>
      </c>
      <c r="I18" s="22">
        <f t="shared" ref="I18:I47" si="7">VLOOKUP($D18,$D$143:$J$155,6,FALSE)*$E18</f>
        <v>0</v>
      </c>
      <c r="J18" s="22">
        <f t="shared" ref="J18:J47" si="8">VLOOKUP($D18,$D$143:$J$155,7,FALSE)*$E18</f>
        <v>0</v>
      </c>
    </row>
    <row r="19" spans="1:10" s="8" customFormat="1">
      <c r="A19" s="8" t="str">
        <f t="shared" si="3"/>
        <v>SCHMAT-BADDEBT</v>
      </c>
      <c r="B19" s="43" t="s">
        <v>81</v>
      </c>
      <c r="C19" s="43" t="s">
        <v>259</v>
      </c>
      <c r="D19" s="43" t="s">
        <v>8</v>
      </c>
      <c r="E19" s="22">
        <v>695.51306069551299</v>
      </c>
      <c r="F19" s="22">
        <f t="shared" si="4"/>
        <v>0</v>
      </c>
      <c r="G19" s="22">
        <f t="shared" si="5"/>
        <v>0</v>
      </c>
      <c r="H19" s="22">
        <f t="shared" si="6"/>
        <v>0</v>
      </c>
      <c r="I19" s="22">
        <f t="shared" si="7"/>
        <v>695.51306069551299</v>
      </c>
      <c r="J19" s="22">
        <f t="shared" si="8"/>
        <v>0</v>
      </c>
    </row>
    <row r="20" spans="1:10" s="8" customFormat="1">
      <c r="A20" s="8" t="str">
        <f t="shared" si="3"/>
        <v>SCHMAT-SCHMDEXP</v>
      </c>
      <c r="B20" s="43" t="s">
        <v>81</v>
      </c>
      <c r="C20" s="43" t="s">
        <v>255</v>
      </c>
      <c r="D20" s="43" t="s">
        <v>38</v>
      </c>
      <c r="E20" s="22">
        <v>1084756.7794999999</v>
      </c>
      <c r="F20" s="22">
        <f t="shared" si="4"/>
        <v>485173.17911013053</v>
      </c>
      <c r="G20" s="22">
        <f t="shared" si="5"/>
        <v>290388.66946772806</v>
      </c>
      <c r="H20" s="22">
        <f t="shared" si="6"/>
        <v>300930.7188104674</v>
      </c>
      <c r="I20" s="22">
        <f t="shared" si="7"/>
        <v>8264.2121116739181</v>
      </c>
      <c r="J20" s="22">
        <f t="shared" si="8"/>
        <v>0</v>
      </c>
    </row>
    <row r="21" spans="1:10" s="8" customFormat="1">
      <c r="A21" s="8" t="str">
        <f>IF(C21="","",B21&amp;"-"&amp;C21)</f>
        <v>SCHMAT-GPS</v>
      </c>
      <c r="B21" s="43" t="s">
        <v>81</v>
      </c>
      <c r="C21" s="43" t="s">
        <v>260</v>
      </c>
      <c r="D21" s="43" t="s">
        <v>38</v>
      </c>
      <c r="E21" s="22">
        <v>-3303.76494</v>
      </c>
      <c r="F21" s="22">
        <f t="shared" si="4"/>
        <v>-1477.6567146335035</v>
      </c>
      <c r="G21" s="22">
        <f t="shared" si="5"/>
        <v>-884.4156803545734</v>
      </c>
      <c r="H21" s="22">
        <f t="shared" si="6"/>
        <v>-916.5228343936069</v>
      </c>
      <c r="I21" s="22">
        <f t="shared" si="7"/>
        <v>-25.169710618316223</v>
      </c>
      <c r="J21" s="22">
        <f t="shared" si="8"/>
        <v>0</v>
      </c>
    </row>
    <row r="22" spans="1:10" s="8" customFormat="1">
      <c r="A22" s="8" t="str">
        <f>IF(C22="","",B22&amp;"-"&amp;C22)</f>
        <v>SCHMAT-SE</v>
      </c>
      <c r="B22" s="43" t="s">
        <v>81</v>
      </c>
      <c r="C22" s="43" t="s">
        <v>166</v>
      </c>
      <c r="D22" s="43" t="s">
        <v>54</v>
      </c>
      <c r="E22" s="22">
        <v>23.002000000000002</v>
      </c>
      <c r="F22" s="22">
        <f t="shared" si="4"/>
        <v>9.8531597573235956</v>
      </c>
      <c r="G22" s="22">
        <f t="shared" si="5"/>
        <v>2.1935372504193564</v>
      </c>
      <c r="H22" s="22">
        <f t="shared" si="6"/>
        <v>8.3126535479564545</v>
      </c>
      <c r="I22" s="22">
        <f t="shared" si="7"/>
        <v>2.6426494443005972</v>
      </c>
      <c r="J22" s="22">
        <f t="shared" si="8"/>
        <v>0</v>
      </c>
    </row>
    <row r="23" spans="1:10" s="8" customFormat="1">
      <c r="A23" s="8" t="str">
        <f t="shared" si="3"/>
        <v>SCHMAT-SE</v>
      </c>
      <c r="B23" s="43" t="s">
        <v>81</v>
      </c>
      <c r="C23" s="43" t="s">
        <v>166</v>
      </c>
      <c r="D23" s="43" t="s">
        <v>72</v>
      </c>
      <c r="E23" s="22">
        <v>10031.210360000001</v>
      </c>
      <c r="F23" s="22">
        <f t="shared" si="4"/>
        <v>10031.210360000001</v>
      </c>
      <c r="G23" s="22">
        <f t="shared" si="5"/>
        <v>0</v>
      </c>
      <c r="H23" s="22">
        <f t="shared" si="6"/>
        <v>0</v>
      </c>
      <c r="I23" s="22">
        <f t="shared" si="7"/>
        <v>0</v>
      </c>
      <c r="J23" s="22">
        <f t="shared" si="8"/>
        <v>0</v>
      </c>
    </row>
    <row r="24" spans="1:10" s="8" customFormat="1">
      <c r="A24" s="8" t="str">
        <f t="shared" si="3"/>
        <v>SCHMAT-SG</v>
      </c>
      <c r="B24" s="43" t="s">
        <v>81</v>
      </c>
      <c r="C24" s="43" t="s">
        <v>202</v>
      </c>
      <c r="D24" s="43" t="s">
        <v>7</v>
      </c>
      <c r="E24" s="22">
        <v>0</v>
      </c>
      <c r="F24" s="22">
        <f t="shared" si="4"/>
        <v>0</v>
      </c>
      <c r="G24" s="22">
        <f t="shared" si="5"/>
        <v>0</v>
      </c>
      <c r="H24" s="22">
        <f t="shared" si="6"/>
        <v>0</v>
      </c>
      <c r="I24" s="22">
        <f t="shared" si="7"/>
        <v>0</v>
      </c>
      <c r="J24" s="22">
        <f t="shared" si="8"/>
        <v>0</v>
      </c>
    </row>
    <row r="25" spans="1:10" s="8" customFormat="1">
      <c r="A25" s="8" t="str">
        <f>IF(C25="","",B25&amp;"-"&amp;C25)</f>
        <v>SCHMAT-SG</v>
      </c>
      <c r="B25" s="43" t="s">
        <v>81</v>
      </c>
      <c r="C25" s="43" t="s">
        <v>202</v>
      </c>
      <c r="D25" s="43" t="s">
        <v>72</v>
      </c>
      <c r="E25" s="22">
        <v>171.65884</v>
      </c>
      <c r="F25" s="22">
        <f t="shared" si="4"/>
        <v>171.65884</v>
      </c>
      <c r="G25" s="22">
        <f t="shared" si="5"/>
        <v>0</v>
      </c>
      <c r="H25" s="22">
        <f t="shared" si="6"/>
        <v>0</v>
      </c>
      <c r="I25" s="22">
        <f t="shared" si="7"/>
        <v>0</v>
      </c>
      <c r="J25" s="22">
        <f t="shared" si="8"/>
        <v>0</v>
      </c>
    </row>
    <row r="26" spans="1:10" s="8" customFormat="1">
      <c r="A26" s="8" t="str">
        <f t="shared" si="3"/>
        <v>SCHMAT-SG</v>
      </c>
      <c r="B26" s="43" t="s">
        <v>81</v>
      </c>
      <c r="C26" s="43" t="s">
        <v>202</v>
      </c>
      <c r="D26" s="43" t="s">
        <v>113</v>
      </c>
      <c r="E26" s="22">
        <v>0</v>
      </c>
      <c r="F26" s="22">
        <f t="shared" si="4"/>
        <v>0</v>
      </c>
      <c r="G26" s="22">
        <f t="shared" si="5"/>
        <v>0</v>
      </c>
      <c r="H26" s="22">
        <f t="shared" si="6"/>
        <v>0</v>
      </c>
      <c r="I26" s="22">
        <f t="shared" si="7"/>
        <v>0</v>
      </c>
      <c r="J26" s="22">
        <f t="shared" si="8"/>
        <v>0</v>
      </c>
    </row>
    <row r="27" spans="1:10" s="8" customFormat="1">
      <c r="A27" s="8" t="str">
        <f t="shared" si="3"/>
        <v>SCHMAT-SGCT</v>
      </c>
      <c r="B27" s="43" t="s">
        <v>81</v>
      </c>
      <c r="C27" s="43" t="s">
        <v>261</v>
      </c>
      <c r="D27" s="43" t="s">
        <v>72</v>
      </c>
      <c r="E27" s="22">
        <v>0</v>
      </c>
      <c r="F27" s="22">
        <f t="shared" si="4"/>
        <v>0</v>
      </c>
      <c r="G27" s="22">
        <f t="shared" si="5"/>
        <v>0</v>
      </c>
      <c r="H27" s="22">
        <f t="shared" si="6"/>
        <v>0</v>
      </c>
      <c r="I27" s="22">
        <f t="shared" si="7"/>
        <v>0</v>
      </c>
      <c r="J27" s="22">
        <f t="shared" si="8"/>
        <v>0</v>
      </c>
    </row>
    <row r="28" spans="1:10" s="8" customFormat="1">
      <c r="A28" s="8" t="str">
        <f t="shared" si="3"/>
        <v>SCHMAT-SNP</v>
      </c>
      <c r="B28" s="43" t="s">
        <v>81</v>
      </c>
      <c r="C28" s="43" t="s">
        <v>262</v>
      </c>
      <c r="D28" s="43" t="s">
        <v>38</v>
      </c>
      <c r="E28" s="22">
        <v>443.65305999999998</v>
      </c>
      <c r="F28" s="22">
        <f t="shared" si="4"/>
        <v>198.43025608132416</v>
      </c>
      <c r="G28" s="22">
        <f t="shared" si="5"/>
        <v>118.76562952486819</v>
      </c>
      <c r="H28" s="22">
        <f t="shared" si="6"/>
        <v>123.07720658800771</v>
      </c>
      <c r="I28" s="22">
        <f t="shared" si="7"/>
        <v>3.3799678057999136</v>
      </c>
      <c r="J28" s="22">
        <f t="shared" si="8"/>
        <v>0</v>
      </c>
    </row>
    <row r="29" spans="1:10" s="8" customFormat="1">
      <c r="A29" s="8" t="str">
        <f t="shared" si="3"/>
        <v>SCHMAT-SNP</v>
      </c>
      <c r="B29" s="43" t="s">
        <v>81</v>
      </c>
      <c r="C29" s="43" t="s">
        <v>262</v>
      </c>
      <c r="D29" s="43" t="s">
        <v>120</v>
      </c>
      <c r="E29" s="22">
        <v>61931.060989999998</v>
      </c>
      <c r="F29" s="22">
        <f t="shared" si="4"/>
        <v>28210.414260085985</v>
      </c>
      <c r="G29" s="22">
        <f t="shared" si="5"/>
        <v>16582.975523419653</v>
      </c>
      <c r="H29" s="22">
        <f t="shared" si="6"/>
        <v>17137.671206494357</v>
      </c>
      <c r="I29" s="22">
        <f t="shared" si="7"/>
        <v>0</v>
      </c>
      <c r="J29" s="22">
        <f t="shared" si="8"/>
        <v>0</v>
      </c>
    </row>
    <row r="30" spans="1:10" s="8" customFormat="1">
      <c r="A30" s="8" t="str">
        <f t="shared" si="3"/>
        <v>SCHMAT-SNPD</v>
      </c>
      <c r="B30" s="43" t="s">
        <v>81</v>
      </c>
      <c r="C30" s="43" t="s">
        <v>263</v>
      </c>
      <c r="D30" s="43" t="s">
        <v>7</v>
      </c>
      <c r="E30" s="22">
        <v>2642.8440000000001</v>
      </c>
      <c r="F30" s="22">
        <f t="shared" si="4"/>
        <v>0</v>
      </c>
      <c r="G30" s="22">
        <f t="shared" si="5"/>
        <v>0</v>
      </c>
      <c r="H30" s="22">
        <f t="shared" si="6"/>
        <v>2642.8440000000001</v>
      </c>
      <c r="I30" s="22">
        <f t="shared" si="7"/>
        <v>0</v>
      </c>
      <c r="J30" s="22">
        <f t="shared" si="8"/>
        <v>0</v>
      </c>
    </row>
    <row r="31" spans="1:10" s="8" customFormat="1">
      <c r="A31" s="8" t="str">
        <f>IF(C31="","",B31&amp;"-"&amp;C31)</f>
        <v>SCHMAT-SO</v>
      </c>
      <c r="B31" s="43" t="s">
        <v>81</v>
      </c>
      <c r="C31" s="43" t="s">
        <v>203</v>
      </c>
      <c r="D31" s="8" t="s">
        <v>9</v>
      </c>
      <c r="E31" s="22">
        <v>0</v>
      </c>
      <c r="F31" s="22">
        <f t="shared" si="4"/>
        <v>0</v>
      </c>
      <c r="G31" s="22">
        <f t="shared" si="5"/>
        <v>0</v>
      </c>
      <c r="H31" s="22">
        <f t="shared" si="6"/>
        <v>0</v>
      </c>
      <c r="I31" s="22">
        <f t="shared" si="7"/>
        <v>0</v>
      </c>
      <c r="J31" s="22">
        <f t="shared" si="8"/>
        <v>0</v>
      </c>
    </row>
    <row r="32" spans="1:10" s="8" customFormat="1">
      <c r="A32" s="8" t="str">
        <f>IF(C32="","",B32&amp;"-"&amp;C32)</f>
        <v>SCHMAT-SO</v>
      </c>
      <c r="B32" s="43" t="s">
        <v>81</v>
      </c>
      <c r="C32" s="43" t="s">
        <v>203</v>
      </c>
      <c r="D32" s="8" t="s">
        <v>54</v>
      </c>
      <c r="E32" s="22">
        <v>35612.055769999999</v>
      </c>
      <c r="F32" s="22">
        <f t="shared" si="4"/>
        <v>15254.81587638151</v>
      </c>
      <c r="G32" s="22">
        <f t="shared" si="5"/>
        <v>3396.0686416618801</v>
      </c>
      <c r="H32" s="22">
        <f t="shared" si="6"/>
        <v>12869.780095057542</v>
      </c>
      <c r="I32" s="22">
        <f t="shared" si="7"/>
        <v>4091.3911568990679</v>
      </c>
      <c r="J32" s="22">
        <f t="shared" si="8"/>
        <v>0</v>
      </c>
    </row>
    <row r="33" spans="1:10" s="8" customFormat="1">
      <c r="A33" s="8" t="str">
        <f t="shared" si="3"/>
        <v>SCHMAT-SO</v>
      </c>
      <c r="B33" s="43" t="s">
        <v>81</v>
      </c>
      <c r="C33" s="43" t="s">
        <v>203</v>
      </c>
      <c r="D33" s="8" t="s">
        <v>120</v>
      </c>
      <c r="E33" s="22">
        <v>-207.89975000000001</v>
      </c>
      <c r="F33" s="22">
        <f t="shared" si="4"/>
        <v>-94.701075329798115</v>
      </c>
      <c r="G33" s="22">
        <f t="shared" si="5"/>
        <v>-55.668293267763467</v>
      </c>
      <c r="H33" s="22">
        <f t="shared" si="6"/>
        <v>-57.530381402438415</v>
      </c>
      <c r="I33" s="22">
        <f t="shared" si="7"/>
        <v>0</v>
      </c>
      <c r="J33" s="22">
        <f t="shared" si="8"/>
        <v>0</v>
      </c>
    </row>
    <row r="34" spans="1:10" s="8" customFormat="1">
      <c r="A34" s="8" t="str">
        <f>IF(C34="","",B34&amp;"-"&amp;C34)</f>
        <v>SCHMAT-OTHER</v>
      </c>
      <c r="B34" s="43" t="s">
        <v>81</v>
      </c>
      <c r="C34" s="43" t="s">
        <v>201</v>
      </c>
      <c r="D34" s="8" t="s">
        <v>9</v>
      </c>
      <c r="E34" s="22">
        <v>-70638.677240000005</v>
      </c>
      <c r="F34" s="22">
        <f t="shared" si="4"/>
        <v>0</v>
      </c>
      <c r="G34" s="22">
        <f t="shared" si="5"/>
        <v>0</v>
      </c>
      <c r="H34" s="22">
        <f t="shared" si="6"/>
        <v>0</v>
      </c>
      <c r="I34" s="22">
        <f t="shared" si="7"/>
        <v>0</v>
      </c>
      <c r="J34" s="22">
        <f t="shared" si="8"/>
        <v>-70638.677240000005</v>
      </c>
    </row>
    <row r="35" spans="1:10" s="8" customFormat="1">
      <c r="A35" s="8" t="str">
        <f>IF(C35="","",B35&amp;"-"&amp;C35)</f>
        <v>SCHMAT-OTHER</v>
      </c>
      <c r="B35" s="43" t="s">
        <v>81</v>
      </c>
      <c r="C35" s="43" t="s">
        <v>201</v>
      </c>
      <c r="D35" s="8" t="s">
        <v>38</v>
      </c>
      <c r="E35" s="22">
        <v>-9853.0381099999995</v>
      </c>
      <c r="F35" s="22">
        <f t="shared" si="4"/>
        <v>-4406.9139866776668</v>
      </c>
      <c r="G35" s="22">
        <f t="shared" si="5"/>
        <v>-2637.651758485938</v>
      </c>
      <c r="H35" s="22">
        <f t="shared" si="6"/>
        <v>-2733.4070613284694</v>
      </c>
      <c r="I35" s="22">
        <f t="shared" si="7"/>
        <v>-75.065303507924924</v>
      </c>
      <c r="J35" s="22">
        <f t="shared" si="8"/>
        <v>0</v>
      </c>
    </row>
    <row r="36" spans="1:10" s="8" customFormat="1">
      <c r="A36" s="8" t="str">
        <f>IF(C36="","",B36&amp;"-"&amp;C36)</f>
        <v>SCHMAT-OTHER</v>
      </c>
      <c r="B36" s="43" t="s">
        <v>81</v>
      </c>
      <c r="C36" s="43" t="s">
        <v>201</v>
      </c>
      <c r="D36" s="8" t="s">
        <v>72</v>
      </c>
      <c r="E36" s="22">
        <v>-167768.24430999998</v>
      </c>
      <c r="F36" s="22">
        <f t="shared" si="4"/>
        <v>-167768.24430999998</v>
      </c>
      <c r="G36" s="22">
        <f t="shared" si="5"/>
        <v>0</v>
      </c>
      <c r="H36" s="22">
        <f t="shared" si="6"/>
        <v>0</v>
      </c>
      <c r="I36" s="22">
        <f t="shared" si="7"/>
        <v>0</v>
      </c>
      <c r="J36" s="22">
        <f t="shared" si="8"/>
        <v>0</v>
      </c>
    </row>
    <row r="37" spans="1:10" s="8" customFormat="1">
      <c r="A37" s="8" t="str">
        <f>IF(C37="","",B37&amp;"-"&amp;C37)</f>
        <v>SCHMAT-OTHER</v>
      </c>
      <c r="B37" s="43" t="s">
        <v>81</v>
      </c>
      <c r="C37" s="43" t="s">
        <v>201</v>
      </c>
      <c r="D37" s="8" t="s">
        <v>120</v>
      </c>
      <c r="E37" s="22">
        <v>-5634.1311099999984</v>
      </c>
      <c r="F37" s="22">
        <f t="shared" si="4"/>
        <v>-2566.4209536859421</v>
      </c>
      <c r="G37" s="22">
        <f t="shared" si="5"/>
        <v>-1508.623569487263</v>
      </c>
      <c r="H37" s="22">
        <f t="shared" si="6"/>
        <v>-1559.0865868267931</v>
      </c>
      <c r="I37" s="22">
        <f t="shared" si="7"/>
        <v>0</v>
      </c>
      <c r="J37" s="22">
        <f t="shared" si="8"/>
        <v>0</v>
      </c>
    </row>
    <row r="38" spans="1:10" s="8" customFormat="1">
      <c r="A38" s="8" t="str">
        <f>IF(C38="","",B38&amp;"-"&amp;C38)</f>
        <v>SCHMAT-OTHER</v>
      </c>
      <c r="B38" s="43" t="s">
        <v>81</v>
      </c>
      <c r="C38" s="43" t="s">
        <v>201</v>
      </c>
      <c r="D38" s="8" t="s">
        <v>8</v>
      </c>
      <c r="E38" s="22">
        <v>-1572.63562</v>
      </c>
      <c r="F38" s="22">
        <f t="shared" si="4"/>
        <v>0</v>
      </c>
      <c r="G38" s="22">
        <f t="shared" si="5"/>
        <v>0</v>
      </c>
      <c r="H38" s="22">
        <f t="shared" si="6"/>
        <v>0</v>
      </c>
      <c r="I38" s="22">
        <f t="shared" si="7"/>
        <v>-1572.63562</v>
      </c>
      <c r="J38" s="22">
        <f t="shared" si="8"/>
        <v>0</v>
      </c>
    </row>
    <row r="39" spans="1:10" s="8" customFormat="1">
      <c r="A39" s="8" t="str">
        <f t="shared" si="3"/>
        <v>SCHMAT-TROJD</v>
      </c>
      <c r="B39" s="43" t="s">
        <v>81</v>
      </c>
      <c r="C39" s="43" t="s">
        <v>264</v>
      </c>
      <c r="D39" s="43" t="s">
        <v>72</v>
      </c>
      <c r="E39" s="22">
        <v>-219.90200999999999</v>
      </c>
      <c r="F39" s="22">
        <f t="shared" si="4"/>
        <v>-219.90200999999999</v>
      </c>
      <c r="G39" s="22">
        <f t="shared" si="5"/>
        <v>0</v>
      </c>
      <c r="H39" s="22">
        <f t="shared" si="6"/>
        <v>0</v>
      </c>
      <c r="I39" s="22">
        <f t="shared" si="7"/>
        <v>0</v>
      </c>
      <c r="J39" s="22">
        <f t="shared" si="8"/>
        <v>0</v>
      </c>
    </row>
    <row r="40" spans="1:10" s="8" customFormat="1">
      <c r="A40" s="8" t="str">
        <f t="shared" si="3"/>
        <v>SCHMAT-SITUS</v>
      </c>
      <c r="B40" s="43" t="s">
        <v>81</v>
      </c>
      <c r="C40" s="43" t="s">
        <v>204</v>
      </c>
      <c r="D40" s="43" t="s">
        <v>9</v>
      </c>
      <c r="E40" s="22">
        <v>985.63829999999996</v>
      </c>
      <c r="F40" s="22">
        <f t="shared" si="4"/>
        <v>0</v>
      </c>
      <c r="G40" s="22">
        <f t="shared" si="5"/>
        <v>0</v>
      </c>
      <c r="H40" s="22">
        <f t="shared" si="6"/>
        <v>0</v>
      </c>
      <c r="I40" s="22">
        <f t="shared" si="7"/>
        <v>0</v>
      </c>
      <c r="J40" s="22">
        <f t="shared" si="8"/>
        <v>985.63829999999996</v>
      </c>
    </row>
    <row r="41" spans="1:10" s="8" customFormat="1">
      <c r="A41" s="8" t="str">
        <f t="shared" si="3"/>
        <v>SCHMAT-SITUS</v>
      </c>
      <c r="B41" s="43" t="s">
        <v>81</v>
      </c>
      <c r="C41" s="43" t="s">
        <v>204</v>
      </c>
      <c r="D41" s="43" t="s">
        <v>7</v>
      </c>
      <c r="E41" s="22">
        <v>0</v>
      </c>
      <c r="F41" s="22">
        <f t="shared" si="4"/>
        <v>0</v>
      </c>
      <c r="G41" s="22">
        <f t="shared" si="5"/>
        <v>0</v>
      </c>
      <c r="H41" s="22">
        <f t="shared" si="6"/>
        <v>0</v>
      </c>
      <c r="I41" s="22">
        <f t="shared" si="7"/>
        <v>0</v>
      </c>
      <c r="J41" s="22">
        <f t="shared" si="8"/>
        <v>0</v>
      </c>
    </row>
    <row r="42" spans="1:10" s="8" customFormat="1">
      <c r="A42" s="8" t="str">
        <f t="shared" si="3"/>
        <v>SCHMAT-SITUS</v>
      </c>
      <c r="B42" s="43" t="s">
        <v>81</v>
      </c>
      <c r="C42" s="43" t="s">
        <v>204</v>
      </c>
      <c r="D42" s="43" t="s">
        <v>28</v>
      </c>
      <c r="E42" s="22">
        <v>452.92975999999999</v>
      </c>
      <c r="F42" s="22">
        <f t="shared" si="4"/>
        <v>135.878928</v>
      </c>
      <c r="G42" s="22">
        <f t="shared" si="5"/>
        <v>45.292976000000003</v>
      </c>
      <c r="H42" s="22">
        <f t="shared" si="6"/>
        <v>271.757856</v>
      </c>
      <c r="I42" s="22">
        <f t="shared" si="7"/>
        <v>0</v>
      </c>
      <c r="J42" s="22">
        <f t="shared" si="8"/>
        <v>0</v>
      </c>
    </row>
    <row r="43" spans="1:10" s="8" customFormat="1">
      <c r="A43" s="8" t="str">
        <f t="shared" si="3"/>
        <v>SCHMAT-SITUS</v>
      </c>
      <c r="B43" s="43" t="s">
        <v>81</v>
      </c>
      <c r="C43" s="43" t="s">
        <v>204</v>
      </c>
      <c r="D43" s="43" t="s">
        <v>38</v>
      </c>
      <c r="E43" s="22">
        <v>0</v>
      </c>
      <c r="F43" s="22">
        <f t="shared" si="4"/>
        <v>0</v>
      </c>
      <c r="G43" s="22">
        <f t="shared" si="5"/>
        <v>0</v>
      </c>
      <c r="H43" s="22">
        <f t="shared" si="6"/>
        <v>0</v>
      </c>
      <c r="I43" s="22">
        <f t="shared" si="7"/>
        <v>0</v>
      </c>
      <c r="J43" s="22">
        <f t="shared" si="8"/>
        <v>0</v>
      </c>
    </row>
    <row r="44" spans="1:10" s="8" customFormat="1">
      <c r="A44" s="8" t="str">
        <f t="shared" si="3"/>
        <v>SCHMAT-SITUS</v>
      </c>
      <c r="B44" s="43" t="s">
        <v>81</v>
      </c>
      <c r="C44" s="43" t="s">
        <v>204</v>
      </c>
      <c r="D44" s="43" t="s">
        <v>54</v>
      </c>
      <c r="E44" s="22">
        <v>-9262.3026499999996</v>
      </c>
      <c r="F44" s="22">
        <f t="shared" si="4"/>
        <v>-3967.6092396805357</v>
      </c>
      <c r="G44" s="22">
        <f t="shared" si="5"/>
        <v>-883.27997076049542</v>
      </c>
      <c r="H44" s="22">
        <f t="shared" si="6"/>
        <v>-3347.2877569676098</v>
      </c>
      <c r="I44" s="22">
        <f t="shared" si="7"/>
        <v>-1064.1256825913592</v>
      </c>
      <c r="J44" s="22">
        <f t="shared" si="8"/>
        <v>0</v>
      </c>
    </row>
    <row r="45" spans="1:10" s="8" customFormat="1">
      <c r="A45" s="8" t="str">
        <f t="shared" si="3"/>
        <v>SCHMAT-SITUS</v>
      </c>
      <c r="B45" s="43" t="s">
        <v>81</v>
      </c>
      <c r="C45" s="43" t="s">
        <v>204</v>
      </c>
      <c r="D45" s="43" t="s">
        <v>72</v>
      </c>
      <c r="E45" s="22">
        <v>-2394.7178000000026</v>
      </c>
      <c r="F45" s="22">
        <f t="shared" si="4"/>
        <v>-2394.7178000000026</v>
      </c>
      <c r="G45" s="22">
        <f t="shared" si="5"/>
        <v>0</v>
      </c>
      <c r="H45" s="22">
        <f t="shared" si="6"/>
        <v>0</v>
      </c>
      <c r="I45" s="22">
        <f t="shared" si="7"/>
        <v>0</v>
      </c>
      <c r="J45" s="22">
        <f t="shared" si="8"/>
        <v>0</v>
      </c>
    </row>
    <row r="46" spans="1:10" s="8" customFormat="1">
      <c r="A46" s="8" t="str">
        <f t="shared" si="3"/>
        <v>SCHMAT-SITUS</v>
      </c>
      <c r="B46" s="43" t="s">
        <v>81</v>
      </c>
      <c r="C46" s="43" t="s">
        <v>204</v>
      </c>
      <c r="D46" s="43" t="s">
        <v>120</v>
      </c>
      <c r="E46" s="22">
        <v>-11353.168529999999</v>
      </c>
      <c r="F46" s="22">
        <f t="shared" si="4"/>
        <v>-5171.5178502688113</v>
      </c>
      <c r="G46" s="22">
        <f t="shared" si="5"/>
        <v>-3039.9820838956416</v>
      </c>
      <c r="H46" s="22">
        <f t="shared" si="6"/>
        <v>-3141.6685958355456</v>
      </c>
      <c r="I46" s="22">
        <f t="shared" si="7"/>
        <v>0</v>
      </c>
      <c r="J46" s="22">
        <f t="shared" si="8"/>
        <v>0</v>
      </c>
    </row>
    <row r="47" spans="1:10" s="8" customFormat="1">
      <c r="A47" s="8" t="str">
        <f t="shared" si="3"/>
        <v>SCHMAT-SITUS</v>
      </c>
      <c r="B47" s="43" t="s">
        <v>81</v>
      </c>
      <c r="C47" s="43" t="s">
        <v>204</v>
      </c>
      <c r="D47" s="43" t="s">
        <v>113</v>
      </c>
      <c r="E47" s="22">
        <v>0</v>
      </c>
      <c r="F47" s="22">
        <f t="shared" si="4"/>
        <v>0</v>
      </c>
      <c r="G47" s="22">
        <f t="shared" si="5"/>
        <v>0</v>
      </c>
      <c r="H47" s="22">
        <f t="shared" si="6"/>
        <v>0</v>
      </c>
      <c r="I47" s="22">
        <f t="shared" si="7"/>
        <v>0</v>
      </c>
      <c r="J47" s="22">
        <f t="shared" si="8"/>
        <v>0</v>
      </c>
    </row>
    <row r="48" spans="1:10" s="8" customFormat="1">
      <c r="B48" s="62" t="s">
        <v>265</v>
      </c>
      <c r="C48" s="43"/>
      <c r="D48" s="43"/>
      <c r="E48" s="68">
        <f>SUMIF($A:$A,"SCHMAT-GPS",E:E)</f>
        <v>-3303.76494</v>
      </c>
      <c r="F48" s="68">
        <f>SUMIF($A:$A,"SCHMAT-GPS",F:F)</f>
        <v>-1477.6567146335035</v>
      </c>
      <c r="G48" s="68">
        <f t="shared" ref="G48:J48" si="9">SUMIF($A:$A,"SCHMAT-GPS",G:G)</f>
        <v>-884.4156803545734</v>
      </c>
      <c r="H48" s="68">
        <f t="shared" si="9"/>
        <v>-916.5228343936069</v>
      </c>
      <c r="I48" s="68">
        <f t="shared" si="9"/>
        <v>-25.169710618316223</v>
      </c>
      <c r="J48" s="68">
        <f t="shared" si="9"/>
        <v>0</v>
      </c>
    </row>
    <row r="49" spans="1:14" s="8" customFormat="1">
      <c r="B49" s="62" t="s">
        <v>224</v>
      </c>
      <c r="C49" s="43"/>
      <c r="D49" s="43"/>
      <c r="E49" s="68">
        <f t="shared" ref="E49:J49" si="10">SUMIF($A:$A,"SCHMAT-SE",E:E)</f>
        <v>10054.212360000001</v>
      </c>
      <c r="F49" s="68">
        <f t="shared" si="10"/>
        <v>10041.063519757325</v>
      </c>
      <c r="G49" s="68">
        <f t="shared" si="10"/>
        <v>2.1935372504193564</v>
      </c>
      <c r="H49" s="68">
        <f t="shared" si="10"/>
        <v>8.3126535479564545</v>
      </c>
      <c r="I49" s="68">
        <f t="shared" si="10"/>
        <v>2.6426494443005972</v>
      </c>
      <c r="J49" s="68">
        <f t="shared" si="10"/>
        <v>0</v>
      </c>
    </row>
    <row r="50" spans="1:14">
      <c r="A50" s="8" t="str">
        <f t="shared" ref="A50:A59" si="11">IF(C50="","",B50&amp;"-"&amp;C50)</f>
        <v/>
      </c>
      <c r="B50" s="62" t="s">
        <v>266</v>
      </c>
      <c r="E50" s="68">
        <f t="shared" ref="E50:J50" si="12">SUMIF($A:$A,"SCHMAT-SNP",E:E)</f>
        <v>62374.714049999995</v>
      </c>
      <c r="F50" s="68">
        <f t="shared" si="12"/>
        <v>28408.844516167308</v>
      </c>
      <c r="G50" s="68">
        <f t="shared" si="12"/>
        <v>16701.74115294452</v>
      </c>
      <c r="H50" s="68">
        <f t="shared" si="12"/>
        <v>17260.748413082365</v>
      </c>
      <c r="I50" s="68">
        <f t="shared" si="12"/>
        <v>3.3799678057999136</v>
      </c>
      <c r="J50" s="68">
        <f t="shared" si="12"/>
        <v>0</v>
      </c>
    </row>
    <row r="51" spans="1:14">
      <c r="A51" s="8" t="str">
        <f t="shared" si="11"/>
        <v/>
      </c>
      <c r="B51" s="62" t="s">
        <v>241</v>
      </c>
      <c r="E51" s="68">
        <f t="shared" ref="E51:J51" si="13">SUMIF($A:$A,"SCHMAT-SITUS",E:E)</f>
        <v>-21571.620920000001</v>
      </c>
      <c r="F51" s="68">
        <f t="shared" si="13"/>
        <v>-11397.96596194935</v>
      </c>
      <c r="G51" s="68">
        <f t="shared" si="13"/>
        <v>-3877.9690786561368</v>
      </c>
      <c r="H51" s="68">
        <f t="shared" si="13"/>
        <v>-6217.1984968031556</v>
      </c>
      <c r="I51" s="68">
        <f t="shared" si="13"/>
        <v>-1064.1256825913592</v>
      </c>
      <c r="J51" s="68">
        <f t="shared" si="13"/>
        <v>985.63829999999996</v>
      </c>
    </row>
    <row r="52" spans="1:14">
      <c r="B52" s="62" t="s">
        <v>226</v>
      </c>
      <c r="E52" s="68">
        <f t="shared" ref="E52:J52" si="14">SUMIF($A:$A,"SCHMAT-SO",E:E)</f>
        <v>35404.156020000002</v>
      </c>
      <c r="F52" s="68">
        <f t="shared" si="14"/>
        <v>15160.114801051712</v>
      </c>
      <c r="G52" s="68">
        <f t="shared" si="14"/>
        <v>3340.4003483941165</v>
      </c>
      <c r="H52" s="68">
        <f t="shared" si="14"/>
        <v>12812.249713655103</v>
      </c>
      <c r="I52" s="68">
        <f t="shared" si="14"/>
        <v>4091.3911568990679</v>
      </c>
      <c r="J52" s="68">
        <f t="shared" si="14"/>
        <v>0</v>
      </c>
    </row>
    <row r="53" spans="1:14">
      <c r="A53" s="8" t="str">
        <f t="shared" si="11"/>
        <v/>
      </c>
      <c r="B53" s="62" t="s">
        <v>267</v>
      </c>
      <c r="C53" s="43"/>
      <c r="D53" s="43"/>
      <c r="E53" s="68">
        <f t="shared" ref="E53:J53" si="15">SUMIF($B:$B,"SCHMAT",E:E)</f>
        <v>1043294.9215706949</v>
      </c>
      <c r="F53" s="68">
        <f t="shared" si="15"/>
        <v>351117.75685016043</v>
      </c>
      <c r="G53" s="68">
        <f t="shared" si="15"/>
        <v>301524.34441933321</v>
      </c>
      <c r="H53" s="68">
        <f t="shared" si="15"/>
        <v>449985.71661140077</v>
      </c>
      <c r="I53" s="68">
        <f t="shared" si="15"/>
        <v>10320.142629801001</v>
      </c>
      <c r="J53" s="68">
        <f t="shared" si="15"/>
        <v>-69653.038939999999</v>
      </c>
    </row>
    <row r="54" spans="1:14">
      <c r="B54" s="24" t="s">
        <v>83</v>
      </c>
      <c r="C54" s="43"/>
      <c r="D54" s="43"/>
      <c r="E54" s="39">
        <f t="shared" ref="E54:E59" si="16">SUM(F54:J54)</f>
        <v>1</v>
      </c>
      <c r="F54" s="40">
        <f t="shared" ref="F54:J59" si="17">IF(ISERROR(F48/$E48)," ",(F48/$E48))</f>
        <v>0.44726448202864683</v>
      </c>
      <c r="G54" s="40">
        <f t="shared" si="17"/>
        <v>0.26769933588391837</v>
      </c>
      <c r="H54" s="40">
        <f t="shared" si="17"/>
        <v>0.27741768892117574</v>
      </c>
      <c r="I54" s="40">
        <f t="shared" si="17"/>
        <v>7.6184931662590452E-3</v>
      </c>
      <c r="J54" s="40">
        <f t="shared" si="17"/>
        <v>0</v>
      </c>
    </row>
    <row r="55" spans="1:14">
      <c r="B55" s="24" t="s">
        <v>85</v>
      </c>
      <c r="C55" s="43"/>
      <c r="D55" s="43"/>
      <c r="E55" s="39">
        <f t="shared" si="16"/>
        <v>1</v>
      </c>
      <c r="F55" s="40">
        <f t="shared" si="17"/>
        <v>0.99869220583653195</v>
      </c>
      <c r="G55" s="40">
        <f t="shared" si="17"/>
        <v>2.1817096873209032E-4</v>
      </c>
      <c r="H55" s="40">
        <f t="shared" si="17"/>
        <v>8.2678316812043672E-4</v>
      </c>
      <c r="I55" s="40">
        <f t="shared" si="17"/>
        <v>2.628400266155306E-4</v>
      </c>
      <c r="J55" s="40">
        <f t="shared" si="17"/>
        <v>0</v>
      </c>
      <c r="K55" s="69"/>
      <c r="L55" s="69"/>
      <c r="M55" s="69"/>
      <c r="N55" s="69"/>
    </row>
    <row r="56" spans="1:14">
      <c r="A56" s="8" t="str">
        <f t="shared" si="11"/>
        <v/>
      </c>
      <c r="B56" s="24" t="s">
        <v>89</v>
      </c>
      <c r="C56" s="24"/>
      <c r="E56" s="39">
        <f t="shared" si="16"/>
        <v>1</v>
      </c>
      <c r="F56" s="40">
        <f t="shared" si="17"/>
        <v>0.45545450506425705</v>
      </c>
      <c r="G56" s="40">
        <f t="shared" si="17"/>
        <v>0.26776461274926711</v>
      </c>
      <c r="H56" s="40">
        <f t="shared" si="17"/>
        <v>0.27672669407744349</v>
      </c>
      <c r="I56" s="40">
        <f t="shared" si="17"/>
        <v>5.4188109032299665E-5</v>
      </c>
      <c r="J56" s="40">
        <f t="shared" si="17"/>
        <v>0</v>
      </c>
      <c r="K56" s="69"/>
      <c r="L56" s="69"/>
      <c r="M56" s="69"/>
      <c r="N56" s="69"/>
    </row>
    <row r="57" spans="1:14">
      <c r="A57" s="8" t="str">
        <f t="shared" si="11"/>
        <v/>
      </c>
      <c r="B57" s="24" t="s">
        <v>87</v>
      </c>
      <c r="C57" s="24"/>
      <c r="E57" s="39">
        <f t="shared" si="16"/>
        <v>1</v>
      </c>
      <c r="F57" s="40">
        <f t="shared" si="17"/>
        <v>0.52837781658687477</v>
      </c>
      <c r="G57" s="40">
        <f t="shared" si="17"/>
        <v>0.17977179800432616</v>
      </c>
      <c r="H57" s="40">
        <f t="shared" si="17"/>
        <v>0.2882119299175574</v>
      </c>
      <c r="I57" s="40">
        <f t="shared" si="17"/>
        <v>4.9329889790746387E-2</v>
      </c>
      <c r="J57" s="40">
        <f t="shared" si="17"/>
        <v>-4.5691434299504646E-2</v>
      </c>
      <c r="K57" s="69"/>
      <c r="L57" s="69"/>
      <c r="M57" s="69"/>
      <c r="N57" s="69"/>
    </row>
    <row r="58" spans="1:14">
      <c r="B58" s="24" t="s">
        <v>91</v>
      </c>
      <c r="C58" s="24"/>
      <c r="E58" s="39">
        <f t="shared" si="16"/>
        <v>1</v>
      </c>
      <c r="F58" s="40">
        <f t="shared" si="17"/>
        <v>0.42820155894939793</v>
      </c>
      <c r="G58" s="40">
        <f t="shared" si="17"/>
        <v>9.4350514852185888E-2</v>
      </c>
      <c r="H58" s="40">
        <f t="shared" si="17"/>
        <v>0.36188547204507271</v>
      </c>
      <c r="I58" s="40">
        <f t="shared" si="17"/>
        <v>0.11556245415334343</v>
      </c>
      <c r="J58" s="40">
        <f t="shared" si="17"/>
        <v>0</v>
      </c>
      <c r="K58" s="69"/>
      <c r="L58" s="69"/>
      <c r="M58" s="69"/>
      <c r="N58" s="69"/>
    </row>
    <row r="59" spans="1:14">
      <c r="A59" s="8" t="str">
        <f t="shared" si="11"/>
        <v/>
      </c>
      <c r="B59" s="24" t="s">
        <v>268</v>
      </c>
      <c r="C59" s="24"/>
      <c r="E59" s="39">
        <f t="shared" si="16"/>
        <v>1.0000000000000004</v>
      </c>
      <c r="F59" s="40">
        <f t="shared" si="17"/>
        <v>0.3365469816737417</v>
      </c>
      <c r="G59" s="40">
        <f t="shared" si="17"/>
        <v>0.28901160945496041</v>
      </c>
      <c r="H59" s="40">
        <f t="shared" si="17"/>
        <v>0.43131209335701653</v>
      </c>
      <c r="I59" s="40">
        <f t="shared" si="17"/>
        <v>9.8918746908725329E-3</v>
      </c>
      <c r="J59" s="40">
        <f t="shared" si="17"/>
        <v>-6.676255917659063E-2</v>
      </c>
      <c r="K59" s="69"/>
      <c r="L59" s="69"/>
      <c r="M59" s="69"/>
      <c r="N59" s="69"/>
    </row>
    <row r="60" spans="1:14" s="8" customFormat="1">
      <c r="B60" s="3"/>
      <c r="C60" s="3"/>
      <c r="E60" s="54"/>
      <c r="F60" s="23"/>
      <c r="G60" s="23"/>
      <c r="H60" s="23"/>
      <c r="I60" s="23"/>
      <c r="J60" s="23"/>
    </row>
    <row r="61" spans="1:14">
      <c r="A61" s="8" t="str">
        <f>IF(C61="","",B61&amp;"-"&amp;C61)</f>
        <v>SCHMAF-DGP</v>
      </c>
      <c r="B61" s="8" t="s">
        <v>75</v>
      </c>
      <c r="C61" s="8" t="s">
        <v>269</v>
      </c>
      <c r="D61" s="8" t="s">
        <v>72</v>
      </c>
      <c r="E61" s="22">
        <v>0</v>
      </c>
      <c r="F61" s="12">
        <f>VLOOKUP($D61,$D$143:$J$155,3,FALSE)*$E61</f>
        <v>0</v>
      </c>
      <c r="G61" s="12">
        <f>VLOOKUP($D61,$D$143:$J$155,4,FALSE)*$E61</f>
        <v>0</v>
      </c>
      <c r="H61" s="12">
        <f>VLOOKUP($D61,$D$143:$J$155,5,FALSE)*$E61</f>
        <v>0</v>
      </c>
      <c r="I61" s="12">
        <f>VLOOKUP($D61,$D$143:$J$155,6,FALSE)*$E61</f>
        <v>0</v>
      </c>
      <c r="J61" s="12">
        <f>VLOOKUP($D61,$D$143:$J$155,7,FALSE)*$E61</f>
        <v>0</v>
      </c>
    </row>
    <row r="62" spans="1:14">
      <c r="A62" s="8" t="str">
        <f>IF(C62="","",B62&amp;"-"&amp;C62)</f>
        <v>SCHMAF-TROJP</v>
      </c>
      <c r="B62" s="8" t="s">
        <v>75</v>
      </c>
      <c r="C62" s="8" t="s">
        <v>270</v>
      </c>
      <c r="D62" s="8" t="s">
        <v>72</v>
      </c>
      <c r="E62" s="68">
        <v>0</v>
      </c>
      <c r="F62" s="12">
        <f>VLOOKUP($D62,$D$143:$J$155,3,FALSE)*$E62</f>
        <v>0</v>
      </c>
      <c r="G62" s="12">
        <f>VLOOKUP($D62,$D$143:$J$155,4,FALSE)*$E62</f>
        <v>0</v>
      </c>
      <c r="H62" s="12">
        <f>VLOOKUP($D62,$D$143:$J$155,5,FALSE)*$E62</f>
        <v>0</v>
      </c>
      <c r="I62" s="12">
        <f>VLOOKUP($D62,$D$143:$J$155,6,FALSE)*$E62</f>
        <v>0</v>
      </c>
      <c r="J62" s="12">
        <f>VLOOKUP($D62,$D$143:$J$155,7,FALSE)*$E62</f>
        <v>0</v>
      </c>
    </row>
    <row r="63" spans="1:14">
      <c r="A63" s="8" t="str">
        <f t="shared" ref="A63:A127" si="18">IF(C63="","",B63&amp;"-"&amp;C63)</f>
        <v/>
      </c>
      <c r="B63" s="24" t="s">
        <v>271</v>
      </c>
      <c r="E63" s="68">
        <f t="shared" ref="E63:J63" si="19">SUMIF($A:$A,"SCHMAF",E:E)</f>
        <v>0</v>
      </c>
      <c r="F63" s="68">
        <f t="shared" si="19"/>
        <v>0</v>
      </c>
      <c r="G63" s="68">
        <f t="shared" si="19"/>
        <v>0</v>
      </c>
      <c r="H63" s="68">
        <f t="shared" si="19"/>
        <v>0</v>
      </c>
      <c r="I63" s="68">
        <f t="shared" si="19"/>
        <v>0</v>
      </c>
      <c r="J63" s="68">
        <f t="shared" si="19"/>
        <v>0</v>
      </c>
    </row>
    <row r="64" spans="1:14">
      <c r="A64" s="8" t="str">
        <f t="shared" si="18"/>
        <v/>
      </c>
      <c r="B64" s="24" t="s">
        <v>272</v>
      </c>
      <c r="C64" s="24"/>
      <c r="E64" s="39">
        <f>SUM(F64:J64)</f>
        <v>0</v>
      </c>
      <c r="F64" s="40" t="str">
        <f>IF(ISERROR(F63/$E63)," ",(F63/$E63))</f>
        <v xml:space="preserve"> </v>
      </c>
      <c r="G64" s="40" t="str">
        <f>IF(ISERROR(G63/$E63)," ",(G63/$E63))</f>
        <v xml:space="preserve"> </v>
      </c>
      <c r="H64" s="40" t="str">
        <f>IF(ISERROR(H63/$E63)," ",(H63/$E63))</f>
        <v xml:space="preserve"> </v>
      </c>
      <c r="I64" s="40" t="str">
        <f>IF(ISERROR(I63/$E63)," ",(I63/$E63))</f>
        <v xml:space="preserve"> </v>
      </c>
      <c r="J64" s="40" t="str">
        <f>IF(ISERROR(J63/$E63)," ",(J63/$E63))</f>
        <v xml:space="preserve"> </v>
      </c>
    </row>
    <row r="65" spans="1:10" s="8" customFormat="1">
      <c r="B65" s="3"/>
      <c r="C65" s="3"/>
      <c r="E65" s="54"/>
      <c r="F65" s="23"/>
      <c r="G65" s="23"/>
      <c r="H65" s="23"/>
      <c r="I65" s="23"/>
      <c r="J65" s="23"/>
    </row>
    <row r="66" spans="1:10">
      <c r="A66" s="8" t="str">
        <f t="shared" si="18"/>
        <v/>
      </c>
      <c r="B66" s="11" t="s">
        <v>273</v>
      </c>
      <c r="E66" s="22">
        <f t="shared" ref="E66:J66" si="20">SUM(E63,E53,E14)</f>
        <v>1045835.9197206949</v>
      </c>
      <c r="F66" s="22">
        <f t="shared" si="20"/>
        <v>352615.78606531967</v>
      </c>
      <c r="G66" s="22">
        <f t="shared" si="20"/>
        <v>301698.33628229448</v>
      </c>
      <c r="H66" s="22">
        <f t="shared" si="20"/>
        <v>450645.07814113272</v>
      </c>
      <c r="I66" s="22">
        <f t="shared" si="20"/>
        <v>10529.758171948521</v>
      </c>
      <c r="J66" s="22">
        <f t="shared" si="20"/>
        <v>-69653.038939999999</v>
      </c>
    </row>
    <row r="67" spans="1:10">
      <c r="A67" s="8" t="str">
        <f t="shared" si="18"/>
        <v/>
      </c>
      <c r="B67" s="24" t="s">
        <v>274</v>
      </c>
      <c r="C67" s="24"/>
      <c r="E67" s="39">
        <f>SUM(F67:J67)</f>
        <v>1.0000000000000004</v>
      </c>
      <c r="F67" s="40">
        <f>IF(ISERROR(F66/$E66)," ",(F66/$E66))</f>
        <v>0.33716167079008974</v>
      </c>
      <c r="G67" s="40">
        <f>IF(ISERROR(G66/$E66)," ",(G66/$E66))</f>
        <v>0.28847578343156088</v>
      </c>
      <c r="H67" s="40">
        <f>IF(ISERROR(H66/$E66)," ",(H66/$E66))</f>
        <v>0.43089462662697969</v>
      </c>
      <c r="I67" s="40">
        <f>IF(ISERROR(I66/$E66)," ",(I66/$E66))</f>
        <v>1.0068269767174032E-2</v>
      </c>
      <c r="J67" s="40">
        <f>IF(ISERROR(J66/$E66)," ",(J66/$E66))</f>
        <v>-6.6600350615803883E-2</v>
      </c>
    </row>
    <row r="68" spans="1:10" s="8" customFormat="1">
      <c r="B68" s="3"/>
      <c r="C68" s="3"/>
      <c r="E68" s="54"/>
      <c r="F68" s="23"/>
      <c r="G68" s="23"/>
      <c r="H68" s="23"/>
      <c r="I68" s="23"/>
      <c r="J68" s="23"/>
    </row>
    <row r="69" spans="1:10" ht="15.75">
      <c r="A69" s="8" t="str">
        <f t="shared" si="18"/>
        <v/>
      </c>
      <c r="B69" s="1" t="s">
        <v>275</v>
      </c>
      <c r="C69" s="2"/>
      <c r="D69" s="2"/>
      <c r="E69" s="2"/>
      <c r="F69" s="70"/>
      <c r="G69" s="70"/>
      <c r="H69" s="70"/>
      <c r="I69" s="70"/>
      <c r="J69" s="70"/>
    </row>
    <row r="70" spans="1:10">
      <c r="A70" s="8" t="str">
        <f t="shared" si="18"/>
        <v>SCHMDP-SCHMDEXP</v>
      </c>
      <c r="B70" s="43" t="s">
        <v>97</v>
      </c>
      <c r="C70" s="43" t="s">
        <v>255</v>
      </c>
      <c r="D70" s="43" t="s">
        <v>54</v>
      </c>
      <c r="E70" s="22">
        <v>0</v>
      </c>
      <c r="F70" s="12">
        <f t="shared" ref="F70:F75" si="21">VLOOKUP($D70,$D$143:$J$155,3,FALSE)*$E70</f>
        <v>0</v>
      </c>
      <c r="G70" s="12">
        <f t="shared" ref="G70:G75" si="22">VLOOKUP($D70,$D$143:$J$155,4,FALSE)*$E70</f>
        <v>0</v>
      </c>
      <c r="H70" s="12">
        <f t="shared" ref="H70:H75" si="23">VLOOKUP($D70,$D$143:$J$155,5,FALSE)*$E70</f>
        <v>0</v>
      </c>
      <c r="I70" s="12">
        <f t="shared" ref="I70:I75" si="24">VLOOKUP($D70,$D$143:$J$155,6,FALSE)*$E70</f>
        <v>0</v>
      </c>
      <c r="J70" s="12">
        <f t="shared" ref="J70:J75" si="25">VLOOKUP($D70,$D$143:$J$155,7,FALSE)*$E70</f>
        <v>0</v>
      </c>
    </row>
    <row r="71" spans="1:10">
      <c r="A71" s="8" t="str">
        <f t="shared" si="18"/>
        <v>SCHMDP-SE</v>
      </c>
      <c r="B71" s="43" t="s">
        <v>97</v>
      </c>
      <c r="C71" s="43" t="s">
        <v>166</v>
      </c>
      <c r="D71" s="43" t="s">
        <v>72</v>
      </c>
      <c r="E71" s="22">
        <v>4039.1999900000001</v>
      </c>
      <c r="F71" s="12">
        <f t="shared" si="21"/>
        <v>4039.1999900000001</v>
      </c>
      <c r="G71" s="12">
        <f t="shared" si="22"/>
        <v>0</v>
      </c>
      <c r="H71" s="12">
        <f t="shared" si="23"/>
        <v>0</v>
      </c>
      <c r="I71" s="12">
        <f t="shared" si="24"/>
        <v>0</v>
      </c>
      <c r="J71" s="12">
        <f t="shared" si="25"/>
        <v>0</v>
      </c>
    </row>
    <row r="72" spans="1:10">
      <c r="A72" s="8" t="str">
        <f t="shared" si="18"/>
        <v>SCHMDP-SG</v>
      </c>
      <c r="B72" s="43" t="s">
        <v>97</v>
      </c>
      <c r="C72" s="43" t="s">
        <v>202</v>
      </c>
      <c r="D72" s="43" t="s">
        <v>72</v>
      </c>
      <c r="E72" s="22">
        <v>0</v>
      </c>
      <c r="F72" s="12">
        <f t="shared" si="21"/>
        <v>0</v>
      </c>
      <c r="G72" s="12">
        <f t="shared" si="22"/>
        <v>0</v>
      </c>
      <c r="H72" s="12">
        <f t="shared" si="23"/>
        <v>0</v>
      </c>
      <c r="I72" s="12">
        <f t="shared" si="24"/>
        <v>0</v>
      </c>
      <c r="J72" s="12">
        <f t="shared" si="25"/>
        <v>0</v>
      </c>
    </row>
    <row r="73" spans="1:10">
      <c r="A73" s="8" t="str">
        <f t="shared" si="18"/>
        <v>SCHMDP-SNP</v>
      </c>
      <c r="B73" s="43" t="s">
        <v>97</v>
      </c>
      <c r="C73" s="43" t="s">
        <v>262</v>
      </c>
      <c r="D73" s="43" t="s">
        <v>120</v>
      </c>
      <c r="E73" s="22">
        <v>107.93467</v>
      </c>
      <c r="F73" s="12">
        <f t="shared" si="21"/>
        <v>49.165664289480389</v>
      </c>
      <c r="G73" s="12">
        <f t="shared" si="22"/>
        <v>28.901135587316823</v>
      </c>
      <c r="H73" s="12">
        <f t="shared" si="23"/>
        <v>29.867870123202778</v>
      </c>
      <c r="I73" s="12">
        <f t="shared" si="24"/>
        <v>0</v>
      </c>
      <c r="J73" s="12">
        <f t="shared" si="25"/>
        <v>0</v>
      </c>
    </row>
    <row r="74" spans="1:10">
      <c r="A74" s="8" t="str">
        <f t="shared" si="18"/>
        <v>SCHMDP-SO</v>
      </c>
      <c r="B74" s="43" t="s">
        <v>97</v>
      </c>
      <c r="C74" s="43" t="s">
        <v>203</v>
      </c>
      <c r="D74" s="43" t="s">
        <v>54</v>
      </c>
      <c r="E74" s="22">
        <v>0</v>
      </c>
      <c r="F74" s="12">
        <f t="shared" si="21"/>
        <v>0</v>
      </c>
      <c r="G74" s="12">
        <f t="shared" si="22"/>
        <v>0</v>
      </c>
      <c r="H74" s="12">
        <f t="shared" si="23"/>
        <v>0</v>
      </c>
      <c r="I74" s="12">
        <f t="shared" si="24"/>
        <v>0</v>
      </c>
      <c r="J74" s="12">
        <f t="shared" si="25"/>
        <v>0</v>
      </c>
    </row>
    <row r="75" spans="1:10">
      <c r="A75" s="8" t="str">
        <f t="shared" si="18"/>
        <v>SCHMDP-SITUS</v>
      </c>
      <c r="B75" s="43" t="s">
        <v>97</v>
      </c>
      <c r="C75" s="43" t="s">
        <v>204</v>
      </c>
      <c r="D75" s="43" t="s">
        <v>120</v>
      </c>
      <c r="E75" s="22">
        <v>0</v>
      </c>
      <c r="F75" s="12">
        <f t="shared" si="21"/>
        <v>0</v>
      </c>
      <c r="G75" s="12">
        <f t="shared" si="22"/>
        <v>0</v>
      </c>
      <c r="H75" s="12">
        <f t="shared" si="23"/>
        <v>0</v>
      </c>
      <c r="I75" s="12">
        <f t="shared" si="24"/>
        <v>0</v>
      </c>
      <c r="J75" s="12">
        <f t="shared" si="25"/>
        <v>0</v>
      </c>
    </row>
    <row r="76" spans="1:10">
      <c r="B76" s="24" t="s">
        <v>226</v>
      </c>
      <c r="C76" s="43"/>
      <c r="D76" s="43"/>
      <c r="E76" s="53">
        <f t="shared" ref="E76:J76" si="26">SUMIF($A:$A,"SCHMDP-SO",E:E)</f>
        <v>0</v>
      </c>
      <c r="F76" s="53">
        <f t="shared" si="26"/>
        <v>0</v>
      </c>
      <c r="G76" s="53">
        <f t="shared" si="26"/>
        <v>0</v>
      </c>
      <c r="H76" s="53">
        <f t="shared" si="26"/>
        <v>0</v>
      </c>
      <c r="I76" s="53">
        <f t="shared" si="26"/>
        <v>0</v>
      </c>
      <c r="J76" s="53">
        <f t="shared" si="26"/>
        <v>0</v>
      </c>
    </row>
    <row r="77" spans="1:10">
      <c r="A77" s="8" t="str">
        <f t="shared" si="18"/>
        <v/>
      </c>
      <c r="B77" s="24" t="s">
        <v>276</v>
      </c>
      <c r="E77" s="22">
        <f t="shared" ref="E77:J77" si="27">SUMIF($B:$B,"SCHMDP",E:E)</f>
        <v>4147.1346599999997</v>
      </c>
      <c r="F77" s="22">
        <f t="shared" si="27"/>
        <v>4088.3656542894805</v>
      </c>
      <c r="G77" s="22">
        <f t="shared" si="27"/>
        <v>28.901135587316823</v>
      </c>
      <c r="H77" s="22">
        <f t="shared" si="27"/>
        <v>29.867870123202778</v>
      </c>
      <c r="I77" s="22">
        <f t="shared" si="27"/>
        <v>0</v>
      </c>
      <c r="J77" s="22">
        <f t="shared" si="27"/>
        <v>0</v>
      </c>
    </row>
    <row r="78" spans="1:10">
      <c r="A78" s="8" t="str">
        <f t="shared" si="18"/>
        <v/>
      </c>
      <c r="B78" s="24" t="s">
        <v>99</v>
      </c>
      <c r="C78" s="24"/>
      <c r="E78" s="39">
        <f>SUM(F78:J78)</f>
        <v>0</v>
      </c>
      <c r="F78" s="40" t="str">
        <f>IF(ISERROR(F76/$E76)," ",(F76/$E76))</f>
        <v xml:space="preserve"> </v>
      </c>
      <c r="G78" s="40" t="str">
        <f t="shared" ref="F78:J79" si="28">IF(ISERROR(G76/$E76)," ",(G76/$E76))</f>
        <v xml:space="preserve"> </v>
      </c>
      <c r="H78" s="40" t="str">
        <f t="shared" si="28"/>
        <v xml:space="preserve"> </v>
      </c>
      <c r="I78" s="40" t="str">
        <f t="shared" si="28"/>
        <v xml:space="preserve"> </v>
      </c>
      <c r="J78" s="40" t="str">
        <f t="shared" si="28"/>
        <v xml:space="preserve"> </v>
      </c>
    </row>
    <row r="79" spans="1:10">
      <c r="A79" s="8" t="str">
        <f t="shared" si="18"/>
        <v/>
      </c>
      <c r="B79" s="24" t="s">
        <v>277</v>
      </c>
      <c r="C79" s="24"/>
      <c r="E79" s="39">
        <f>SUM(F79:J79)</f>
        <v>1.0000000000000002</v>
      </c>
      <c r="F79" s="40">
        <f t="shared" si="28"/>
        <v>0.98582900953823405</v>
      </c>
      <c r="G79" s="40">
        <f t="shared" si="28"/>
        <v>6.9689407161224962E-3</v>
      </c>
      <c r="H79" s="40">
        <f t="shared" si="28"/>
        <v>7.2020497456436053E-3</v>
      </c>
      <c r="I79" s="40">
        <f t="shared" si="28"/>
        <v>0</v>
      </c>
      <c r="J79" s="40">
        <f t="shared" si="28"/>
        <v>0</v>
      </c>
    </row>
    <row r="80" spans="1:10" s="8" customFormat="1">
      <c r="B80" s="3"/>
      <c r="C80" s="3"/>
      <c r="E80" s="54"/>
      <c r="F80" s="23"/>
      <c r="G80" s="23"/>
      <c r="H80" s="23"/>
      <c r="I80" s="23"/>
      <c r="J80" s="23"/>
    </row>
    <row r="81" spans="1:11">
      <c r="A81" s="8" t="str">
        <f t="shared" si="18"/>
        <v>SCHMDT-BADDEBT</v>
      </c>
      <c r="B81" s="43" t="s">
        <v>101</v>
      </c>
      <c r="C81" s="43" t="s">
        <v>259</v>
      </c>
      <c r="D81" s="43" t="s">
        <v>8</v>
      </c>
      <c r="E81" s="22">
        <v>0</v>
      </c>
      <c r="F81" s="22">
        <f t="shared" ref="F81:F111" si="29">VLOOKUP($D81,$D$143:$J$155,3,FALSE)*$E81</f>
        <v>0</v>
      </c>
      <c r="G81" s="22">
        <f t="shared" ref="G81:G111" si="30">VLOOKUP($D81,$D$143:$J$155,4,FALSE)*$E81</f>
        <v>0</v>
      </c>
      <c r="H81" s="22">
        <f t="shared" ref="H81:H111" si="31">VLOOKUP($D81,$D$143:$J$155,5,FALSE)*$E81</f>
        <v>0</v>
      </c>
      <c r="I81" s="22">
        <f t="shared" ref="I81:I111" si="32">VLOOKUP($D81,$D$143:$J$155,6,FALSE)*$E81</f>
        <v>0</v>
      </c>
      <c r="J81" s="22">
        <f t="shared" ref="J81:J111" si="33">VLOOKUP($D81,$D$143:$J$155,7,FALSE)*$E81</f>
        <v>0</v>
      </c>
    </row>
    <row r="82" spans="1:11">
      <c r="A82" s="8" t="str">
        <f t="shared" si="18"/>
        <v>SCHMDT-CN</v>
      </c>
      <c r="B82" s="43" t="s">
        <v>101</v>
      </c>
      <c r="C82" s="43" t="s">
        <v>214</v>
      </c>
      <c r="D82" s="43" t="s">
        <v>8</v>
      </c>
      <c r="E82" s="22">
        <v>0</v>
      </c>
      <c r="F82" s="22">
        <f t="shared" si="29"/>
        <v>0</v>
      </c>
      <c r="G82" s="22">
        <f t="shared" si="30"/>
        <v>0</v>
      </c>
      <c r="H82" s="22">
        <f t="shared" si="31"/>
        <v>0</v>
      </c>
      <c r="I82" s="22">
        <f t="shared" si="32"/>
        <v>0</v>
      </c>
      <c r="J82" s="22">
        <f t="shared" si="33"/>
        <v>0</v>
      </c>
    </row>
    <row r="83" spans="1:11">
      <c r="A83" s="8" t="str">
        <f t="shared" si="18"/>
        <v>SCHMDT-GPS</v>
      </c>
      <c r="B83" s="43" t="s">
        <v>101</v>
      </c>
      <c r="C83" s="43" t="s">
        <v>260</v>
      </c>
      <c r="D83" s="43" t="s">
        <v>38</v>
      </c>
      <c r="E83" s="22">
        <v>0</v>
      </c>
      <c r="F83" s="22">
        <f t="shared" si="29"/>
        <v>0</v>
      </c>
      <c r="G83" s="22">
        <f t="shared" si="30"/>
        <v>0</v>
      </c>
      <c r="H83" s="22">
        <f t="shared" si="31"/>
        <v>0</v>
      </c>
      <c r="I83" s="22">
        <f t="shared" si="32"/>
        <v>0</v>
      </c>
      <c r="J83" s="22">
        <f t="shared" si="33"/>
        <v>0</v>
      </c>
    </row>
    <row r="84" spans="1:11">
      <c r="A84" s="8" t="str">
        <f t="shared" si="18"/>
        <v>SCHMDT-GPS</v>
      </c>
      <c r="B84" s="43" t="s">
        <v>101</v>
      </c>
      <c r="C84" s="43" t="s">
        <v>260</v>
      </c>
      <c r="D84" s="43" t="s">
        <v>72</v>
      </c>
      <c r="E84" s="22">
        <v>0</v>
      </c>
      <c r="F84" s="22">
        <f t="shared" si="29"/>
        <v>0</v>
      </c>
      <c r="G84" s="22">
        <f t="shared" si="30"/>
        <v>0</v>
      </c>
      <c r="H84" s="22">
        <f t="shared" si="31"/>
        <v>0</v>
      </c>
      <c r="I84" s="22">
        <f t="shared" si="32"/>
        <v>0</v>
      </c>
      <c r="J84" s="22">
        <f t="shared" si="33"/>
        <v>0</v>
      </c>
    </row>
    <row r="85" spans="1:11">
      <c r="A85" s="8" t="str">
        <f t="shared" si="18"/>
        <v>SCHMDT-GPS</v>
      </c>
      <c r="B85" s="43" t="s">
        <v>101</v>
      </c>
      <c r="C85" s="43" t="s">
        <v>260</v>
      </c>
      <c r="D85" s="43" t="s">
        <v>120</v>
      </c>
      <c r="E85" s="22">
        <v>128457.04247</v>
      </c>
      <c r="F85" s="22">
        <f t="shared" si="29"/>
        <v>58513.875344220214</v>
      </c>
      <c r="G85" s="22">
        <f t="shared" si="30"/>
        <v>34396.310301140358</v>
      </c>
      <c r="H85" s="22">
        <f t="shared" si="31"/>
        <v>35546.856824639421</v>
      </c>
      <c r="I85" s="22">
        <f t="shared" si="32"/>
        <v>0</v>
      </c>
      <c r="J85" s="22">
        <f t="shared" si="33"/>
        <v>0</v>
      </c>
    </row>
    <row r="86" spans="1:11">
      <c r="A86" s="8" t="str">
        <f t="shared" si="18"/>
        <v>SCHMDT-SG</v>
      </c>
      <c r="B86" s="43" t="s">
        <v>101</v>
      </c>
      <c r="C86" s="43" t="s">
        <v>202</v>
      </c>
      <c r="D86" s="43" t="s">
        <v>72</v>
      </c>
      <c r="E86" s="22">
        <v>174691.21514000001</v>
      </c>
      <c r="F86" s="22">
        <f t="shared" si="29"/>
        <v>174691.21514000001</v>
      </c>
      <c r="G86" s="22">
        <f t="shared" si="30"/>
        <v>0</v>
      </c>
      <c r="H86" s="22">
        <f t="shared" si="31"/>
        <v>0</v>
      </c>
      <c r="I86" s="22">
        <f t="shared" si="32"/>
        <v>0</v>
      </c>
      <c r="J86" s="22">
        <f t="shared" si="33"/>
        <v>0</v>
      </c>
    </row>
    <row r="87" spans="1:11">
      <c r="A87" s="8" t="str">
        <f>IF(C87="","",B87&amp;"-"&amp;C87)</f>
        <v>SCHMDT-SG</v>
      </c>
      <c r="B87" s="43" t="s">
        <v>101</v>
      </c>
      <c r="C87" s="43" t="s">
        <v>202</v>
      </c>
      <c r="D87" s="43" t="s">
        <v>113</v>
      </c>
      <c r="E87" s="22">
        <v>-1344.2661000000001</v>
      </c>
      <c r="F87" s="22">
        <f t="shared" si="29"/>
        <v>0</v>
      </c>
      <c r="G87" s="22">
        <f t="shared" si="30"/>
        <v>-1344.2661000000001</v>
      </c>
      <c r="H87" s="22">
        <f t="shared" si="31"/>
        <v>0</v>
      </c>
      <c r="I87" s="22">
        <f t="shared" si="32"/>
        <v>0</v>
      </c>
      <c r="J87" s="22">
        <f t="shared" si="33"/>
        <v>0</v>
      </c>
    </row>
    <row r="88" spans="1:11">
      <c r="A88" s="8" t="str">
        <f t="shared" si="18"/>
        <v>SCHMDT-SE</v>
      </c>
      <c r="B88" s="43" t="s">
        <v>101</v>
      </c>
      <c r="C88" s="43" t="s">
        <v>166</v>
      </c>
      <c r="D88" s="43" t="s">
        <v>72</v>
      </c>
      <c r="E88" s="22">
        <v>16217.392840000002</v>
      </c>
      <c r="F88" s="22">
        <f t="shared" si="29"/>
        <v>16217.392840000002</v>
      </c>
      <c r="G88" s="22">
        <f t="shared" si="30"/>
        <v>0</v>
      </c>
      <c r="H88" s="22">
        <f t="shared" si="31"/>
        <v>0</v>
      </c>
      <c r="I88" s="22">
        <f t="shared" si="32"/>
        <v>0</v>
      </c>
      <c r="J88" s="22">
        <f t="shared" si="33"/>
        <v>0</v>
      </c>
    </row>
    <row r="89" spans="1:11">
      <c r="A89" s="8" t="str">
        <f>IF(C89="","",B89&amp;"-"&amp;C89)</f>
        <v>SCHMDT-SNPD</v>
      </c>
      <c r="B89" s="43" t="s">
        <v>101</v>
      </c>
      <c r="C89" s="43" t="s">
        <v>263</v>
      </c>
      <c r="D89" s="43" t="s">
        <v>7</v>
      </c>
      <c r="E89" s="22">
        <v>-254.93109999999999</v>
      </c>
      <c r="F89" s="22">
        <f t="shared" si="29"/>
        <v>0</v>
      </c>
      <c r="G89" s="22">
        <f t="shared" si="30"/>
        <v>0</v>
      </c>
      <c r="H89" s="22">
        <f t="shared" si="31"/>
        <v>-254.93109999999999</v>
      </c>
      <c r="I89" s="22">
        <f t="shared" si="32"/>
        <v>0</v>
      </c>
      <c r="J89" s="22">
        <f t="shared" si="33"/>
        <v>0</v>
      </c>
    </row>
    <row r="90" spans="1:11">
      <c r="A90" s="8" t="str">
        <f>IF(C90="","",B90&amp;"-"&amp;C90)</f>
        <v>SCHMDT-SNPD</v>
      </c>
      <c r="B90" s="43" t="s">
        <v>101</v>
      </c>
      <c r="C90" s="43" t="s">
        <v>263</v>
      </c>
      <c r="D90" s="43" t="s">
        <v>72</v>
      </c>
      <c r="E90" s="22">
        <v>166.45514</v>
      </c>
      <c r="F90" s="22">
        <f t="shared" si="29"/>
        <v>166.45514</v>
      </c>
      <c r="G90" s="22">
        <f t="shared" si="30"/>
        <v>0</v>
      </c>
      <c r="H90" s="22">
        <f t="shared" si="31"/>
        <v>0</v>
      </c>
      <c r="I90" s="22">
        <f t="shared" si="32"/>
        <v>0</v>
      </c>
      <c r="J90" s="22">
        <f t="shared" si="33"/>
        <v>0</v>
      </c>
    </row>
    <row r="91" spans="1:11">
      <c r="A91" s="8" t="str">
        <f t="shared" si="18"/>
        <v>SCHMDT-SNP</v>
      </c>
      <c r="B91" s="43" t="s">
        <v>101</v>
      </c>
      <c r="C91" s="43" t="s">
        <v>262</v>
      </c>
      <c r="D91" s="43" t="s">
        <v>120</v>
      </c>
      <c r="E91" s="22">
        <v>102338.95664999999</v>
      </c>
      <c r="F91" s="22">
        <f t="shared" si="29"/>
        <v>46616.743131651638</v>
      </c>
      <c r="G91" s="22">
        <f t="shared" si="30"/>
        <v>27402.798952423615</v>
      </c>
      <c r="H91" s="22">
        <f t="shared" si="31"/>
        <v>28319.414565924733</v>
      </c>
      <c r="I91" s="22">
        <f t="shared" si="32"/>
        <v>0</v>
      </c>
      <c r="J91" s="22">
        <f t="shared" si="33"/>
        <v>0</v>
      </c>
    </row>
    <row r="92" spans="1:11">
      <c r="A92" s="8" t="str">
        <f t="shared" si="18"/>
        <v>SCHMDT-SO</v>
      </c>
      <c r="B92" s="43" t="s">
        <v>101</v>
      </c>
      <c r="C92" s="43" t="s">
        <v>203</v>
      </c>
      <c r="D92" s="43" t="s">
        <v>28</v>
      </c>
      <c r="E92" s="22">
        <v>2680.6589600000002</v>
      </c>
      <c r="F92" s="22">
        <f t="shared" si="29"/>
        <v>804.19768800000008</v>
      </c>
      <c r="G92" s="22">
        <f t="shared" si="30"/>
        <v>268.06589600000001</v>
      </c>
      <c r="H92" s="22">
        <f t="shared" si="31"/>
        <v>1608.3953760000002</v>
      </c>
      <c r="I92" s="22">
        <f t="shared" si="32"/>
        <v>0</v>
      </c>
      <c r="J92" s="22">
        <f t="shared" si="33"/>
        <v>0</v>
      </c>
    </row>
    <row r="93" spans="1:11">
      <c r="A93" s="8" t="str">
        <f t="shared" si="18"/>
        <v>SCHMDT-SO</v>
      </c>
      <c r="B93" s="43" t="s">
        <v>101</v>
      </c>
      <c r="C93" s="43" t="s">
        <v>203</v>
      </c>
      <c r="D93" s="43" t="s">
        <v>38</v>
      </c>
      <c r="E93" s="22">
        <v>10828.269</v>
      </c>
      <c r="F93" s="22">
        <f t="shared" si="29"/>
        <v>4843.100125551854</v>
      </c>
      <c r="G93" s="22">
        <f t="shared" si="30"/>
        <v>2898.7204200724209</v>
      </c>
      <c r="H93" s="22">
        <f t="shared" si="31"/>
        <v>3003.9533609968107</v>
      </c>
      <c r="I93" s="22">
        <f t="shared" si="32"/>
        <v>82.49509337891466</v>
      </c>
      <c r="J93" s="22">
        <f t="shared" si="33"/>
        <v>0</v>
      </c>
    </row>
    <row r="94" spans="1:11">
      <c r="A94" s="8" t="str">
        <f t="shared" si="18"/>
        <v>SCHMDT-SO</v>
      </c>
      <c r="B94" s="43" t="s">
        <v>101</v>
      </c>
      <c r="C94" s="43" t="s">
        <v>203</v>
      </c>
      <c r="D94" s="43" t="s">
        <v>54</v>
      </c>
      <c r="E94" s="22">
        <v>-168283.34246999997</v>
      </c>
      <c r="F94" s="22">
        <f t="shared" si="29"/>
        <v>-72086.021122220161</v>
      </c>
      <c r="G94" s="22">
        <f t="shared" si="30"/>
        <v>-16047.986276542153</v>
      </c>
      <c r="H94" s="22">
        <f t="shared" si="31"/>
        <v>-60815.630112390929</v>
      </c>
      <c r="I94" s="22">
        <f t="shared" si="32"/>
        <v>-19333.704958846727</v>
      </c>
      <c r="J94" s="22">
        <f t="shared" si="33"/>
        <v>0</v>
      </c>
    </row>
    <row r="95" spans="1:11">
      <c r="A95" s="8" t="str">
        <f t="shared" si="18"/>
        <v>SCHMDT-SO</v>
      </c>
      <c r="B95" s="43" t="s">
        <v>101</v>
      </c>
      <c r="C95" s="43" t="s">
        <v>203</v>
      </c>
      <c r="D95" s="43" t="s">
        <v>120</v>
      </c>
      <c r="E95" s="22">
        <v>136245.84138000003</v>
      </c>
      <c r="F95" s="22">
        <f t="shared" si="29"/>
        <v>62061.775869856065</v>
      </c>
      <c r="G95" s="22">
        <f t="shared" si="30"/>
        <v>36481.878667266428</v>
      </c>
      <c r="H95" s="22">
        <f t="shared" si="31"/>
        <v>37702.186842877527</v>
      </c>
      <c r="I95" s="22">
        <f t="shared" si="32"/>
        <v>0</v>
      </c>
      <c r="J95" s="22">
        <f t="shared" si="33"/>
        <v>0</v>
      </c>
    </row>
    <row r="96" spans="1:11">
      <c r="A96" s="8" t="str">
        <f>IF(C96="","",B96&amp;"-"&amp;C96)</f>
        <v>SCHMDT-OTHER</v>
      </c>
      <c r="B96" s="43" t="s">
        <v>101</v>
      </c>
      <c r="C96" s="43" t="s">
        <v>201</v>
      </c>
      <c r="D96" s="43" t="s">
        <v>8</v>
      </c>
      <c r="E96" s="22">
        <v>524.28918000000021</v>
      </c>
      <c r="F96" s="22">
        <f t="shared" si="29"/>
        <v>0</v>
      </c>
      <c r="G96" s="22">
        <f t="shared" si="30"/>
        <v>0</v>
      </c>
      <c r="H96" s="22">
        <f t="shared" si="31"/>
        <v>0</v>
      </c>
      <c r="I96" s="22">
        <f t="shared" si="32"/>
        <v>524.28918000000021</v>
      </c>
      <c r="J96" s="22">
        <f t="shared" si="33"/>
        <v>0</v>
      </c>
      <c r="K96" s="8"/>
    </row>
    <row r="97" spans="1:11">
      <c r="A97" s="8" t="str">
        <f t="shared" si="18"/>
        <v>SCHMDT-OTHER</v>
      </c>
      <c r="B97" s="43" t="s">
        <v>101</v>
      </c>
      <c r="C97" s="43" t="s">
        <v>201</v>
      </c>
      <c r="D97" s="43" t="s">
        <v>18</v>
      </c>
      <c r="E97" s="22">
        <v>-124.29024</v>
      </c>
      <c r="F97" s="22">
        <f t="shared" si="29"/>
        <v>-156.22874004440047</v>
      </c>
      <c r="G97" s="22">
        <f t="shared" si="30"/>
        <v>4.9764061396225001</v>
      </c>
      <c r="H97" s="22">
        <f t="shared" si="31"/>
        <v>24.099374813300923</v>
      </c>
      <c r="I97" s="22">
        <f t="shared" si="32"/>
        <v>3.1389012020443237</v>
      </c>
      <c r="J97" s="22">
        <f t="shared" si="33"/>
        <v>-0.2761821105672892</v>
      </c>
      <c r="K97" s="8"/>
    </row>
    <row r="98" spans="1:11">
      <c r="A98" s="8" t="str">
        <f t="shared" si="18"/>
        <v>SCHMDT-OTHER</v>
      </c>
      <c r="B98" s="43" t="s">
        <v>101</v>
      </c>
      <c r="C98" s="43" t="s">
        <v>201</v>
      </c>
      <c r="D98" s="43" t="s">
        <v>9</v>
      </c>
      <c r="E98" s="22">
        <v>-2720.2367899999999</v>
      </c>
      <c r="F98" s="22">
        <f t="shared" si="29"/>
        <v>0</v>
      </c>
      <c r="G98" s="22">
        <f t="shared" si="30"/>
        <v>0</v>
      </c>
      <c r="H98" s="22">
        <f t="shared" si="31"/>
        <v>0</v>
      </c>
      <c r="I98" s="22">
        <f t="shared" si="32"/>
        <v>0</v>
      </c>
      <c r="J98" s="22">
        <f t="shared" si="33"/>
        <v>-2720.2367899999999</v>
      </c>
      <c r="K98" s="8"/>
    </row>
    <row r="99" spans="1:11">
      <c r="A99" s="8" t="str">
        <f t="shared" si="18"/>
        <v>SCHMDT-OTHER</v>
      </c>
      <c r="B99" s="43" t="s">
        <v>101</v>
      </c>
      <c r="C99" s="43" t="s">
        <v>201</v>
      </c>
      <c r="D99" s="43" t="s">
        <v>7</v>
      </c>
      <c r="E99" s="22">
        <v>0</v>
      </c>
      <c r="F99" s="22">
        <f t="shared" si="29"/>
        <v>0</v>
      </c>
      <c r="G99" s="22">
        <f t="shared" si="30"/>
        <v>0</v>
      </c>
      <c r="H99" s="22">
        <f t="shared" si="31"/>
        <v>0</v>
      </c>
      <c r="I99" s="22">
        <f t="shared" si="32"/>
        <v>0</v>
      </c>
      <c r="J99" s="22">
        <f t="shared" si="33"/>
        <v>0</v>
      </c>
      <c r="K99" s="8"/>
    </row>
    <row r="100" spans="1:11">
      <c r="A100" s="8" t="str">
        <f t="shared" si="18"/>
        <v>SCHMDT-OTHER</v>
      </c>
      <c r="B100" s="43" t="s">
        <v>101</v>
      </c>
      <c r="C100" s="43" t="s">
        <v>201</v>
      </c>
      <c r="D100" s="43" t="s">
        <v>54</v>
      </c>
      <c r="E100" s="22">
        <v>12629.0903</v>
      </c>
      <c r="F100" s="22">
        <f t="shared" si="29"/>
        <v>5409.8097693924774</v>
      </c>
      <c r="G100" s="22">
        <f t="shared" si="30"/>
        <v>1204.3465790783305</v>
      </c>
      <c r="H100" s="22">
        <f t="shared" si="31"/>
        <v>4564.0054034326331</v>
      </c>
      <c r="I100" s="22">
        <f t="shared" si="32"/>
        <v>1450.9285480965593</v>
      </c>
      <c r="J100" s="22">
        <f t="shared" si="33"/>
        <v>0</v>
      </c>
      <c r="K100" s="8"/>
    </row>
    <row r="101" spans="1:11">
      <c r="A101" s="8" t="str">
        <f t="shared" si="18"/>
        <v>SCHMDT-OTHER</v>
      </c>
      <c r="B101" s="43" t="s">
        <v>101</v>
      </c>
      <c r="C101" s="43" t="s">
        <v>201</v>
      </c>
      <c r="D101" s="43" t="s">
        <v>72</v>
      </c>
      <c r="E101" s="22">
        <v>206537.02249999996</v>
      </c>
      <c r="F101" s="22">
        <f t="shared" si="29"/>
        <v>206537.02249999996</v>
      </c>
      <c r="G101" s="22">
        <f t="shared" si="30"/>
        <v>0</v>
      </c>
      <c r="H101" s="22">
        <f t="shared" si="31"/>
        <v>0</v>
      </c>
      <c r="I101" s="22">
        <f t="shared" si="32"/>
        <v>0</v>
      </c>
      <c r="J101" s="22">
        <f t="shared" si="33"/>
        <v>0</v>
      </c>
      <c r="K101" s="8"/>
    </row>
    <row r="102" spans="1:11">
      <c r="A102" s="8" t="str">
        <f t="shared" si="18"/>
        <v>SCHMDT-OTHER</v>
      </c>
      <c r="B102" s="43" t="s">
        <v>101</v>
      </c>
      <c r="C102" s="43" t="s">
        <v>201</v>
      </c>
      <c r="D102" s="43" t="s">
        <v>118</v>
      </c>
      <c r="E102" s="22">
        <v>0</v>
      </c>
      <c r="F102" s="22">
        <f t="shared" si="29"/>
        <v>0</v>
      </c>
      <c r="G102" s="22">
        <f t="shared" si="30"/>
        <v>0</v>
      </c>
      <c r="H102" s="22">
        <f t="shared" si="31"/>
        <v>0</v>
      </c>
      <c r="I102" s="22">
        <f t="shared" si="32"/>
        <v>0</v>
      </c>
      <c r="J102" s="22">
        <f t="shared" si="33"/>
        <v>0</v>
      </c>
      <c r="K102" s="8"/>
    </row>
    <row r="103" spans="1:11">
      <c r="A103" s="8" t="str">
        <f t="shared" si="18"/>
        <v>SCHMDT-OTHER</v>
      </c>
      <c r="B103" s="43" t="s">
        <v>101</v>
      </c>
      <c r="C103" s="43" t="s">
        <v>201</v>
      </c>
      <c r="D103" s="43" t="s">
        <v>120</v>
      </c>
      <c r="E103" s="22">
        <v>14369.032179999998</v>
      </c>
      <c r="F103" s="22">
        <f t="shared" si="29"/>
        <v>6545.2834786692774</v>
      </c>
      <c r="G103" s="22">
        <f t="shared" si="30"/>
        <v>3847.5250565244569</v>
      </c>
      <c r="H103" s="22">
        <f t="shared" si="31"/>
        <v>3976.2236448062636</v>
      </c>
      <c r="I103" s="22">
        <f t="shared" si="32"/>
        <v>0</v>
      </c>
      <c r="J103" s="22">
        <f t="shared" si="33"/>
        <v>0</v>
      </c>
      <c r="K103" s="8"/>
    </row>
    <row r="104" spans="1:11">
      <c r="A104" s="8" t="str">
        <f t="shared" si="18"/>
        <v>SCHMDT-OTHER</v>
      </c>
      <c r="B104" s="43" t="s">
        <v>101</v>
      </c>
      <c r="C104" s="43" t="s">
        <v>201</v>
      </c>
      <c r="D104" s="43" t="s">
        <v>38</v>
      </c>
      <c r="E104" s="22">
        <v>7461.9900100000004</v>
      </c>
      <c r="F104" s="22">
        <f t="shared" si="29"/>
        <v>3337.4830967255875</v>
      </c>
      <c r="G104" s="22">
        <f t="shared" si="30"/>
        <v>1997.5697700494334</v>
      </c>
      <c r="H104" s="22">
        <f t="shared" si="31"/>
        <v>2070.0880233271014</v>
      </c>
      <c r="I104" s="22">
        <f t="shared" si="32"/>
        <v>56.849119897878261</v>
      </c>
      <c r="J104" s="22">
        <f t="shared" si="33"/>
        <v>0</v>
      </c>
      <c r="K104" s="8"/>
    </row>
    <row r="105" spans="1:11">
      <c r="A105" s="8" t="str">
        <f t="shared" si="18"/>
        <v>SCHMDT-TAXDEPR</v>
      </c>
      <c r="B105" s="43" t="s">
        <v>101</v>
      </c>
      <c r="C105" s="43" t="s">
        <v>278</v>
      </c>
      <c r="D105" s="43" t="s">
        <v>278</v>
      </c>
      <c r="E105" s="22">
        <v>1349521.4620000001</v>
      </c>
      <c r="F105" s="22">
        <f t="shared" si="29"/>
        <v>773551.50521128008</v>
      </c>
      <c r="G105" s="22">
        <f t="shared" si="30"/>
        <v>292411.80388705962</v>
      </c>
      <c r="H105" s="22">
        <f t="shared" si="31"/>
        <v>269358.0867381604</v>
      </c>
      <c r="I105" s="22">
        <f t="shared" si="32"/>
        <v>14200.066163500145</v>
      </c>
      <c r="J105" s="22">
        <f t="shared" si="33"/>
        <v>0</v>
      </c>
    </row>
    <row r="106" spans="1:11">
      <c r="A106" s="8" t="str">
        <f t="shared" si="18"/>
        <v>SCHMDT-SITUS</v>
      </c>
      <c r="B106" s="43" t="s">
        <v>101</v>
      </c>
      <c r="C106" s="43" t="s">
        <v>204</v>
      </c>
      <c r="D106" s="43" t="s">
        <v>9</v>
      </c>
      <c r="E106" s="22">
        <v>0</v>
      </c>
      <c r="F106" s="22">
        <f t="shared" si="29"/>
        <v>0</v>
      </c>
      <c r="G106" s="22">
        <f t="shared" si="30"/>
        <v>0</v>
      </c>
      <c r="H106" s="22">
        <f t="shared" si="31"/>
        <v>0</v>
      </c>
      <c r="I106" s="22">
        <f t="shared" si="32"/>
        <v>0</v>
      </c>
      <c r="J106" s="22">
        <f t="shared" si="33"/>
        <v>0</v>
      </c>
    </row>
    <row r="107" spans="1:11">
      <c r="A107" s="8" t="str">
        <f>IF(C107="","",B107&amp;"-"&amp;C107)</f>
        <v>SCHMDT-SITUS</v>
      </c>
      <c r="B107" s="43" t="s">
        <v>101</v>
      </c>
      <c r="C107" s="43" t="s">
        <v>204</v>
      </c>
      <c r="D107" s="43" t="s">
        <v>18</v>
      </c>
      <c r="E107" s="22">
        <v>-4055.3097600000001</v>
      </c>
      <c r="F107" s="22">
        <f t="shared" si="29"/>
        <v>-5097.3908674933773</v>
      </c>
      <c r="G107" s="22">
        <f t="shared" si="30"/>
        <v>162.36889065251663</v>
      </c>
      <c r="H107" s="22">
        <f t="shared" si="31"/>
        <v>786.30815975797782</v>
      </c>
      <c r="I107" s="22">
        <f t="shared" si="32"/>
        <v>102.41525545630999</v>
      </c>
      <c r="J107" s="22">
        <f t="shared" si="33"/>
        <v>-9.0111983734276091</v>
      </c>
    </row>
    <row r="108" spans="1:11">
      <c r="A108" s="8" t="str">
        <f t="shared" si="18"/>
        <v>SCHMDT-SITUS</v>
      </c>
      <c r="B108" s="43" t="s">
        <v>101</v>
      </c>
      <c r="C108" s="43" t="s">
        <v>204</v>
      </c>
      <c r="D108" s="43" t="s">
        <v>38</v>
      </c>
      <c r="E108" s="22">
        <v>-32.800740000000005</v>
      </c>
      <c r="F108" s="22">
        <f t="shared" si="29"/>
        <v>-14.670605986256319</v>
      </c>
      <c r="G108" s="22">
        <f t="shared" si="30"/>
        <v>-8.7807363145010786</v>
      </c>
      <c r="H108" s="22">
        <f t="shared" si="31"/>
        <v>-9.099505485704368</v>
      </c>
      <c r="I108" s="22">
        <f t="shared" si="32"/>
        <v>-0.24989221353823973</v>
      </c>
      <c r="J108" s="22">
        <f t="shared" si="33"/>
        <v>0</v>
      </c>
    </row>
    <row r="109" spans="1:11">
      <c r="A109" s="8" t="str">
        <f t="shared" si="18"/>
        <v>SCHMDT-SITUS</v>
      </c>
      <c r="B109" s="43" t="s">
        <v>101</v>
      </c>
      <c r="C109" s="43" t="s">
        <v>204</v>
      </c>
      <c r="D109" s="43" t="s">
        <v>54</v>
      </c>
      <c r="E109" s="22">
        <v>3088.5298400000001</v>
      </c>
      <c r="F109" s="22">
        <f t="shared" si="29"/>
        <v>1323.0057355352178</v>
      </c>
      <c r="G109" s="22">
        <f t="shared" si="30"/>
        <v>294.53113873018583</v>
      </c>
      <c r="H109" s="22">
        <f t="shared" si="31"/>
        <v>1116.158531103616</v>
      </c>
      <c r="I109" s="22">
        <f t="shared" si="32"/>
        <v>354.83443463098041</v>
      </c>
      <c r="J109" s="22">
        <f t="shared" si="33"/>
        <v>0</v>
      </c>
    </row>
    <row r="110" spans="1:11">
      <c r="A110" s="8" t="str">
        <f t="shared" si="18"/>
        <v>SCHMDT-SITUS</v>
      </c>
      <c r="B110" s="43" t="s">
        <v>101</v>
      </c>
      <c r="C110" s="43" t="s">
        <v>204</v>
      </c>
      <c r="D110" s="43" t="s">
        <v>72</v>
      </c>
      <c r="E110" s="22">
        <v>-15859.984759999999</v>
      </c>
      <c r="F110" s="22">
        <f t="shared" si="29"/>
        <v>-15859.984759999999</v>
      </c>
      <c r="G110" s="22">
        <f t="shared" si="30"/>
        <v>0</v>
      </c>
      <c r="H110" s="22">
        <f t="shared" si="31"/>
        <v>0</v>
      </c>
      <c r="I110" s="22">
        <f t="shared" si="32"/>
        <v>0</v>
      </c>
      <c r="J110" s="22">
        <f t="shared" si="33"/>
        <v>0</v>
      </c>
    </row>
    <row r="111" spans="1:11">
      <c r="A111" s="8" t="str">
        <f t="shared" si="18"/>
        <v>SCHMDT-SITUS</v>
      </c>
      <c r="B111" s="71" t="s">
        <v>101</v>
      </c>
      <c r="C111" s="71" t="s">
        <v>204</v>
      </c>
      <c r="D111" s="44" t="s">
        <v>120</v>
      </c>
      <c r="E111" s="20">
        <v>5.0592300000000003</v>
      </c>
      <c r="F111" s="20">
        <f t="shared" si="29"/>
        <v>2.304545923411522</v>
      </c>
      <c r="G111" s="20">
        <f t="shared" si="30"/>
        <v>1.3546851275630054</v>
      </c>
      <c r="H111" s="20">
        <f t="shared" si="31"/>
        <v>1.3999989490254727</v>
      </c>
      <c r="I111" s="20">
        <f t="shared" si="32"/>
        <v>0</v>
      </c>
      <c r="J111" s="20">
        <f t="shared" si="33"/>
        <v>0</v>
      </c>
    </row>
    <row r="112" spans="1:11">
      <c r="A112" s="8" t="str">
        <f t="shared" si="18"/>
        <v/>
      </c>
      <c r="B112" s="62" t="s">
        <v>265</v>
      </c>
      <c r="C112" s="43"/>
      <c r="E112" s="22">
        <f t="shared" ref="E112:J112" si="34">SUMIF($A:$A,"SCHMDT-GPS",E:E)</f>
        <v>128457.04247</v>
      </c>
      <c r="F112" s="22">
        <f t="shared" si="34"/>
        <v>58513.875344220214</v>
      </c>
      <c r="G112" s="22">
        <f t="shared" si="34"/>
        <v>34396.310301140358</v>
      </c>
      <c r="H112" s="22">
        <f t="shared" si="34"/>
        <v>35546.856824639421</v>
      </c>
      <c r="I112" s="22">
        <f t="shared" si="34"/>
        <v>0</v>
      </c>
      <c r="J112" s="22">
        <f t="shared" si="34"/>
        <v>0</v>
      </c>
    </row>
    <row r="113" spans="1:14">
      <c r="A113" s="8" t="str">
        <f>IF(C113="","",B113&amp;"-"&amp;C113)</f>
        <v/>
      </c>
      <c r="B113" s="62" t="s">
        <v>279</v>
      </c>
      <c r="C113" s="43"/>
      <c r="E113" s="22">
        <f t="shared" ref="E113:J113" si="35">SUMIF($A:$A,"SCHMDT-CN",E:E)</f>
        <v>0</v>
      </c>
      <c r="F113" s="22">
        <f t="shared" si="35"/>
        <v>0</v>
      </c>
      <c r="G113" s="22">
        <f t="shared" si="35"/>
        <v>0</v>
      </c>
      <c r="H113" s="22">
        <f t="shared" si="35"/>
        <v>0</v>
      </c>
      <c r="I113" s="22">
        <f t="shared" si="35"/>
        <v>0</v>
      </c>
      <c r="J113" s="22">
        <f t="shared" si="35"/>
        <v>0</v>
      </c>
    </row>
    <row r="114" spans="1:14">
      <c r="A114" s="8" t="str">
        <f t="shared" si="18"/>
        <v/>
      </c>
      <c r="B114" s="62" t="s">
        <v>240</v>
      </c>
      <c r="C114" s="43"/>
      <c r="E114" s="22">
        <f t="shared" ref="E114:J114" si="36">SUMIF($A:$A,"SCHMDT-SG",E:E)</f>
        <v>173346.94904000001</v>
      </c>
      <c r="F114" s="22">
        <f t="shared" si="36"/>
        <v>174691.21514000001</v>
      </c>
      <c r="G114" s="22">
        <f t="shared" si="36"/>
        <v>-1344.2661000000001</v>
      </c>
      <c r="H114" s="22">
        <f t="shared" si="36"/>
        <v>0</v>
      </c>
      <c r="I114" s="22">
        <f t="shared" si="36"/>
        <v>0</v>
      </c>
      <c r="J114" s="22">
        <f t="shared" si="36"/>
        <v>0</v>
      </c>
    </row>
    <row r="115" spans="1:14">
      <c r="A115" s="8" t="str">
        <f>IF(C115="","",B115&amp;"-"&amp;C115)</f>
        <v/>
      </c>
      <c r="B115" s="62" t="s">
        <v>224</v>
      </c>
      <c r="C115" s="43"/>
      <c r="E115" s="22">
        <f t="shared" ref="E115:J115" si="37">SUMIF($A:$A,"SCHMDT-SE",E:E)</f>
        <v>16217.392840000002</v>
      </c>
      <c r="F115" s="22">
        <f t="shared" si="37"/>
        <v>16217.392840000002</v>
      </c>
      <c r="G115" s="22">
        <f t="shared" si="37"/>
        <v>0</v>
      </c>
      <c r="H115" s="22">
        <f t="shared" si="37"/>
        <v>0</v>
      </c>
      <c r="I115" s="22">
        <f t="shared" si="37"/>
        <v>0</v>
      </c>
      <c r="J115" s="22">
        <f t="shared" si="37"/>
        <v>0</v>
      </c>
    </row>
    <row r="116" spans="1:14">
      <c r="A116" s="8" t="str">
        <f t="shared" si="18"/>
        <v/>
      </c>
      <c r="B116" s="62" t="s">
        <v>266</v>
      </c>
      <c r="C116" s="43"/>
      <c r="E116" s="22">
        <f t="shared" ref="E116:J116" si="38">SUMIF($A:$A,"SCHMDT-SNP",E:E)</f>
        <v>102338.95664999999</v>
      </c>
      <c r="F116" s="22">
        <f t="shared" si="38"/>
        <v>46616.743131651638</v>
      </c>
      <c r="G116" s="22">
        <f t="shared" si="38"/>
        <v>27402.798952423615</v>
      </c>
      <c r="H116" s="22">
        <f t="shared" si="38"/>
        <v>28319.414565924733</v>
      </c>
      <c r="I116" s="22">
        <f t="shared" si="38"/>
        <v>0</v>
      </c>
      <c r="J116" s="22">
        <f t="shared" si="38"/>
        <v>0</v>
      </c>
    </row>
    <row r="117" spans="1:14">
      <c r="A117" s="8" t="str">
        <f t="shared" si="18"/>
        <v/>
      </c>
      <c r="B117" s="24" t="s">
        <v>280</v>
      </c>
      <c r="C117" s="43"/>
      <c r="E117" s="22">
        <f t="shared" ref="E117:J117" si="39">SUMIF($A:$A,"SCHMDT-SO",E:E)</f>
        <v>-18528.573129999946</v>
      </c>
      <c r="F117" s="22">
        <f t="shared" si="39"/>
        <v>-4376.9474388122471</v>
      </c>
      <c r="G117" s="22">
        <f t="shared" si="39"/>
        <v>23600.678706796694</v>
      </c>
      <c r="H117" s="22">
        <f t="shared" si="39"/>
        <v>-18501.094532516589</v>
      </c>
      <c r="I117" s="22">
        <f t="shared" si="39"/>
        <v>-19251.209865467812</v>
      </c>
      <c r="J117" s="22">
        <f t="shared" si="39"/>
        <v>0</v>
      </c>
    </row>
    <row r="118" spans="1:14">
      <c r="A118" s="8" t="str">
        <f>IF(C118="","",B118&amp;"-"&amp;C118)</f>
        <v/>
      </c>
      <c r="B118" s="24" t="s">
        <v>281</v>
      </c>
      <c r="C118" s="43"/>
      <c r="E118" s="22">
        <f t="shared" ref="E118:J118" si="40">SUMIF($A:$A,"SCHMDT-OTHER",E:E)</f>
        <v>238676.89713999999</v>
      </c>
      <c r="F118" s="22">
        <f t="shared" si="40"/>
        <v>221673.37010474291</v>
      </c>
      <c r="G118" s="22">
        <f t="shared" si="40"/>
        <v>7054.4178117918436</v>
      </c>
      <c r="H118" s="22">
        <f t="shared" si="40"/>
        <v>10634.416446379299</v>
      </c>
      <c r="I118" s="22">
        <f t="shared" si="40"/>
        <v>2035.205749196482</v>
      </c>
      <c r="J118" s="22">
        <f t="shared" si="40"/>
        <v>-2720.5129721105673</v>
      </c>
    </row>
    <row r="119" spans="1:14">
      <c r="A119" s="8" t="str">
        <f>IF(C119="","",B119&amp;"-"&amp;C119)</f>
        <v/>
      </c>
      <c r="B119" s="24" t="s">
        <v>282</v>
      </c>
      <c r="C119" s="43"/>
      <c r="E119" s="22">
        <f t="shared" ref="E119:J119" si="41">SUMIF($A:$A,"SCHMDT-TAXDEPR",E:E)</f>
        <v>1349521.4620000001</v>
      </c>
      <c r="F119" s="22">
        <f t="shared" si="41"/>
        <v>773551.50521128008</v>
      </c>
      <c r="G119" s="22">
        <f t="shared" si="41"/>
        <v>292411.80388705962</v>
      </c>
      <c r="H119" s="22">
        <f t="shared" si="41"/>
        <v>269358.0867381604</v>
      </c>
      <c r="I119" s="22">
        <f t="shared" si="41"/>
        <v>14200.066163500145</v>
      </c>
      <c r="J119" s="22">
        <f t="shared" si="41"/>
        <v>0</v>
      </c>
    </row>
    <row r="120" spans="1:14">
      <c r="A120" s="8" t="str">
        <f t="shared" si="18"/>
        <v/>
      </c>
      <c r="B120" s="62" t="s">
        <v>241</v>
      </c>
      <c r="C120" s="43"/>
      <c r="E120" s="22">
        <f t="shared" ref="E120:J120" si="42">SUMIF($A:$A,"SCHMDT-SITUS",E:E)+SUMIF($A:$A,"SCHMDT-CN",E:E)</f>
        <v>-16854.50619</v>
      </c>
      <c r="F120" s="22">
        <f t="shared" si="42"/>
        <v>-19646.735952021001</v>
      </c>
      <c r="G120" s="22">
        <f t="shared" si="42"/>
        <v>449.4739781957644</v>
      </c>
      <c r="H120" s="22">
        <f t="shared" si="42"/>
        <v>1894.767184324915</v>
      </c>
      <c r="I120" s="22">
        <f t="shared" si="42"/>
        <v>456.99979787375219</v>
      </c>
      <c r="J120" s="22">
        <f t="shared" si="42"/>
        <v>-9.0111983734276091</v>
      </c>
    </row>
    <row r="121" spans="1:14">
      <c r="A121" s="8" t="str">
        <f t="shared" si="18"/>
        <v/>
      </c>
      <c r="B121" s="24" t="s">
        <v>283</v>
      </c>
      <c r="E121" s="22">
        <f t="shared" ref="E121:J121" si="43">SUMIF($B:$B,"SCHMDT",E:E)</f>
        <v>1973087.1448599999</v>
      </c>
      <c r="F121" s="22">
        <f t="shared" si="43"/>
        <v>1267406.8735210618</v>
      </c>
      <c r="G121" s="22">
        <f t="shared" si="43"/>
        <v>383971.21753740788</v>
      </c>
      <c r="H121" s="22">
        <f t="shared" si="43"/>
        <v>326997.51612691226</v>
      </c>
      <c r="I121" s="22">
        <f t="shared" si="43"/>
        <v>-2558.9381548974338</v>
      </c>
      <c r="J121" s="22">
        <f t="shared" si="43"/>
        <v>-2729.524170483995</v>
      </c>
    </row>
    <row r="122" spans="1:14">
      <c r="A122" s="8" t="str">
        <f t="shared" si="18"/>
        <v/>
      </c>
      <c r="B122" s="24" t="s">
        <v>103</v>
      </c>
      <c r="C122" s="24"/>
      <c r="E122" s="39">
        <f>SUM(F122:J122)</f>
        <v>0.99999999999999989</v>
      </c>
      <c r="F122" s="40">
        <f t="shared" ref="F122:J131" si="44">IF(ISERROR(F112/$E112)," ",(F112/$E112))</f>
        <v>0.45551317560409821</v>
      </c>
      <c r="G122" s="40">
        <f t="shared" si="44"/>
        <v>0.26776508037053171</v>
      </c>
      <c r="H122" s="40">
        <f t="shared" si="44"/>
        <v>0.27672174402536998</v>
      </c>
      <c r="I122" s="40">
        <f t="shared" si="44"/>
        <v>0</v>
      </c>
      <c r="J122" s="40">
        <f t="shared" si="44"/>
        <v>0</v>
      </c>
      <c r="K122" s="69"/>
      <c r="L122" s="69"/>
      <c r="M122" s="69"/>
      <c r="N122" s="69"/>
    </row>
    <row r="123" spans="1:14">
      <c r="A123" s="8" t="str">
        <f>IF(C123="","",B123&amp;"-"&amp;C123)</f>
        <v/>
      </c>
      <c r="B123" s="24" t="s">
        <v>284</v>
      </c>
      <c r="C123" s="24"/>
      <c r="E123" s="39">
        <f>SUM(F123:J123)</f>
        <v>0</v>
      </c>
      <c r="F123" s="40" t="str">
        <f t="shared" si="44"/>
        <v xml:space="preserve"> </v>
      </c>
      <c r="G123" s="40" t="str">
        <f t="shared" si="44"/>
        <v xml:space="preserve"> </v>
      </c>
      <c r="H123" s="40" t="str">
        <f t="shared" si="44"/>
        <v xml:space="preserve"> </v>
      </c>
      <c r="I123" s="40" t="str">
        <f t="shared" si="44"/>
        <v xml:space="preserve"> </v>
      </c>
      <c r="J123" s="40" t="str">
        <f t="shared" si="44"/>
        <v xml:space="preserve"> </v>
      </c>
      <c r="K123" s="69"/>
      <c r="L123" s="69"/>
      <c r="M123" s="69"/>
      <c r="N123" s="69"/>
    </row>
    <row r="124" spans="1:14">
      <c r="A124" s="8" t="str">
        <f t="shared" si="18"/>
        <v/>
      </c>
      <c r="B124" s="24" t="s">
        <v>105</v>
      </c>
      <c r="C124" s="24"/>
      <c r="E124" s="39">
        <f t="shared" ref="E124:E131" si="45">SUM(F124:J124)</f>
        <v>1</v>
      </c>
      <c r="F124" s="40">
        <f t="shared" si="44"/>
        <v>1.0077547721920956</v>
      </c>
      <c r="G124" s="40">
        <f t="shared" si="44"/>
        <v>-7.7547721920955704E-3</v>
      </c>
      <c r="H124" s="40">
        <f t="shared" si="44"/>
        <v>0</v>
      </c>
      <c r="I124" s="40">
        <f t="shared" si="44"/>
        <v>0</v>
      </c>
      <c r="J124" s="40">
        <f t="shared" si="44"/>
        <v>0</v>
      </c>
      <c r="K124" s="69"/>
      <c r="L124" s="69"/>
      <c r="M124" s="69"/>
      <c r="N124" s="69"/>
    </row>
    <row r="125" spans="1:14">
      <c r="A125" s="8" t="str">
        <f>IF(C125="","",B125&amp;"-"&amp;C125)</f>
        <v/>
      </c>
      <c r="B125" s="24" t="s">
        <v>285</v>
      </c>
      <c r="C125" s="24"/>
      <c r="E125" s="39">
        <f>SUM(F125:J125)</f>
        <v>1</v>
      </c>
      <c r="F125" s="40">
        <f t="shared" si="44"/>
        <v>1</v>
      </c>
      <c r="G125" s="40">
        <f t="shared" si="44"/>
        <v>0</v>
      </c>
      <c r="H125" s="40">
        <f t="shared" si="44"/>
        <v>0</v>
      </c>
      <c r="I125" s="40">
        <f t="shared" si="44"/>
        <v>0</v>
      </c>
      <c r="J125" s="40">
        <f t="shared" si="44"/>
        <v>0</v>
      </c>
      <c r="K125" s="69"/>
      <c r="L125" s="69"/>
      <c r="M125" s="69"/>
      <c r="N125" s="69"/>
    </row>
    <row r="126" spans="1:14">
      <c r="A126" s="8" t="str">
        <f t="shared" si="18"/>
        <v/>
      </c>
      <c r="B126" s="24" t="s">
        <v>109</v>
      </c>
      <c r="C126" s="24"/>
      <c r="E126" s="39">
        <f t="shared" si="45"/>
        <v>0.99999999999999989</v>
      </c>
      <c r="F126" s="40">
        <f t="shared" si="44"/>
        <v>0.45551317560409815</v>
      </c>
      <c r="G126" s="40">
        <f t="shared" si="44"/>
        <v>0.26776508037053176</v>
      </c>
      <c r="H126" s="40">
        <f t="shared" si="44"/>
        <v>0.27672174402536998</v>
      </c>
      <c r="I126" s="40">
        <f t="shared" si="44"/>
        <v>0</v>
      </c>
      <c r="J126" s="40">
        <f t="shared" si="44"/>
        <v>0</v>
      </c>
      <c r="K126" s="69"/>
      <c r="L126" s="69"/>
      <c r="M126" s="69"/>
      <c r="N126" s="69"/>
    </row>
    <row r="127" spans="1:14">
      <c r="A127" s="8" t="str">
        <f t="shared" si="18"/>
        <v/>
      </c>
      <c r="B127" s="24" t="s">
        <v>111</v>
      </c>
      <c r="C127" s="24"/>
      <c r="E127" s="39">
        <f t="shared" si="45"/>
        <v>1.0000000000000004</v>
      </c>
      <c r="F127" s="40">
        <f t="shared" si="44"/>
        <v>0.23622690253063539</v>
      </c>
      <c r="G127" s="40">
        <f t="shared" si="44"/>
        <v>-1.2737450715287089</v>
      </c>
      <c r="H127" s="40">
        <f t="shared" si="44"/>
        <v>0.99851696095049725</v>
      </c>
      <c r="I127" s="40">
        <f t="shared" si="44"/>
        <v>1.0390012080475766</v>
      </c>
      <c r="J127" s="40">
        <f t="shared" si="44"/>
        <v>0</v>
      </c>
      <c r="K127" s="69"/>
      <c r="L127" s="69"/>
      <c r="M127" s="69"/>
      <c r="N127" s="69"/>
    </row>
    <row r="128" spans="1:14">
      <c r="A128" s="8" t="str">
        <f>IF(C128="","",B128&amp;"-"&amp;C128)</f>
        <v/>
      </c>
      <c r="B128" s="24" t="s">
        <v>286</v>
      </c>
      <c r="C128" s="24"/>
      <c r="E128" s="39">
        <f>SUM(F128:J128)</f>
        <v>1</v>
      </c>
      <c r="F128" s="40">
        <f t="shared" si="44"/>
        <v>0.92875922538374811</v>
      </c>
      <c r="G128" s="40">
        <f t="shared" si="44"/>
        <v>2.955634959362638E-2</v>
      </c>
      <c r="H128" s="40">
        <f t="shared" si="44"/>
        <v>4.4555700923753425E-2</v>
      </c>
      <c r="I128" s="40">
        <f t="shared" si="44"/>
        <v>8.5270328782709858E-3</v>
      </c>
      <c r="J128" s="40">
        <f t="shared" si="44"/>
        <v>-1.1398308779398972E-2</v>
      </c>
      <c r="K128" s="69"/>
      <c r="L128" s="69"/>
      <c r="M128" s="69"/>
      <c r="N128" s="69"/>
    </row>
    <row r="129" spans="1:14">
      <c r="A129" s="8" t="str">
        <f>IF(C129="","",B129&amp;"-"&amp;C129)</f>
        <v/>
      </c>
      <c r="B129" s="24" t="s">
        <v>287</v>
      </c>
      <c r="C129" s="24"/>
      <c r="E129" s="39">
        <f>SUM(F129:J129)</f>
        <v>1</v>
      </c>
      <c r="F129" s="40">
        <f t="shared" si="44"/>
        <v>0.57320430018569057</v>
      </c>
      <c r="G129" s="40">
        <f t="shared" si="44"/>
        <v>0.21667814267562913</v>
      </c>
      <c r="H129" s="40">
        <f t="shared" si="44"/>
        <v>0.19959525974412431</v>
      </c>
      <c r="I129" s="40">
        <f t="shared" si="44"/>
        <v>1.0522297394556105E-2</v>
      </c>
      <c r="J129" s="40">
        <f t="shared" si="44"/>
        <v>0</v>
      </c>
      <c r="K129" s="69"/>
      <c r="L129" s="69"/>
      <c r="M129" s="69"/>
      <c r="N129" s="69"/>
    </row>
    <row r="130" spans="1:14">
      <c r="A130" s="8" t="str">
        <f t="shared" ref="A130:A141" si="46">IF(C130="","",B130&amp;"-"&amp;C130)</f>
        <v/>
      </c>
      <c r="B130" s="24" t="s">
        <v>107</v>
      </c>
      <c r="C130" s="24"/>
      <c r="E130" s="39">
        <f t="shared" si="45"/>
        <v>1</v>
      </c>
      <c r="F130" s="40">
        <f t="shared" si="44"/>
        <v>1.1656666609240482</v>
      </c>
      <c r="G130" s="40">
        <f t="shared" si="44"/>
        <v>-2.6667881759860946E-2</v>
      </c>
      <c r="H130" s="40">
        <f t="shared" si="44"/>
        <v>-0.11241902687419612</v>
      </c>
      <c r="I130" s="40">
        <f t="shared" si="44"/>
        <v>-2.7114398530696568E-2</v>
      </c>
      <c r="J130" s="40">
        <f t="shared" si="44"/>
        <v>5.3464624070529408E-4</v>
      </c>
      <c r="K130" s="69"/>
      <c r="L130" s="69"/>
      <c r="M130" s="69"/>
      <c r="N130" s="69"/>
    </row>
    <row r="131" spans="1:14">
      <c r="A131" s="8" t="str">
        <f t="shared" si="46"/>
        <v/>
      </c>
      <c r="B131" s="24" t="s">
        <v>288</v>
      </c>
      <c r="C131" s="24"/>
      <c r="E131" s="39">
        <f t="shared" si="45"/>
        <v>1.0000000000000007</v>
      </c>
      <c r="F131" s="40">
        <f t="shared" si="44"/>
        <v>0.6423471344500552</v>
      </c>
      <c r="G131" s="40">
        <f t="shared" si="44"/>
        <v>0.19460428726509821</v>
      </c>
      <c r="H131" s="40">
        <f t="shared" si="44"/>
        <v>0.16572887668887748</v>
      </c>
      <c r="I131" s="40">
        <f t="shared" si="44"/>
        <v>-1.2969210009621764E-3</v>
      </c>
      <c r="J131" s="40">
        <f t="shared" si="44"/>
        <v>-1.3833774030683618E-3</v>
      </c>
      <c r="K131" s="69"/>
      <c r="L131" s="69"/>
      <c r="M131" s="69"/>
      <c r="N131" s="69"/>
    </row>
    <row r="132" spans="1:14" s="8" customFormat="1">
      <c r="B132" s="3"/>
      <c r="C132" s="3"/>
      <c r="E132" s="54"/>
      <c r="F132" s="23"/>
      <c r="G132" s="23"/>
      <c r="H132" s="23"/>
      <c r="I132" s="23"/>
      <c r="J132" s="23"/>
    </row>
    <row r="133" spans="1:14">
      <c r="A133" s="8" t="str">
        <f t="shared" si="46"/>
        <v>SCHMDF-DGP</v>
      </c>
      <c r="B133" s="8" t="s">
        <v>95</v>
      </c>
      <c r="C133" s="43" t="s">
        <v>269</v>
      </c>
      <c r="D133" s="8" t="s">
        <v>72</v>
      </c>
      <c r="E133" s="68">
        <v>0</v>
      </c>
      <c r="F133" s="22">
        <f>VLOOKUP($D133,$D$143:$J$155,3,FALSE)*$E133</f>
        <v>0</v>
      </c>
      <c r="G133" s="22">
        <f>VLOOKUP($D133,$D$143:$J$155,4,FALSE)*$E133</f>
        <v>0</v>
      </c>
      <c r="H133" s="22">
        <f>VLOOKUP($D133,$D$143:$J$155,5,FALSE)*$E133</f>
        <v>0</v>
      </c>
      <c r="I133" s="22">
        <f>VLOOKUP($D133,$D$143:$J$155,6,FALSE)*$E133</f>
        <v>0</v>
      </c>
      <c r="J133" s="22">
        <f>VLOOKUP($D133,$D$143:$J$155,7,FALSE)*$E133</f>
        <v>0</v>
      </c>
    </row>
    <row r="134" spans="1:14">
      <c r="A134" s="8" t="str">
        <f t="shared" si="46"/>
        <v/>
      </c>
      <c r="B134" s="24" t="s">
        <v>289</v>
      </c>
      <c r="E134" s="68">
        <f t="shared" ref="E134:J134" si="47">SUMIF($A:$A,"SCHMDF",E:E)</f>
        <v>0</v>
      </c>
      <c r="F134" s="68">
        <f t="shared" si="47"/>
        <v>0</v>
      </c>
      <c r="G134" s="68">
        <f t="shared" si="47"/>
        <v>0</v>
      </c>
      <c r="H134" s="68">
        <f t="shared" si="47"/>
        <v>0</v>
      </c>
      <c r="I134" s="68">
        <f t="shared" si="47"/>
        <v>0</v>
      </c>
      <c r="J134" s="68">
        <f t="shared" si="47"/>
        <v>0</v>
      </c>
    </row>
    <row r="135" spans="1:14">
      <c r="A135" s="8" t="str">
        <f t="shared" si="46"/>
        <v/>
      </c>
      <c r="B135" s="24" t="s">
        <v>290</v>
      </c>
      <c r="C135" s="24"/>
      <c r="E135" s="39">
        <f>SUM(F135:J135)</f>
        <v>0</v>
      </c>
      <c r="F135" s="40" t="str">
        <f>IF(ISERROR(F134/$E134)," ",(F134/$E134))</f>
        <v xml:space="preserve"> </v>
      </c>
      <c r="G135" s="40" t="str">
        <f>IF(ISERROR(G134/$E134)," ",(G134/$E134))</f>
        <v xml:space="preserve"> </v>
      </c>
      <c r="H135" s="40" t="str">
        <f>IF(ISERROR(H134/$E134)," ",(H134/$E134))</f>
        <v xml:space="preserve"> </v>
      </c>
      <c r="I135" s="40" t="str">
        <f>IF(ISERROR(I134/$E134)," ",(I134/$E134))</f>
        <v xml:space="preserve"> </v>
      </c>
      <c r="J135" s="40" t="str">
        <f>IF(ISERROR(J134/$E134)," ",(J134/$E134))</f>
        <v xml:space="preserve"> </v>
      </c>
    </row>
    <row r="136" spans="1:14" s="8" customFormat="1">
      <c r="B136" s="3"/>
      <c r="C136" s="3"/>
      <c r="E136" s="54"/>
      <c r="F136" s="23"/>
      <c r="G136" s="23"/>
      <c r="H136" s="23"/>
      <c r="I136" s="23"/>
      <c r="J136" s="23"/>
    </row>
    <row r="137" spans="1:14">
      <c r="A137" s="8" t="str">
        <f t="shared" si="46"/>
        <v/>
      </c>
      <c r="B137" s="11" t="s">
        <v>291</v>
      </c>
      <c r="E137" s="22">
        <f t="shared" ref="E137:J137" si="48">SUM(E134,E121,E77)</f>
        <v>1977234.2795199999</v>
      </c>
      <c r="F137" s="22">
        <f t="shared" si="48"/>
        <v>1271495.2391753513</v>
      </c>
      <c r="G137" s="22">
        <f t="shared" si="48"/>
        <v>384000.11867299519</v>
      </c>
      <c r="H137" s="22">
        <f t="shared" si="48"/>
        <v>327027.38399703545</v>
      </c>
      <c r="I137" s="22">
        <f t="shared" si="48"/>
        <v>-2558.9381548974338</v>
      </c>
      <c r="J137" s="22">
        <f t="shared" si="48"/>
        <v>-2729.524170483995</v>
      </c>
    </row>
    <row r="138" spans="1:14">
      <c r="A138" s="8" t="str">
        <f t="shared" si="46"/>
        <v/>
      </c>
      <c r="B138" s="24" t="s">
        <v>292</v>
      </c>
      <c r="C138" s="24"/>
      <c r="E138" s="39">
        <f>SUM(F138:J138)</f>
        <v>1.0000000000000002</v>
      </c>
      <c r="F138" s="40">
        <f>IF(ISERROR(F137/$E137)," ",(F137/$E137))</f>
        <v>0.64306756783724373</v>
      </c>
      <c r="G138" s="40">
        <f>IF(ISERROR(G137/$E137)," ",(G137/$E137))</f>
        <v>0.19421073296696856</v>
      </c>
      <c r="H138" s="40">
        <f>IF(ISERROR(H137/$E137)," ",(H137/$E137))</f>
        <v>0.16539637582877925</v>
      </c>
      <c r="I138" s="40">
        <f>IF(ISERROR(I137/$E137)," ",(I137/$E137))</f>
        <v>-1.2942007840965868E-3</v>
      </c>
      <c r="J138" s="40">
        <f>IF(ISERROR(J137/$E137)," ",(J137/$E137))</f>
        <v>-1.3804758488946609E-3</v>
      </c>
    </row>
    <row r="139" spans="1:14" s="8" customFormat="1">
      <c r="B139" s="3"/>
      <c r="C139" s="3"/>
      <c r="E139" s="54"/>
      <c r="F139" s="23"/>
      <c r="G139" s="23"/>
      <c r="H139" s="23"/>
      <c r="I139" s="23"/>
      <c r="J139" s="23"/>
    </row>
    <row r="140" spans="1:14">
      <c r="A140" s="8" t="str">
        <f t="shared" si="46"/>
        <v/>
      </c>
      <c r="B140" s="11" t="s">
        <v>293</v>
      </c>
      <c r="E140" s="72"/>
      <c r="F140" s="19"/>
    </row>
    <row r="141" spans="1:14">
      <c r="A141" s="8" t="str">
        <f t="shared" si="46"/>
        <v/>
      </c>
    </row>
    <row r="142" spans="1:14">
      <c r="E142" s="73" t="s">
        <v>10</v>
      </c>
      <c r="F142" s="73" t="s">
        <v>5</v>
      </c>
      <c r="G142" s="73" t="s">
        <v>6</v>
      </c>
      <c r="H142" s="73" t="s">
        <v>251</v>
      </c>
      <c r="I142" s="73" t="s">
        <v>252</v>
      </c>
      <c r="J142" s="73" t="s">
        <v>253</v>
      </c>
    </row>
    <row r="143" spans="1:14">
      <c r="D143" s="8" t="s">
        <v>9</v>
      </c>
      <c r="E143" s="47">
        <f>SUM(F143:J143)</f>
        <v>1</v>
      </c>
      <c r="F143" s="23">
        <v>0</v>
      </c>
      <c r="G143" s="23">
        <v>0</v>
      </c>
      <c r="H143" s="23">
        <v>0</v>
      </c>
      <c r="I143" s="23">
        <v>0</v>
      </c>
      <c r="J143" s="23">
        <v>1</v>
      </c>
    </row>
    <row r="144" spans="1:14">
      <c r="D144" s="8" t="s">
        <v>7</v>
      </c>
      <c r="E144" s="47">
        <f t="shared" ref="E144:E155" si="49">SUM(F144:J144)</f>
        <v>1</v>
      </c>
      <c r="F144" s="16">
        <v>0</v>
      </c>
      <c r="G144" s="16">
        <v>0</v>
      </c>
      <c r="H144" s="16">
        <v>1</v>
      </c>
      <c r="I144" s="16">
        <v>0</v>
      </c>
      <c r="J144" s="16">
        <v>0</v>
      </c>
    </row>
    <row r="145" spans="4:10">
      <c r="D145" s="8" t="s">
        <v>18</v>
      </c>
      <c r="E145" s="47">
        <f t="shared" si="49"/>
        <v>1</v>
      </c>
      <c r="F145" s="16">
        <f>'REGASSETS&amp;DDS'!F35</f>
        <v>1.256967079992769</v>
      </c>
      <c r="G145" s="16">
        <f>'REGASSETS&amp;DDS'!G35</f>
        <v>-4.0038591442276561E-2</v>
      </c>
      <c r="H145" s="16">
        <f>'REGASSETS&amp;DDS'!H35</f>
        <v>-0.19389595525200468</v>
      </c>
      <c r="I145" s="16">
        <f>'REGASSETS&amp;DDS'!I35</f>
        <v>-2.5254607296955285E-2</v>
      </c>
      <c r="J145" s="16">
        <f>'REGASSETS&amp;DDS'!J35</f>
        <v>2.2220739984675324E-3</v>
      </c>
    </row>
    <row r="146" spans="4:10">
      <c r="D146" s="8" t="s">
        <v>8</v>
      </c>
      <c r="E146" s="47">
        <f t="shared" si="49"/>
        <v>1</v>
      </c>
      <c r="F146" s="16">
        <v>0</v>
      </c>
      <c r="G146" s="16">
        <v>0</v>
      </c>
      <c r="H146" s="16">
        <v>0</v>
      </c>
      <c r="I146" s="16">
        <v>1</v>
      </c>
      <c r="J146" s="16">
        <v>0</v>
      </c>
    </row>
    <row r="147" spans="4:10">
      <c r="D147" s="8" t="s">
        <v>28</v>
      </c>
      <c r="E147" s="47">
        <f t="shared" si="49"/>
        <v>1</v>
      </c>
      <c r="F147" s="16">
        <v>0.3</v>
      </c>
      <c r="G147" s="16">
        <v>0.1</v>
      </c>
      <c r="H147" s="16">
        <v>0.6</v>
      </c>
      <c r="I147" s="16">
        <v>0</v>
      </c>
      <c r="J147" s="16">
        <v>0</v>
      </c>
    </row>
    <row r="148" spans="4:10">
      <c r="D148" s="8" t="s">
        <v>38</v>
      </c>
      <c r="E148" s="47">
        <f t="shared" si="49"/>
        <v>1</v>
      </c>
      <c r="F148" s="16">
        <f>'GROSS PLANT'!E42</f>
        <v>0.44726448202864683</v>
      </c>
      <c r="G148" s="16">
        <f>'GROSS PLANT'!F42</f>
        <v>0.26769933588391837</v>
      </c>
      <c r="H148" s="16">
        <f>'GROSS PLANT'!G42</f>
        <v>0.27741768892117574</v>
      </c>
      <c r="I148" s="16">
        <f>'GROSS PLANT'!H42</f>
        <v>7.6184931662590443E-3</v>
      </c>
      <c r="J148" s="16">
        <f>'GROSS PLANT'!I42</f>
        <v>0</v>
      </c>
    </row>
    <row r="149" spans="4:10">
      <c r="D149" s="8" t="s">
        <v>54</v>
      </c>
      <c r="E149" s="47">
        <f t="shared" si="49"/>
        <v>1</v>
      </c>
      <c r="F149" s="16">
        <f>'FORM 1'!C25</f>
        <v>0.42836100153567491</v>
      </c>
      <c r="G149" s="16">
        <f>'FORM 1'!D25</f>
        <v>9.5362892375417618E-2</v>
      </c>
      <c r="H149" s="16">
        <f>'FORM 1'!E25</f>
        <v>0.36138829440728865</v>
      </c>
      <c r="I149" s="16">
        <f>'FORM 1'!F25</f>
        <v>0.11488781168161885</v>
      </c>
      <c r="J149" s="16">
        <f>'FORM 1'!G25</f>
        <v>0</v>
      </c>
    </row>
    <row r="150" spans="4:10" ht="12" customHeight="1">
      <c r="D150" s="8" t="s">
        <v>72</v>
      </c>
      <c r="E150" s="47">
        <f t="shared" si="49"/>
        <v>1</v>
      </c>
      <c r="F150" s="16">
        <f>'FORM 1'!C13</f>
        <v>1</v>
      </c>
      <c r="G150" s="16">
        <f>'FORM 1'!D13</f>
        <v>0</v>
      </c>
      <c r="H150" s="16">
        <f>'FORM 1'!E13</f>
        <v>0</v>
      </c>
      <c r="I150" s="16">
        <f>'FORM 1'!F13</f>
        <v>0</v>
      </c>
      <c r="J150" s="16">
        <f>'FORM 1'!G13</f>
        <v>0</v>
      </c>
    </row>
    <row r="151" spans="4:10">
      <c r="D151" s="8" t="s">
        <v>118</v>
      </c>
      <c r="E151" s="47">
        <f>SUM(F151:J151)</f>
        <v>1</v>
      </c>
      <c r="F151" s="16">
        <f>+'FORM 1'!C17</f>
        <v>0.62978967201258707</v>
      </c>
      <c r="G151" s="16">
        <f>+'FORM 1'!D17</f>
        <v>0.37021032798741293</v>
      </c>
      <c r="H151" s="16">
        <v>0</v>
      </c>
      <c r="I151" s="16">
        <v>0</v>
      </c>
      <c r="J151" s="16">
        <v>0</v>
      </c>
    </row>
    <row r="152" spans="4:10">
      <c r="D152" s="8" t="s">
        <v>120</v>
      </c>
      <c r="E152" s="47">
        <f t="shared" si="49"/>
        <v>1</v>
      </c>
      <c r="F152" s="16">
        <f>'FORM 1'!C16</f>
        <v>0.45551317560409821</v>
      </c>
      <c r="G152" s="16">
        <f>'FORM 1'!D16</f>
        <v>0.26776508037053176</v>
      </c>
      <c r="H152" s="16">
        <f>'FORM 1'!E16</f>
        <v>0.27672174402536998</v>
      </c>
      <c r="I152" s="16">
        <f>'FORM 1'!F16</f>
        <v>0</v>
      </c>
      <c r="J152" s="16">
        <f>'FORM 1'!G16</f>
        <v>0</v>
      </c>
    </row>
    <row r="153" spans="4:10">
      <c r="D153" s="8" t="s">
        <v>113</v>
      </c>
      <c r="E153" s="47">
        <f t="shared" si="49"/>
        <v>1</v>
      </c>
      <c r="F153" s="16">
        <f>'FORM 1'!C14</f>
        <v>0</v>
      </c>
      <c r="G153" s="16">
        <f>'FORM 1'!D14</f>
        <v>1</v>
      </c>
      <c r="H153" s="16">
        <f>'FORM 1'!E14</f>
        <v>0</v>
      </c>
      <c r="I153" s="16">
        <f>'FORM 1'!F14</f>
        <v>0</v>
      </c>
      <c r="J153" s="16">
        <f>'FORM 1'!G14</f>
        <v>0</v>
      </c>
    </row>
    <row r="154" spans="4:10">
      <c r="D154" s="8" t="s">
        <v>278</v>
      </c>
      <c r="E154" s="47">
        <f t="shared" si="49"/>
        <v>1</v>
      </c>
      <c r="F154" s="16">
        <f>'TAX DEPR'!C24</f>
        <v>0.57320430018569057</v>
      </c>
      <c r="G154" s="16">
        <f>'TAX DEPR'!D24</f>
        <v>0.21667814267562913</v>
      </c>
      <c r="H154" s="16">
        <f>'TAX DEPR'!E24</f>
        <v>0.19959525974412431</v>
      </c>
      <c r="I154" s="16">
        <f>'TAX DEPR'!F24</f>
        <v>1.0522297394556105E-2</v>
      </c>
      <c r="J154" s="16">
        <f>'TAX DEPR'!G24</f>
        <v>0</v>
      </c>
    </row>
    <row r="155" spans="4:10">
      <c r="D155" s="8" t="s">
        <v>116</v>
      </c>
      <c r="E155" s="47">
        <f t="shared" si="49"/>
        <v>1</v>
      </c>
      <c r="F155" s="16">
        <f>'FORM 1'!C18</f>
        <v>0</v>
      </c>
      <c r="G155" s="16">
        <f>'FORM 1'!D18</f>
        <v>0.49177513279152762</v>
      </c>
      <c r="H155" s="16">
        <f>'FORM 1'!E18</f>
        <v>0.50822486720847238</v>
      </c>
      <c r="I155" s="16">
        <f>'FORM 1'!F18</f>
        <v>0</v>
      </c>
      <c r="J155" s="16">
        <f>'FORM 1'!G18</f>
        <v>0</v>
      </c>
    </row>
    <row r="156" spans="4:10">
      <c r="F156" s="16"/>
      <c r="G156" s="16"/>
      <c r="H156" s="16"/>
      <c r="I156" s="16"/>
      <c r="J156" s="16"/>
    </row>
    <row r="168" spans="5:5">
      <c r="E168" s="74"/>
    </row>
  </sheetData>
  <printOptions horizontalCentered="1"/>
  <pageMargins left="0.12" right="0.16" top="0.25" bottom="0.71" header="0.24" footer="0.34"/>
  <pageSetup scale="61" fitToHeight="2" orientation="portrait" r:id="rId1"/>
  <headerFooter alignWithMargins="0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 FUNCFAC</vt:lpstr>
      <vt:lpstr>TAX DEPR</vt:lpstr>
      <vt:lpstr>GROSS PLANT</vt:lpstr>
      <vt:lpstr>FORM 1</vt:lpstr>
      <vt:lpstr>BOOKDPR</vt:lpstr>
      <vt:lpstr>ELEC OPS</vt:lpstr>
      <vt:lpstr>GP</vt:lpstr>
      <vt:lpstr>IP</vt:lpstr>
      <vt:lpstr>SCH M</vt:lpstr>
      <vt:lpstr>REGASSETS&amp;DDS</vt:lpstr>
      <vt:lpstr>ACCUMDIT</vt:lpstr>
      <vt:lpstr>ACCUMDIT!Print_Area</vt:lpstr>
      <vt:lpstr>BOOKDPR!Print_Area</vt:lpstr>
      <vt:lpstr>'ELEC OPS'!Print_Area</vt:lpstr>
      <vt:lpstr>'FORM 1'!Print_Area</vt:lpstr>
      <vt:lpstr>GP!Print_Area</vt:lpstr>
      <vt:lpstr>'GROSS PLANT'!Print_Area</vt:lpstr>
      <vt:lpstr>IP!Print_Area</vt:lpstr>
      <vt:lpstr>'REGASSETS&amp;DDS'!Print_Area</vt:lpstr>
      <vt:lpstr>'SCH M'!Print_Area</vt:lpstr>
      <vt:lpstr>'TAX DEPR'!Print_Area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Fred Nass</cp:lastModifiedBy>
  <dcterms:created xsi:type="dcterms:W3CDTF">2023-06-15T20:03:53Z</dcterms:created>
  <dcterms:modified xsi:type="dcterms:W3CDTF">2023-06-16T15:14:27Z</dcterms:modified>
</cp:coreProperties>
</file>