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comments5.xml" ContentType="application/vnd.openxmlformats-officedocument.spreadsheetml.comments+xml"/>
  <Override PartName="/xl/threadedComments/threadedComment4.xml" ContentType="application/vnd.ms-excel.threadedcomments+xml"/>
  <Override PartName="/xl/comments6.xml" ContentType="application/vnd.openxmlformats-officedocument.spreadsheetml.comments+xml"/>
  <Override PartName="/xl/threadedComments/threadedComment5.xml" ContentType="application/vnd.ms-excel.threadedcomments+xml"/>
  <Override PartName="/xl/comments7.xml" ContentType="application/vnd.openxmlformats-officedocument.spreadsheetml.comments+xml"/>
  <Override PartName="/xl/threadedComments/threadedComment6.xml" ContentType="application/vnd.ms-excel.threadedcomments+xml"/>
  <Override PartName="/xl/comments8.xml" ContentType="application/vnd.openxmlformats-officedocument.spreadsheetml.comments+xml"/>
  <Override PartName="/xl/threadedComments/threadedComment7.xml" ContentType="application/vnd.ms-excel.threadedcomments+xml"/>
  <Override PartName="/xl/comments9.xml" ContentType="application/vnd.openxmlformats-officedocument.spreadsheetml.comments+xml"/>
  <Override PartName="/xl/threadedComments/threadedComment8.xml" ContentType="application/vnd.ms-excel.threadedcomments+xml"/>
  <Override PartName="/xl/comments10.xml" ContentType="application/vnd.openxmlformats-officedocument.spreadsheetml.comments+xml"/>
  <Override PartName="/xl/threadedComments/threadedComment9.xml" ContentType="application/vnd.ms-excel.threadedcomments+xml"/>
  <Override PartName="/xl/comments11.xml" ContentType="application/vnd.openxmlformats-officedocument.spreadsheetml.comments+xml"/>
  <Override PartName="/xl/threadedComments/threadedComment10.xml" ContentType="application/vnd.ms-excel.threadedcomments+xml"/>
  <Override PartName="/xl/comments12.xml" ContentType="application/vnd.openxmlformats-officedocument.spreadsheetml.comments+xml"/>
  <Override PartName="/xl/threadedComments/threadedComment1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47\"/>
    </mc:Choice>
  </mc:AlternateContent>
  <xr:revisionPtr revIDLastSave="0" documentId="8_{5CA63D75-5D3E-48A4-BF43-EE667766D92F}" xr6:coauthVersionLast="47" xr6:coauthVersionMax="47" xr10:uidLastSave="{00000000-0000-0000-0000-000000000000}"/>
  <bookViews>
    <workbookView xWindow="2205" yWindow="0" windowWidth="24600" windowHeight="15480" xr2:uid="{4CBE8187-3C12-4A7C-8A49-B5E712655D80}"/>
  </bookViews>
  <sheets>
    <sheet name="Table 1" sheetId="25" r:id="rId1"/>
    <sheet name="Table 2" sheetId="66" r:id="rId2"/>
    <sheet name="Table 4" sheetId="28" r:id="rId3"/>
    <sheet name="Table3ACsummary" sheetId="77" state="hidden" r:id="rId4"/>
    <sheet name="Table 5" sheetId="31" r:id="rId5"/>
    <sheet name="Table3Compare" sheetId="131" r:id="rId6"/>
    <sheet name="Table 3 TransCost" sheetId="47" r:id="rId7"/>
    <sheet name="IRP_LTReport" sheetId="97" r:id="rId8"/>
    <sheet name="Inflation" sheetId="96" r:id="rId9"/>
    <sheet name="IRP_PTC_ESC" sheetId="103" r:id="rId10"/>
    <sheet name="2025_WD_.PX.WYE._.SER.WD" sheetId="139" r:id="rId11"/>
    <sheet name="2025_WD_.PX.UWY._.SER.WD" sheetId="122" r:id="rId12"/>
    <sheet name="2027_WD_.PX.WWA._.215.WD" sheetId="116" r:id="rId13"/>
    <sheet name="2028_WD_.PX.BOR._.PTC.WD" sheetId="117" r:id="rId14"/>
    <sheet name="2029_WD_.PX.WYE.1.A01.WD" sheetId="121" r:id="rId15"/>
    <sheet name="2029_WD_.PX.BDG._.PTC.Bridger.W" sheetId="119" r:id="rId16"/>
    <sheet name="2029_WD_.PX.WYE._.PTC.WD" sheetId="120" r:id="rId17"/>
    <sheet name="2032_WD_.PX.PNC._.PTC.WD" sheetId="153" r:id="rId18"/>
    <sheet name="2032_WD_.PX.SOR._.PTC.WD" sheetId="154" r:id="rId19"/>
    <sheet name="2032_WD_.PX.WWA._.PTC.WD" sheetId="156" r:id="rId20"/>
    <sheet name="2032_WD_.PX.YAK._.PTC.WD" sheetId="157" r:id="rId21"/>
    <sheet name="2032_WD_.PX.WYE._.PTC.Djohns.WD" sheetId="158" r:id="rId22"/>
    <sheet name="2032_WD_.PX.WYN._.PTC.WD" sheetId="159" r:id="rId23"/>
    <sheet name="2033_WD_.PX.SOR._.PTC.WD" sheetId="155" r:id="rId24"/>
    <sheet name="2025_PV_.PX.UTS._.SER.PV" sheetId="109" r:id="rId25"/>
    <sheet name="2025_PV_.PX.UWY._.SER.PV" sheetId="147" r:id="rId26"/>
    <sheet name="2028_PV_.PX.UTS._.PTC.Hunter.PV" sheetId="137" r:id="rId27"/>
    <sheet name="2028_PV_.PX.UTS._.PTC.Huntingto" sheetId="138" r:id="rId28"/>
    <sheet name="2028_PV_.PX.BOR._.PTC.PV" sheetId="132" r:id="rId29"/>
    <sheet name="2032_PV_.PX.BDG._.PTC.JB.PV" sheetId="148" r:id="rId30"/>
    <sheet name="2034_PV_.PX.UTN._.PTC.PV" sheetId="149" r:id="rId31"/>
    <sheet name="2025_PVS.PX.UTS._.SER.PV" sheetId="104" r:id="rId32"/>
    <sheet name="2025_PVS.PX.UWY._.SER.PV" sheetId="99" r:id="rId33"/>
    <sheet name="2025_PVS.PX.WYE._.SER.PV" sheetId="100" r:id="rId34"/>
    <sheet name="2025_PVS.PX.WMV._.222.PV" sheetId="150" r:id="rId35"/>
    <sheet name="2026_PVS.PX.CLV.1.TC4.PV" sheetId="133" r:id="rId36"/>
    <sheet name="2026_PVS.PX.BOR._.2C5.PV" sheetId="101" r:id="rId37"/>
    <sheet name="2026_PVS.PX.COR._.TC8.PV" sheetId="110" r:id="rId38"/>
    <sheet name="2026_PVS.PX.WMV._.223.PV" sheetId="112" r:id="rId39"/>
    <sheet name="2026_PVS.PX.YAK._.110.PV" sheetId="114" r:id="rId40"/>
    <sheet name="2027_PVS.PX.WWA._.215.PV" sheetId="135" r:id="rId41"/>
    <sheet name="2029_PVS.PX.GOE.1.A43.PV" sheetId="140" r:id="rId42"/>
    <sheet name="2025_PVS.PX.UTS._.SER.BAT" sheetId="98" r:id="rId43"/>
    <sheet name="2025_PVS.PX.UWY._.SER.BAT" sheetId="105" r:id="rId44"/>
    <sheet name="2025_PVS.PX.WYE._.SER.BAT" sheetId="107" r:id="rId45"/>
    <sheet name="2025_PVS.PX.WMV._.222.BAT" sheetId="151" r:id="rId46"/>
    <sheet name="2026_PVS.PX.CLV.1.TC4.BAT" sheetId="134" r:id="rId47"/>
    <sheet name="2026_PVS.PX.BOR._.2C5.BAT" sheetId="108" r:id="rId48"/>
    <sheet name="2026_PVS.PX.COR._.TC8.BAT" sheetId="111" r:id="rId49"/>
    <sheet name="2026_PVS.PX.WMV._.223.BAT" sheetId="113" r:id="rId50"/>
    <sheet name="2026_PVS.PX.YAK._.110.BAT" sheetId="115" r:id="rId51"/>
    <sheet name="2026_PVS.PX.WWA._.215.BAT" sheetId="136" r:id="rId52"/>
    <sheet name="2029_PVS.PX.GOE.1.A43.BAT" sheetId="141" r:id="rId53"/>
    <sheet name="2026_BAT.PX.BPA._.221.Lithium-I" sheetId="125" r:id="rId54"/>
    <sheet name="2027_BAT.PX.WWA._.215.Lithium-i" sheetId="126" r:id="rId55"/>
    <sheet name="2028_BAT.PX.WYE._.ITC.DJ+Wyodak" sheetId="124" r:id="rId56"/>
    <sheet name="2028_BAT.PX.BOR._.ITC.Lithium-i" sheetId="123" r:id="rId57"/>
    <sheet name="2029_BAT.PX.UTN._.ITC.Lithium-i" sheetId="106" r:id="rId58"/>
    <sheet name="NonE 303MW (UT) 2030" sheetId="143" r:id="rId59"/>
  </sheets>
  <externalReferences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30_Geo_West">'[1]Table 1'!$I$17</definedName>
    <definedName name="_436_CCCT_WestMain">'[1]Table 1'!$I$18</definedName>
    <definedName name="_477_CCCT_WestMain">'[2]Table 1'!$I$18</definedName>
    <definedName name="_635_CCCT_UtahS">'[2]Table 1'!$I$19</definedName>
    <definedName name="_635_CCCT_WyoNE">'[2]Table 1'!$I$17</definedName>
    <definedName name="_j1" localSheetId="24" hidden="1">{"PRINT",#N/A,TRUE,"APPA";"PRINT",#N/A,TRUE,"APS";"PRINT",#N/A,TRUE,"BHPL";"PRINT",#N/A,TRUE,"BHPL2";"PRINT",#N/A,TRUE,"CDWR";"PRINT",#N/A,TRUE,"EWEB";"PRINT",#N/A,TRUE,"LADWP";"PRINT",#N/A,TRUE,"NEVBASE"}</definedName>
    <definedName name="_j1" localSheetId="25" hidden="1">{"PRINT",#N/A,TRUE,"APPA";"PRINT",#N/A,TRUE,"APS";"PRINT",#N/A,TRUE,"BHPL";"PRINT",#N/A,TRUE,"BHPL2";"PRINT",#N/A,TRUE,"CDWR";"PRINT",#N/A,TRUE,"EWEB";"PRINT",#N/A,TRUE,"LADWP";"PRINT",#N/A,TRUE,"NEVBASE"}</definedName>
    <definedName name="_j1" localSheetId="42" hidden="1">{"PRINT",#N/A,TRUE,"APPA";"PRINT",#N/A,TRUE,"APS";"PRINT",#N/A,TRUE,"BHPL";"PRINT",#N/A,TRUE,"BHPL2";"PRINT",#N/A,TRUE,"CDWR";"PRINT",#N/A,TRUE,"EWEB";"PRINT",#N/A,TRUE,"LADWP";"PRINT",#N/A,TRUE,"NEVBASE"}</definedName>
    <definedName name="_j1" localSheetId="31" hidden="1">{"PRINT",#N/A,TRUE,"APPA";"PRINT",#N/A,TRUE,"APS";"PRINT",#N/A,TRUE,"BHPL";"PRINT",#N/A,TRUE,"BHPL2";"PRINT",#N/A,TRUE,"CDWR";"PRINT",#N/A,TRUE,"EWEB";"PRINT",#N/A,TRUE,"LADWP";"PRINT",#N/A,TRUE,"NEVBASE"}</definedName>
    <definedName name="_j1" localSheetId="43" hidden="1">{"PRINT",#N/A,TRUE,"APPA";"PRINT",#N/A,TRUE,"APS";"PRINT",#N/A,TRUE,"BHPL";"PRINT",#N/A,TRUE,"BHPL2";"PRINT",#N/A,TRUE,"CDWR";"PRINT",#N/A,TRUE,"EWEB";"PRINT",#N/A,TRUE,"LADWP";"PRINT",#N/A,TRUE,"NEVBASE"}</definedName>
    <definedName name="_j1" localSheetId="32" hidden="1">{"PRINT",#N/A,TRUE,"APPA";"PRINT",#N/A,TRUE,"APS";"PRINT",#N/A,TRUE,"BHPL";"PRINT",#N/A,TRUE,"BHPL2";"PRINT",#N/A,TRUE,"CDWR";"PRINT",#N/A,TRUE,"EWEB";"PRINT",#N/A,TRUE,"LADWP";"PRINT",#N/A,TRUE,"NEVBASE"}</definedName>
    <definedName name="_j1" localSheetId="45" hidden="1">{"PRINT",#N/A,TRUE,"APPA";"PRINT",#N/A,TRUE,"APS";"PRINT",#N/A,TRUE,"BHPL";"PRINT",#N/A,TRUE,"BHPL2";"PRINT",#N/A,TRUE,"CDWR";"PRINT",#N/A,TRUE,"EWEB";"PRINT",#N/A,TRUE,"LADWP";"PRINT",#N/A,TRUE,"NEVBASE"}</definedName>
    <definedName name="_j1" localSheetId="34" hidden="1">{"PRINT",#N/A,TRUE,"APPA";"PRINT",#N/A,TRUE,"APS";"PRINT",#N/A,TRUE,"BHPL";"PRINT",#N/A,TRUE,"BHPL2";"PRINT",#N/A,TRUE,"CDWR";"PRINT",#N/A,TRUE,"EWEB";"PRINT",#N/A,TRUE,"LADWP";"PRINT",#N/A,TRUE,"NEVBASE"}</definedName>
    <definedName name="_j1" localSheetId="44" hidden="1">{"PRINT",#N/A,TRUE,"APPA";"PRINT",#N/A,TRUE,"APS";"PRINT",#N/A,TRUE,"BHPL";"PRINT",#N/A,TRUE,"BHPL2";"PRINT",#N/A,TRUE,"CDWR";"PRINT",#N/A,TRUE,"EWEB";"PRINT",#N/A,TRUE,"LADWP";"PRINT",#N/A,TRUE,"NEVBASE"}</definedName>
    <definedName name="_j1" localSheetId="33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53" hidden="1">{"PRINT",#N/A,TRUE,"APPA";"PRINT",#N/A,TRUE,"APS";"PRINT",#N/A,TRUE,"BHPL";"PRINT",#N/A,TRUE,"BHPL2";"PRINT",#N/A,TRUE,"CDWR";"PRINT",#N/A,TRUE,"EWEB";"PRINT",#N/A,TRUE,"LADWP";"PRINT",#N/A,TRUE,"NEVBASE"}</definedName>
    <definedName name="_j1" localSheetId="47" hidden="1">{"PRINT",#N/A,TRUE,"APPA";"PRINT",#N/A,TRUE,"APS";"PRINT",#N/A,TRUE,"BHPL";"PRINT",#N/A,TRUE,"BHPL2";"PRINT",#N/A,TRUE,"CDWR";"PRINT",#N/A,TRUE,"EWEB";"PRINT",#N/A,TRUE,"LADWP";"PRINT",#N/A,TRUE,"NEVBASE"}</definedName>
    <definedName name="_j1" localSheetId="36" hidden="1">{"PRINT",#N/A,TRUE,"APPA";"PRINT",#N/A,TRUE,"APS";"PRINT",#N/A,TRUE,"BHPL";"PRINT",#N/A,TRUE,"BHPL2";"PRINT",#N/A,TRUE,"CDWR";"PRINT",#N/A,TRUE,"EWEB";"PRINT",#N/A,TRUE,"LADWP";"PRINT",#N/A,TRUE,"NEVBASE"}</definedName>
    <definedName name="_j1" localSheetId="46" hidden="1">{"PRINT",#N/A,TRUE,"APPA";"PRINT",#N/A,TRUE,"APS";"PRINT",#N/A,TRUE,"BHPL";"PRINT",#N/A,TRUE,"BHPL2";"PRINT",#N/A,TRUE,"CDWR";"PRINT",#N/A,TRUE,"EWEB";"PRINT",#N/A,TRUE,"LADWP";"PRINT",#N/A,TRUE,"NEVBASE"}</definedName>
    <definedName name="_j1" localSheetId="35" hidden="1">{"PRINT",#N/A,TRUE,"APPA";"PRINT",#N/A,TRUE,"APS";"PRINT",#N/A,TRUE,"BHPL";"PRINT",#N/A,TRUE,"BHPL2";"PRINT",#N/A,TRUE,"CDWR";"PRINT",#N/A,TRUE,"EWEB";"PRINT",#N/A,TRUE,"LADWP";"PRINT",#N/A,TRUE,"NEVBASE"}</definedName>
    <definedName name="_j1" localSheetId="48" hidden="1">{"PRINT",#N/A,TRUE,"APPA";"PRINT",#N/A,TRUE,"APS";"PRINT",#N/A,TRUE,"BHPL";"PRINT",#N/A,TRUE,"BHPL2";"PRINT",#N/A,TRUE,"CDWR";"PRINT",#N/A,TRUE,"EWEB";"PRINT",#N/A,TRUE,"LADWP";"PRINT",#N/A,TRUE,"NEVBASE"}</definedName>
    <definedName name="_j1" localSheetId="37" hidden="1">{"PRINT",#N/A,TRUE,"APPA";"PRINT",#N/A,TRUE,"APS";"PRINT",#N/A,TRUE,"BHPL";"PRINT",#N/A,TRUE,"BHPL2";"PRINT",#N/A,TRUE,"CDWR";"PRINT",#N/A,TRUE,"EWEB";"PRINT",#N/A,TRUE,"LADWP";"PRINT",#N/A,TRUE,"NEVBASE"}</definedName>
    <definedName name="_j1" localSheetId="49" hidden="1">{"PRINT",#N/A,TRUE,"APPA";"PRINT",#N/A,TRUE,"APS";"PRINT",#N/A,TRUE,"BHPL";"PRINT",#N/A,TRUE,"BHPL2";"PRINT",#N/A,TRUE,"CDWR";"PRINT",#N/A,TRUE,"EWEB";"PRINT",#N/A,TRUE,"LADWP";"PRINT",#N/A,TRUE,"NEVBASE"}</definedName>
    <definedName name="_j1" localSheetId="38" hidden="1">{"PRINT",#N/A,TRUE,"APPA";"PRINT",#N/A,TRUE,"APS";"PRINT",#N/A,TRUE,"BHPL";"PRINT",#N/A,TRUE,"BHPL2";"PRINT",#N/A,TRUE,"CDWR";"PRINT",#N/A,TRUE,"EWEB";"PRINT",#N/A,TRUE,"LADWP";"PRINT",#N/A,TRUE,"NEVBASE"}</definedName>
    <definedName name="_j1" localSheetId="51" hidden="1">{"PRINT",#N/A,TRUE,"APPA";"PRINT",#N/A,TRUE,"APS";"PRINT",#N/A,TRUE,"BHPL";"PRINT",#N/A,TRUE,"BHPL2";"PRINT",#N/A,TRUE,"CDWR";"PRINT",#N/A,TRUE,"EWEB";"PRINT",#N/A,TRUE,"LADWP";"PRINT",#N/A,TRUE,"NEVBASE"}</definedName>
    <definedName name="_j1" localSheetId="50" hidden="1">{"PRINT",#N/A,TRUE,"APPA";"PRINT",#N/A,TRUE,"APS";"PRINT",#N/A,TRUE,"BHPL";"PRINT",#N/A,TRUE,"BHPL2";"PRINT",#N/A,TRUE,"CDWR";"PRINT",#N/A,TRUE,"EWEB";"PRINT",#N/A,TRUE,"LADWP";"PRINT",#N/A,TRUE,"NEVBASE"}</definedName>
    <definedName name="_j1" localSheetId="39" hidden="1">{"PRINT",#N/A,TRUE,"APPA";"PRINT",#N/A,TRUE,"APS";"PRINT",#N/A,TRUE,"BHPL";"PRINT",#N/A,TRUE,"BHPL2";"PRINT",#N/A,TRUE,"CDWR";"PRINT",#N/A,TRUE,"EWEB";"PRINT",#N/A,TRUE,"LADWP";"PRINT",#N/A,TRUE,"NEVBASE"}</definedName>
    <definedName name="_j1" localSheetId="54" hidden="1">{"PRINT",#N/A,TRUE,"APPA";"PRINT",#N/A,TRUE,"APS";"PRINT",#N/A,TRUE,"BHPL";"PRINT",#N/A,TRUE,"BHPL2";"PRINT",#N/A,TRUE,"CDWR";"PRINT",#N/A,TRUE,"EWEB";"PRINT",#N/A,TRUE,"LADWP";"PRINT",#N/A,TRUE,"NEVBASE"}</definedName>
    <definedName name="_j1" localSheetId="40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56" hidden="1">{"PRINT",#N/A,TRUE,"APPA";"PRINT",#N/A,TRUE,"APS";"PRINT",#N/A,TRUE,"BHPL";"PRINT",#N/A,TRUE,"BHPL2";"PRINT",#N/A,TRUE,"CDWR";"PRINT",#N/A,TRUE,"EWEB";"PRINT",#N/A,TRUE,"LADWP";"PRINT",#N/A,TRUE,"NEVBASE"}</definedName>
    <definedName name="_j1" localSheetId="55" hidden="1">{"PRINT",#N/A,TRUE,"APPA";"PRINT",#N/A,TRUE,"APS";"PRINT",#N/A,TRUE,"BHPL";"PRINT",#N/A,TRUE,"BHPL2";"PRINT",#N/A,TRUE,"CDWR";"PRINT",#N/A,TRUE,"EWEB";"PRINT",#N/A,TRUE,"LADWP";"PRINT",#N/A,TRUE,"NEVBASE"}</definedName>
    <definedName name="_j1" localSheetId="28" hidden="1">{"PRINT",#N/A,TRUE,"APPA";"PRINT",#N/A,TRUE,"APS";"PRINT",#N/A,TRUE,"BHPL";"PRINT",#N/A,TRUE,"BHPL2";"PRINT",#N/A,TRUE,"CDWR";"PRINT",#N/A,TRUE,"EWEB";"PRINT",#N/A,TRUE,"LADWP";"PRINT",#N/A,TRUE,"NEVBASE"}</definedName>
    <definedName name="_j1" localSheetId="26" hidden="1">{"PRINT",#N/A,TRUE,"APPA";"PRINT",#N/A,TRUE,"APS";"PRINT",#N/A,TRUE,"BHPL";"PRINT",#N/A,TRUE,"BHPL2";"PRINT",#N/A,TRUE,"CDWR";"PRINT",#N/A,TRUE,"EWEB";"PRINT",#N/A,TRUE,"LADWP";"PRINT",#N/A,TRUE,"NEVBASE"}</definedName>
    <definedName name="_j1" localSheetId="27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57" hidden="1">{"PRINT",#N/A,TRUE,"APPA";"PRINT",#N/A,TRUE,"APS";"PRINT",#N/A,TRUE,"BHPL";"PRINT",#N/A,TRUE,"BHPL2";"PRINT",#N/A,TRUE,"CDWR";"PRINT",#N/A,TRUE,"EWEB";"PRINT",#N/A,TRUE,"LADWP";"PRINT",#N/A,TRUE,"NEVBASE"}</definedName>
    <definedName name="_j1" localSheetId="52" hidden="1">{"PRINT",#N/A,TRUE,"APPA";"PRINT",#N/A,TRUE,"APS";"PRINT",#N/A,TRUE,"BHPL";"PRINT",#N/A,TRUE,"BHPL2";"PRINT",#N/A,TRUE,"CDWR";"PRINT",#N/A,TRUE,"EWEB";"PRINT",#N/A,TRUE,"LADWP";"PRINT",#N/A,TRUE,"NEVBASE"}</definedName>
    <definedName name="_j1" localSheetId="41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2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30" hidden="1">{"PRINT",#N/A,TRUE,"APPA";"PRINT",#N/A,TRUE,"APS";"PRINT",#N/A,TRUE,"BHPL";"PRINT",#N/A,TRUE,"BHPL2";"PRINT",#N/A,TRUE,"CDWR";"PRINT",#N/A,TRUE,"EWEB";"PRINT",#N/A,TRUE,"LADWP";"PRINT",#N/A,TRUE,"NEVBASE"}</definedName>
    <definedName name="_j1" localSheetId="58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24" hidden="1">{"PRINT",#N/A,TRUE,"APPA";"PRINT",#N/A,TRUE,"APS";"PRINT",#N/A,TRUE,"BHPL";"PRINT",#N/A,TRUE,"BHPL2";"PRINT",#N/A,TRUE,"CDWR";"PRINT",#N/A,TRUE,"EWEB";"PRINT",#N/A,TRUE,"LADWP";"PRINT",#N/A,TRUE,"NEVBASE"}</definedName>
    <definedName name="_j2" localSheetId="25" hidden="1">{"PRINT",#N/A,TRUE,"APPA";"PRINT",#N/A,TRUE,"APS";"PRINT",#N/A,TRUE,"BHPL";"PRINT",#N/A,TRUE,"BHPL2";"PRINT",#N/A,TRUE,"CDWR";"PRINT",#N/A,TRUE,"EWEB";"PRINT",#N/A,TRUE,"LADWP";"PRINT",#N/A,TRUE,"NEVBASE"}</definedName>
    <definedName name="_j2" localSheetId="42" hidden="1">{"PRINT",#N/A,TRUE,"APPA";"PRINT",#N/A,TRUE,"APS";"PRINT",#N/A,TRUE,"BHPL";"PRINT",#N/A,TRUE,"BHPL2";"PRINT",#N/A,TRUE,"CDWR";"PRINT",#N/A,TRUE,"EWEB";"PRINT",#N/A,TRUE,"LADWP";"PRINT",#N/A,TRUE,"NEVBASE"}</definedName>
    <definedName name="_j2" localSheetId="31" hidden="1">{"PRINT",#N/A,TRUE,"APPA";"PRINT",#N/A,TRUE,"APS";"PRINT",#N/A,TRUE,"BHPL";"PRINT",#N/A,TRUE,"BHPL2";"PRINT",#N/A,TRUE,"CDWR";"PRINT",#N/A,TRUE,"EWEB";"PRINT",#N/A,TRUE,"LADWP";"PRINT",#N/A,TRUE,"NEVBASE"}</definedName>
    <definedName name="_j2" localSheetId="43" hidden="1">{"PRINT",#N/A,TRUE,"APPA";"PRINT",#N/A,TRUE,"APS";"PRINT",#N/A,TRUE,"BHPL";"PRINT",#N/A,TRUE,"BHPL2";"PRINT",#N/A,TRUE,"CDWR";"PRINT",#N/A,TRUE,"EWEB";"PRINT",#N/A,TRUE,"LADWP";"PRINT",#N/A,TRUE,"NEVBASE"}</definedName>
    <definedName name="_j2" localSheetId="32" hidden="1">{"PRINT",#N/A,TRUE,"APPA";"PRINT",#N/A,TRUE,"APS";"PRINT",#N/A,TRUE,"BHPL";"PRINT",#N/A,TRUE,"BHPL2";"PRINT",#N/A,TRUE,"CDWR";"PRINT",#N/A,TRUE,"EWEB";"PRINT",#N/A,TRUE,"LADWP";"PRINT",#N/A,TRUE,"NEVBASE"}</definedName>
    <definedName name="_j2" localSheetId="45" hidden="1">{"PRINT",#N/A,TRUE,"APPA";"PRINT",#N/A,TRUE,"APS";"PRINT",#N/A,TRUE,"BHPL";"PRINT",#N/A,TRUE,"BHPL2";"PRINT",#N/A,TRUE,"CDWR";"PRINT",#N/A,TRUE,"EWEB";"PRINT",#N/A,TRUE,"LADWP";"PRINT",#N/A,TRUE,"NEVBASE"}</definedName>
    <definedName name="_j2" localSheetId="34" hidden="1">{"PRINT",#N/A,TRUE,"APPA";"PRINT",#N/A,TRUE,"APS";"PRINT",#N/A,TRUE,"BHPL";"PRINT",#N/A,TRUE,"BHPL2";"PRINT",#N/A,TRUE,"CDWR";"PRINT",#N/A,TRUE,"EWEB";"PRINT",#N/A,TRUE,"LADWP";"PRINT",#N/A,TRUE,"NEVBASE"}</definedName>
    <definedName name="_j2" localSheetId="44" hidden="1">{"PRINT",#N/A,TRUE,"APPA";"PRINT",#N/A,TRUE,"APS";"PRINT",#N/A,TRUE,"BHPL";"PRINT",#N/A,TRUE,"BHPL2";"PRINT",#N/A,TRUE,"CDWR";"PRINT",#N/A,TRUE,"EWEB";"PRINT",#N/A,TRUE,"LADWP";"PRINT",#N/A,TRUE,"NEVBASE"}</definedName>
    <definedName name="_j2" localSheetId="33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53" hidden="1">{"PRINT",#N/A,TRUE,"APPA";"PRINT",#N/A,TRUE,"APS";"PRINT",#N/A,TRUE,"BHPL";"PRINT",#N/A,TRUE,"BHPL2";"PRINT",#N/A,TRUE,"CDWR";"PRINT",#N/A,TRUE,"EWEB";"PRINT",#N/A,TRUE,"LADWP";"PRINT",#N/A,TRUE,"NEVBASE"}</definedName>
    <definedName name="_j2" localSheetId="47" hidden="1">{"PRINT",#N/A,TRUE,"APPA";"PRINT",#N/A,TRUE,"APS";"PRINT",#N/A,TRUE,"BHPL";"PRINT",#N/A,TRUE,"BHPL2";"PRINT",#N/A,TRUE,"CDWR";"PRINT",#N/A,TRUE,"EWEB";"PRINT",#N/A,TRUE,"LADWP";"PRINT",#N/A,TRUE,"NEVBASE"}</definedName>
    <definedName name="_j2" localSheetId="36" hidden="1">{"PRINT",#N/A,TRUE,"APPA";"PRINT",#N/A,TRUE,"APS";"PRINT",#N/A,TRUE,"BHPL";"PRINT",#N/A,TRUE,"BHPL2";"PRINT",#N/A,TRUE,"CDWR";"PRINT",#N/A,TRUE,"EWEB";"PRINT",#N/A,TRUE,"LADWP";"PRINT",#N/A,TRUE,"NEVBASE"}</definedName>
    <definedName name="_j2" localSheetId="46" hidden="1">{"PRINT",#N/A,TRUE,"APPA";"PRINT",#N/A,TRUE,"APS";"PRINT",#N/A,TRUE,"BHPL";"PRINT",#N/A,TRUE,"BHPL2";"PRINT",#N/A,TRUE,"CDWR";"PRINT",#N/A,TRUE,"EWEB";"PRINT",#N/A,TRUE,"LADWP";"PRINT",#N/A,TRUE,"NEVBASE"}</definedName>
    <definedName name="_j2" localSheetId="35" hidden="1">{"PRINT",#N/A,TRUE,"APPA";"PRINT",#N/A,TRUE,"APS";"PRINT",#N/A,TRUE,"BHPL";"PRINT",#N/A,TRUE,"BHPL2";"PRINT",#N/A,TRUE,"CDWR";"PRINT",#N/A,TRUE,"EWEB";"PRINT",#N/A,TRUE,"LADWP";"PRINT",#N/A,TRUE,"NEVBASE"}</definedName>
    <definedName name="_j2" localSheetId="48" hidden="1">{"PRINT",#N/A,TRUE,"APPA";"PRINT",#N/A,TRUE,"APS";"PRINT",#N/A,TRUE,"BHPL";"PRINT",#N/A,TRUE,"BHPL2";"PRINT",#N/A,TRUE,"CDWR";"PRINT",#N/A,TRUE,"EWEB";"PRINT",#N/A,TRUE,"LADWP";"PRINT",#N/A,TRUE,"NEVBASE"}</definedName>
    <definedName name="_j2" localSheetId="37" hidden="1">{"PRINT",#N/A,TRUE,"APPA";"PRINT",#N/A,TRUE,"APS";"PRINT",#N/A,TRUE,"BHPL";"PRINT",#N/A,TRUE,"BHPL2";"PRINT",#N/A,TRUE,"CDWR";"PRINT",#N/A,TRUE,"EWEB";"PRINT",#N/A,TRUE,"LADWP";"PRINT",#N/A,TRUE,"NEVBASE"}</definedName>
    <definedName name="_j2" localSheetId="49" hidden="1">{"PRINT",#N/A,TRUE,"APPA";"PRINT",#N/A,TRUE,"APS";"PRINT",#N/A,TRUE,"BHPL";"PRINT",#N/A,TRUE,"BHPL2";"PRINT",#N/A,TRUE,"CDWR";"PRINT",#N/A,TRUE,"EWEB";"PRINT",#N/A,TRUE,"LADWP";"PRINT",#N/A,TRUE,"NEVBASE"}</definedName>
    <definedName name="_j2" localSheetId="38" hidden="1">{"PRINT",#N/A,TRUE,"APPA";"PRINT",#N/A,TRUE,"APS";"PRINT",#N/A,TRUE,"BHPL";"PRINT",#N/A,TRUE,"BHPL2";"PRINT",#N/A,TRUE,"CDWR";"PRINT",#N/A,TRUE,"EWEB";"PRINT",#N/A,TRUE,"LADWP";"PRINT",#N/A,TRUE,"NEVBASE"}</definedName>
    <definedName name="_j2" localSheetId="51" hidden="1">{"PRINT",#N/A,TRUE,"APPA";"PRINT",#N/A,TRUE,"APS";"PRINT",#N/A,TRUE,"BHPL";"PRINT",#N/A,TRUE,"BHPL2";"PRINT",#N/A,TRUE,"CDWR";"PRINT",#N/A,TRUE,"EWEB";"PRINT",#N/A,TRUE,"LADWP";"PRINT",#N/A,TRUE,"NEVBASE"}</definedName>
    <definedName name="_j2" localSheetId="50" hidden="1">{"PRINT",#N/A,TRUE,"APPA";"PRINT",#N/A,TRUE,"APS";"PRINT",#N/A,TRUE,"BHPL";"PRINT",#N/A,TRUE,"BHPL2";"PRINT",#N/A,TRUE,"CDWR";"PRINT",#N/A,TRUE,"EWEB";"PRINT",#N/A,TRUE,"LADWP";"PRINT",#N/A,TRUE,"NEVBASE"}</definedName>
    <definedName name="_j2" localSheetId="39" hidden="1">{"PRINT",#N/A,TRUE,"APPA";"PRINT",#N/A,TRUE,"APS";"PRINT",#N/A,TRUE,"BHPL";"PRINT",#N/A,TRUE,"BHPL2";"PRINT",#N/A,TRUE,"CDWR";"PRINT",#N/A,TRUE,"EWEB";"PRINT",#N/A,TRUE,"LADWP";"PRINT",#N/A,TRUE,"NEVBASE"}</definedName>
    <definedName name="_j2" localSheetId="54" hidden="1">{"PRINT",#N/A,TRUE,"APPA";"PRINT",#N/A,TRUE,"APS";"PRINT",#N/A,TRUE,"BHPL";"PRINT",#N/A,TRUE,"BHPL2";"PRINT",#N/A,TRUE,"CDWR";"PRINT",#N/A,TRUE,"EWEB";"PRINT",#N/A,TRUE,"LADWP";"PRINT",#N/A,TRUE,"NEVBASE"}</definedName>
    <definedName name="_j2" localSheetId="40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56" hidden="1">{"PRINT",#N/A,TRUE,"APPA";"PRINT",#N/A,TRUE,"APS";"PRINT",#N/A,TRUE,"BHPL";"PRINT",#N/A,TRUE,"BHPL2";"PRINT",#N/A,TRUE,"CDWR";"PRINT",#N/A,TRUE,"EWEB";"PRINT",#N/A,TRUE,"LADWP";"PRINT",#N/A,TRUE,"NEVBASE"}</definedName>
    <definedName name="_j2" localSheetId="55" hidden="1">{"PRINT",#N/A,TRUE,"APPA";"PRINT",#N/A,TRUE,"APS";"PRINT",#N/A,TRUE,"BHPL";"PRINT",#N/A,TRUE,"BHPL2";"PRINT",#N/A,TRUE,"CDWR";"PRINT",#N/A,TRUE,"EWEB";"PRINT",#N/A,TRUE,"LADWP";"PRINT",#N/A,TRUE,"NEVBASE"}</definedName>
    <definedName name="_j2" localSheetId="28" hidden="1">{"PRINT",#N/A,TRUE,"APPA";"PRINT",#N/A,TRUE,"APS";"PRINT",#N/A,TRUE,"BHPL";"PRINT",#N/A,TRUE,"BHPL2";"PRINT",#N/A,TRUE,"CDWR";"PRINT",#N/A,TRUE,"EWEB";"PRINT",#N/A,TRUE,"LADWP";"PRINT",#N/A,TRUE,"NEVBASE"}</definedName>
    <definedName name="_j2" localSheetId="26" hidden="1">{"PRINT",#N/A,TRUE,"APPA";"PRINT",#N/A,TRUE,"APS";"PRINT",#N/A,TRUE,"BHPL";"PRINT",#N/A,TRUE,"BHPL2";"PRINT",#N/A,TRUE,"CDWR";"PRINT",#N/A,TRUE,"EWEB";"PRINT",#N/A,TRUE,"LADWP";"PRINT",#N/A,TRUE,"NEVBASE"}</definedName>
    <definedName name="_j2" localSheetId="27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57" hidden="1">{"PRINT",#N/A,TRUE,"APPA";"PRINT",#N/A,TRUE,"APS";"PRINT",#N/A,TRUE,"BHPL";"PRINT",#N/A,TRUE,"BHPL2";"PRINT",#N/A,TRUE,"CDWR";"PRINT",#N/A,TRUE,"EWEB";"PRINT",#N/A,TRUE,"LADWP";"PRINT",#N/A,TRUE,"NEVBASE"}</definedName>
    <definedName name="_j2" localSheetId="52" hidden="1">{"PRINT",#N/A,TRUE,"APPA";"PRINT",#N/A,TRUE,"APS";"PRINT",#N/A,TRUE,"BHPL";"PRINT",#N/A,TRUE,"BHPL2";"PRINT",#N/A,TRUE,"CDWR";"PRINT",#N/A,TRUE,"EWEB";"PRINT",#N/A,TRUE,"LADWP";"PRINT",#N/A,TRUE,"NEVBASE"}</definedName>
    <definedName name="_j2" localSheetId="41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2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30" hidden="1">{"PRINT",#N/A,TRUE,"APPA";"PRINT",#N/A,TRUE,"APS";"PRINT",#N/A,TRUE,"BHPL";"PRINT",#N/A,TRUE,"BHPL2";"PRINT",#N/A,TRUE,"CDWR";"PRINT",#N/A,TRUE,"EWEB";"PRINT",#N/A,TRUE,"LADWP";"PRINT",#N/A,TRUE,"NEVBASE"}</definedName>
    <definedName name="_j2" localSheetId="58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24" hidden="1">{"PRINT",#N/A,TRUE,"APPA";"PRINT",#N/A,TRUE,"APS";"PRINT",#N/A,TRUE,"BHPL";"PRINT",#N/A,TRUE,"BHPL2";"PRINT",#N/A,TRUE,"CDWR";"PRINT",#N/A,TRUE,"EWEB";"PRINT",#N/A,TRUE,"LADWP";"PRINT",#N/A,TRUE,"NEVBASE"}</definedName>
    <definedName name="_j3" localSheetId="25" hidden="1">{"PRINT",#N/A,TRUE,"APPA";"PRINT",#N/A,TRUE,"APS";"PRINT",#N/A,TRUE,"BHPL";"PRINT",#N/A,TRUE,"BHPL2";"PRINT",#N/A,TRUE,"CDWR";"PRINT",#N/A,TRUE,"EWEB";"PRINT",#N/A,TRUE,"LADWP";"PRINT",#N/A,TRUE,"NEVBASE"}</definedName>
    <definedName name="_j3" localSheetId="42" hidden="1">{"PRINT",#N/A,TRUE,"APPA";"PRINT",#N/A,TRUE,"APS";"PRINT",#N/A,TRUE,"BHPL";"PRINT",#N/A,TRUE,"BHPL2";"PRINT",#N/A,TRUE,"CDWR";"PRINT",#N/A,TRUE,"EWEB";"PRINT",#N/A,TRUE,"LADWP";"PRINT",#N/A,TRUE,"NEVBASE"}</definedName>
    <definedName name="_j3" localSheetId="31" hidden="1">{"PRINT",#N/A,TRUE,"APPA";"PRINT",#N/A,TRUE,"APS";"PRINT",#N/A,TRUE,"BHPL";"PRINT",#N/A,TRUE,"BHPL2";"PRINT",#N/A,TRUE,"CDWR";"PRINT",#N/A,TRUE,"EWEB";"PRINT",#N/A,TRUE,"LADWP";"PRINT",#N/A,TRUE,"NEVBASE"}</definedName>
    <definedName name="_j3" localSheetId="43" hidden="1">{"PRINT",#N/A,TRUE,"APPA";"PRINT",#N/A,TRUE,"APS";"PRINT",#N/A,TRUE,"BHPL";"PRINT",#N/A,TRUE,"BHPL2";"PRINT",#N/A,TRUE,"CDWR";"PRINT",#N/A,TRUE,"EWEB";"PRINT",#N/A,TRUE,"LADWP";"PRINT",#N/A,TRUE,"NEVBASE"}</definedName>
    <definedName name="_j3" localSheetId="32" hidden="1">{"PRINT",#N/A,TRUE,"APPA";"PRINT",#N/A,TRUE,"APS";"PRINT",#N/A,TRUE,"BHPL";"PRINT",#N/A,TRUE,"BHPL2";"PRINT",#N/A,TRUE,"CDWR";"PRINT",#N/A,TRUE,"EWEB";"PRINT",#N/A,TRUE,"LADWP";"PRINT",#N/A,TRUE,"NEVBASE"}</definedName>
    <definedName name="_j3" localSheetId="45" hidden="1">{"PRINT",#N/A,TRUE,"APPA";"PRINT",#N/A,TRUE,"APS";"PRINT",#N/A,TRUE,"BHPL";"PRINT",#N/A,TRUE,"BHPL2";"PRINT",#N/A,TRUE,"CDWR";"PRINT",#N/A,TRUE,"EWEB";"PRINT",#N/A,TRUE,"LADWP";"PRINT",#N/A,TRUE,"NEVBASE"}</definedName>
    <definedName name="_j3" localSheetId="34" hidden="1">{"PRINT",#N/A,TRUE,"APPA";"PRINT",#N/A,TRUE,"APS";"PRINT",#N/A,TRUE,"BHPL";"PRINT",#N/A,TRUE,"BHPL2";"PRINT",#N/A,TRUE,"CDWR";"PRINT",#N/A,TRUE,"EWEB";"PRINT",#N/A,TRUE,"LADWP";"PRINT",#N/A,TRUE,"NEVBASE"}</definedName>
    <definedName name="_j3" localSheetId="44" hidden="1">{"PRINT",#N/A,TRUE,"APPA";"PRINT",#N/A,TRUE,"APS";"PRINT",#N/A,TRUE,"BHPL";"PRINT",#N/A,TRUE,"BHPL2";"PRINT",#N/A,TRUE,"CDWR";"PRINT",#N/A,TRUE,"EWEB";"PRINT",#N/A,TRUE,"LADWP";"PRINT",#N/A,TRUE,"NEVBASE"}</definedName>
    <definedName name="_j3" localSheetId="33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53" hidden="1">{"PRINT",#N/A,TRUE,"APPA";"PRINT",#N/A,TRUE,"APS";"PRINT",#N/A,TRUE,"BHPL";"PRINT",#N/A,TRUE,"BHPL2";"PRINT",#N/A,TRUE,"CDWR";"PRINT",#N/A,TRUE,"EWEB";"PRINT",#N/A,TRUE,"LADWP";"PRINT",#N/A,TRUE,"NEVBASE"}</definedName>
    <definedName name="_j3" localSheetId="47" hidden="1">{"PRINT",#N/A,TRUE,"APPA";"PRINT",#N/A,TRUE,"APS";"PRINT",#N/A,TRUE,"BHPL";"PRINT",#N/A,TRUE,"BHPL2";"PRINT",#N/A,TRUE,"CDWR";"PRINT",#N/A,TRUE,"EWEB";"PRINT",#N/A,TRUE,"LADWP";"PRINT",#N/A,TRUE,"NEVBASE"}</definedName>
    <definedName name="_j3" localSheetId="36" hidden="1">{"PRINT",#N/A,TRUE,"APPA";"PRINT",#N/A,TRUE,"APS";"PRINT",#N/A,TRUE,"BHPL";"PRINT",#N/A,TRUE,"BHPL2";"PRINT",#N/A,TRUE,"CDWR";"PRINT",#N/A,TRUE,"EWEB";"PRINT",#N/A,TRUE,"LADWP";"PRINT",#N/A,TRUE,"NEVBASE"}</definedName>
    <definedName name="_j3" localSheetId="46" hidden="1">{"PRINT",#N/A,TRUE,"APPA";"PRINT",#N/A,TRUE,"APS";"PRINT",#N/A,TRUE,"BHPL";"PRINT",#N/A,TRUE,"BHPL2";"PRINT",#N/A,TRUE,"CDWR";"PRINT",#N/A,TRUE,"EWEB";"PRINT",#N/A,TRUE,"LADWP";"PRINT",#N/A,TRUE,"NEVBASE"}</definedName>
    <definedName name="_j3" localSheetId="35" hidden="1">{"PRINT",#N/A,TRUE,"APPA";"PRINT",#N/A,TRUE,"APS";"PRINT",#N/A,TRUE,"BHPL";"PRINT",#N/A,TRUE,"BHPL2";"PRINT",#N/A,TRUE,"CDWR";"PRINT",#N/A,TRUE,"EWEB";"PRINT",#N/A,TRUE,"LADWP";"PRINT",#N/A,TRUE,"NEVBASE"}</definedName>
    <definedName name="_j3" localSheetId="48" hidden="1">{"PRINT",#N/A,TRUE,"APPA";"PRINT",#N/A,TRUE,"APS";"PRINT",#N/A,TRUE,"BHPL";"PRINT",#N/A,TRUE,"BHPL2";"PRINT",#N/A,TRUE,"CDWR";"PRINT",#N/A,TRUE,"EWEB";"PRINT",#N/A,TRUE,"LADWP";"PRINT",#N/A,TRUE,"NEVBASE"}</definedName>
    <definedName name="_j3" localSheetId="37" hidden="1">{"PRINT",#N/A,TRUE,"APPA";"PRINT",#N/A,TRUE,"APS";"PRINT",#N/A,TRUE,"BHPL";"PRINT",#N/A,TRUE,"BHPL2";"PRINT",#N/A,TRUE,"CDWR";"PRINT",#N/A,TRUE,"EWEB";"PRINT",#N/A,TRUE,"LADWP";"PRINT",#N/A,TRUE,"NEVBASE"}</definedName>
    <definedName name="_j3" localSheetId="49" hidden="1">{"PRINT",#N/A,TRUE,"APPA";"PRINT",#N/A,TRUE,"APS";"PRINT",#N/A,TRUE,"BHPL";"PRINT",#N/A,TRUE,"BHPL2";"PRINT",#N/A,TRUE,"CDWR";"PRINT",#N/A,TRUE,"EWEB";"PRINT",#N/A,TRUE,"LADWP";"PRINT",#N/A,TRUE,"NEVBASE"}</definedName>
    <definedName name="_j3" localSheetId="38" hidden="1">{"PRINT",#N/A,TRUE,"APPA";"PRINT",#N/A,TRUE,"APS";"PRINT",#N/A,TRUE,"BHPL";"PRINT",#N/A,TRUE,"BHPL2";"PRINT",#N/A,TRUE,"CDWR";"PRINT",#N/A,TRUE,"EWEB";"PRINT",#N/A,TRUE,"LADWP";"PRINT",#N/A,TRUE,"NEVBASE"}</definedName>
    <definedName name="_j3" localSheetId="51" hidden="1">{"PRINT",#N/A,TRUE,"APPA";"PRINT",#N/A,TRUE,"APS";"PRINT",#N/A,TRUE,"BHPL";"PRINT",#N/A,TRUE,"BHPL2";"PRINT",#N/A,TRUE,"CDWR";"PRINT",#N/A,TRUE,"EWEB";"PRINT",#N/A,TRUE,"LADWP";"PRINT",#N/A,TRUE,"NEVBASE"}</definedName>
    <definedName name="_j3" localSheetId="50" hidden="1">{"PRINT",#N/A,TRUE,"APPA";"PRINT",#N/A,TRUE,"APS";"PRINT",#N/A,TRUE,"BHPL";"PRINT",#N/A,TRUE,"BHPL2";"PRINT",#N/A,TRUE,"CDWR";"PRINT",#N/A,TRUE,"EWEB";"PRINT",#N/A,TRUE,"LADWP";"PRINT",#N/A,TRUE,"NEVBASE"}</definedName>
    <definedName name="_j3" localSheetId="39" hidden="1">{"PRINT",#N/A,TRUE,"APPA";"PRINT",#N/A,TRUE,"APS";"PRINT",#N/A,TRUE,"BHPL";"PRINT",#N/A,TRUE,"BHPL2";"PRINT",#N/A,TRUE,"CDWR";"PRINT",#N/A,TRUE,"EWEB";"PRINT",#N/A,TRUE,"LADWP";"PRINT",#N/A,TRUE,"NEVBASE"}</definedName>
    <definedName name="_j3" localSheetId="54" hidden="1">{"PRINT",#N/A,TRUE,"APPA";"PRINT",#N/A,TRUE,"APS";"PRINT",#N/A,TRUE,"BHPL";"PRINT",#N/A,TRUE,"BHPL2";"PRINT",#N/A,TRUE,"CDWR";"PRINT",#N/A,TRUE,"EWEB";"PRINT",#N/A,TRUE,"LADWP";"PRINT",#N/A,TRUE,"NEVBASE"}</definedName>
    <definedName name="_j3" localSheetId="40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56" hidden="1">{"PRINT",#N/A,TRUE,"APPA";"PRINT",#N/A,TRUE,"APS";"PRINT",#N/A,TRUE,"BHPL";"PRINT",#N/A,TRUE,"BHPL2";"PRINT",#N/A,TRUE,"CDWR";"PRINT",#N/A,TRUE,"EWEB";"PRINT",#N/A,TRUE,"LADWP";"PRINT",#N/A,TRUE,"NEVBASE"}</definedName>
    <definedName name="_j3" localSheetId="55" hidden="1">{"PRINT",#N/A,TRUE,"APPA";"PRINT",#N/A,TRUE,"APS";"PRINT",#N/A,TRUE,"BHPL";"PRINT",#N/A,TRUE,"BHPL2";"PRINT",#N/A,TRUE,"CDWR";"PRINT",#N/A,TRUE,"EWEB";"PRINT",#N/A,TRUE,"LADWP";"PRINT",#N/A,TRUE,"NEVBASE"}</definedName>
    <definedName name="_j3" localSheetId="28" hidden="1">{"PRINT",#N/A,TRUE,"APPA";"PRINT",#N/A,TRUE,"APS";"PRINT",#N/A,TRUE,"BHPL";"PRINT",#N/A,TRUE,"BHPL2";"PRINT",#N/A,TRUE,"CDWR";"PRINT",#N/A,TRUE,"EWEB";"PRINT",#N/A,TRUE,"LADWP";"PRINT",#N/A,TRUE,"NEVBASE"}</definedName>
    <definedName name="_j3" localSheetId="26" hidden="1">{"PRINT",#N/A,TRUE,"APPA";"PRINT",#N/A,TRUE,"APS";"PRINT",#N/A,TRUE,"BHPL";"PRINT",#N/A,TRUE,"BHPL2";"PRINT",#N/A,TRUE,"CDWR";"PRINT",#N/A,TRUE,"EWEB";"PRINT",#N/A,TRUE,"LADWP";"PRINT",#N/A,TRUE,"NEVBASE"}</definedName>
    <definedName name="_j3" localSheetId="27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57" hidden="1">{"PRINT",#N/A,TRUE,"APPA";"PRINT",#N/A,TRUE,"APS";"PRINT",#N/A,TRUE,"BHPL";"PRINT",#N/A,TRUE,"BHPL2";"PRINT",#N/A,TRUE,"CDWR";"PRINT",#N/A,TRUE,"EWEB";"PRINT",#N/A,TRUE,"LADWP";"PRINT",#N/A,TRUE,"NEVBASE"}</definedName>
    <definedName name="_j3" localSheetId="52" hidden="1">{"PRINT",#N/A,TRUE,"APPA";"PRINT",#N/A,TRUE,"APS";"PRINT",#N/A,TRUE,"BHPL";"PRINT",#N/A,TRUE,"BHPL2";"PRINT",#N/A,TRUE,"CDWR";"PRINT",#N/A,TRUE,"EWEB";"PRINT",#N/A,TRUE,"LADWP";"PRINT",#N/A,TRUE,"NEVBASE"}</definedName>
    <definedName name="_j3" localSheetId="41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2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30" hidden="1">{"PRINT",#N/A,TRUE,"APPA";"PRINT",#N/A,TRUE,"APS";"PRINT",#N/A,TRUE,"BHPL";"PRINT",#N/A,TRUE,"BHPL2";"PRINT",#N/A,TRUE,"CDWR";"PRINT",#N/A,TRUE,"EWEB";"PRINT",#N/A,TRUE,"LADWP";"PRINT",#N/A,TRUE,"NEVBASE"}</definedName>
    <definedName name="_j3" localSheetId="58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24" hidden="1">{"PRINT",#N/A,TRUE,"APPA";"PRINT",#N/A,TRUE,"APS";"PRINT",#N/A,TRUE,"BHPL";"PRINT",#N/A,TRUE,"BHPL2";"PRINT",#N/A,TRUE,"CDWR";"PRINT",#N/A,TRUE,"EWEB";"PRINT",#N/A,TRUE,"LADWP";"PRINT",#N/A,TRUE,"NEVBASE"}</definedName>
    <definedName name="_j4" localSheetId="25" hidden="1">{"PRINT",#N/A,TRUE,"APPA";"PRINT",#N/A,TRUE,"APS";"PRINT",#N/A,TRUE,"BHPL";"PRINT",#N/A,TRUE,"BHPL2";"PRINT",#N/A,TRUE,"CDWR";"PRINT",#N/A,TRUE,"EWEB";"PRINT",#N/A,TRUE,"LADWP";"PRINT",#N/A,TRUE,"NEVBASE"}</definedName>
    <definedName name="_j4" localSheetId="42" hidden="1">{"PRINT",#N/A,TRUE,"APPA";"PRINT",#N/A,TRUE,"APS";"PRINT",#N/A,TRUE,"BHPL";"PRINT",#N/A,TRUE,"BHPL2";"PRINT",#N/A,TRUE,"CDWR";"PRINT",#N/A,TRUE,"EWEB";"PRINT",#N/A,TRUE,"LADWP";"PRINT",#N/A,TRUE,"NEVBASE"}</definedName>
    <definedName name="_j4" localSheetId="31" hidden="1">{"PRINT",#N/A,TRUE,"APPA";"PRINT",#N/A,TRUE,"APS";"PRINT",#N/A,TRUE,"BHPL";"PRINT",#N/A,TRUE,"BHPL2";"PRINT",#N/A,TRUE,"CDWR";"PRINT",#N/A,TRUE,"EWEB";"PRINT",#N/A,TRUE,"LADWP";"PRINT",#N/A,TRUE,"NEVBASE"}</definedName>
    <definedName name="_j4" localSheetId="43" hidden="1">{"PRINT",#N/A,TRUE,"APPA";"PRINT",#N/A,TRUE,"APS";"PRINT",#N/A,TRUE,"BHPL";"PRINT",#N/A,TRUE,"BHPL2";"PRINT",#N/A,TRUE,"CDWR";"PRINT",#N/A,TRUE,"EWEB";"PRINT",#N/A,TRUE,"LADWP";"PRINT",#N/A,TRUE,"NEVBASE"}</definedName>
    <definedName name="_j4" localSheetId="32" hidden="1">{"PRINT",#N/A,TRUE,"APPA";"PRINT",#N/A,TRUE,"APS";"PRINT",#N/A,TRUE,"BHPL";"PRINT",#N/A,TRUE,"BHPL2";"PRINT",#N/A,TRUE,"CDWR";"PRINT",#N/A,TRUE,"EWEB";"PRINT",#N/A,TRUE,"LADWP";"PRINT",#N/A,TRUE,"NEVBASE"}</definedName>
    <definedName name="_j4" localSheetId="45" hidden="1">{"PRINT",#N/A,TRUE,"APPA";"PRINT",#N/A,TRUE,"APS";"PRINT",#N/A,TRUE,"BHPL";"PRINT",#N/A,TRUE,"BHPL2";"PRINT",#N/A,TRUE,"CDWR";"PRINT",#N/A,TRUE,"EWEB";"PRINT",#N/A,TRUE,"LADWP";"PRINT",#N/A,TRUE,"NEVBASE"}</definedName>
    <definedName name="_j4" localSheetId="34" hidden="1">{"PRINT",#N/A,TRUE,"APPA";"PRINT",#N/A,TRUE,"APS";"PRINT",#N/A,TRUE,"BHPL";"PRINT",#N/A,TRUE,"BHPL2";"PRINT",#N/A,TRUE,"CDWR";"PRINT",#N/A,TRUE,"EWEB";"PRINT",#N/A,TRUE,"LADWP";"PRINT",#N/A,TRUE,"NEVBASE"}</definedName>
    <definedName name="_j4" localSheetId="44" hidden="1">{"PRINT",#N/A,TRUE,"APPA";"PRINT",#N/A,TRUE,"APS";"PRINT",#N/A,TRUE,"BHPL";"PRINT",#N/A,TRUE,"BHPL2";"PRINT",#N/A,TRUE,"CDWR";"PRINT",#N/A,TRUE,"EWEB";"PRINT",#N/A,TRUE,"LADWP";"PRINT",#N/A,TRUE,"NEVBASE"}</definedName>
    <definedName name="_j4" localSheetId="3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53" hidden="1">{"PRINT",#N/A,TRUE,"APPA";"PRINT",#N/A,TRUE,"APS";"PRINT",#N/A,TRUE,"BHPL";"PRINT",#N/A,TRUE,"BHPL2";"PRINT",#N/A,TRUE,"CDWR";"PRINT",#N/A,TRUE,"EWEB";"PRINT",#N/A,TRUE,"LADWP";"PRINT",#N/A,TRUE,"NEVBASE"}</definedName>
    <definedName name="_j4" localSheetId="47" hidden="1">{"PRINT",#N/A,TRUE,"APPA";"PRINT",#N/A,TRUE,"APS";"PRINT",#N/A,TRUE,"BHPL";"PRINT",#N/A,TRUE,"BHPL2";"PRINT",#N/A,TRUE,"CDWR";"PRINT",#N/A,TRUE,"EWEB";"PRINT",#N/A,TRUE,"LADWP";"PRINT",#N/A,TRUE,"NEVBASE"}</definedName>
    <definedName name="_j4" localSheetId="36" hidden="1">{"PRINT",#N/A,TRUE,"APPA";"PRINT",#N/A,TRUE,"APS";"PRINT",#N/A,TRUE,"BHPL";"PRINT",#N/A,TRUE,"BHPL2";"PRINT",#N/A,TRUE,"CDWR";"PRINT",#N/A,TRUE,"EWEB";"PRINT",#N/A,TRUE,"LADWP";"PRINT",#N/A,TRUE,"NEVBASE"}</definedName>
    <definedName name="_j4" localSheetId="46" hidden="1">{"PRINT",#N/A,TRUE,"APPA";"PRINT",#N/A,TRUE,"APS";"PRINT",#N/A,TRUE,"BHPL";"PRINT",#N/A,TRUE,"BHPL2";"PRINT",#N/A,TRUE,"CDWR";"PRINT",#N/A,TRUE,"EWEB";"PRINT",#N/A,TRUE,"LADWP";"PRINT",#N/A,TRUE,"NEVBASE"}</definedName>
    <definedName name="_j4" localSheetId="35" hidden="1">{"PRINT",#N/A,TRUE,"APPA";"PRINT",#N/A,TRUE,"APS";"PRINT",#N/A,TRUE,"BHPL";"PRINT",#N/A,TRUE,"BHPL2";"PRINT",#N/A,TRUE,"CDWR";"PRINT",#N/A,TRUE,"EWEB";"PRINT",#N/A,TRUE,"LADWP";"PRINT",#N/A,TRUE,"NEVBASE"}</definedName>
    <definedName name="_j4" localSheetId="48" hidden="1">{"PRINT",#N/A,TRUE,"APPA";"PRINT",#N/A,TRUE,"APS";"PRINT",#N/A,TRUE,"BHPL";"PRINT",#N/A,TRUE,"BHPL2";"PRINT",#N/A,TRUE,"CDWR";"PRINT",#N/A,TRUE,"EWEB";"PRINT",#N/A,TRUE,"LADWP";"PRINT",#N/A,TRUE,"NEVBASE"}</definedName>
    <definedName name="_j4" localSheetId="37" hidden="1">{"PRINT",#N/A,TRUE,"APPA";"PRINT",#N/A,TRUE,"APS";"PRINT",#N/A,TRUE,"BHPL";"PRINT",#N/A,TRUE,"BHPL2";"PRINT",#N/A,TRUE,"CDWR";"PRINT",#N/A,TRUE,"EWEB";"PRINT",#N/A,TRUE,"LADWP";"PRINT",#N/A,TRUE,"NEVBASE"}</definedName>
    <definedName name="_j4" localSheetId="49" hidden="1">{"PRINT",#N/A,TRUE,"APPA";"PRINT",#N/A,TRUE,"APS";"PRINT",#N/A,TRUE,"BHPL";"PRINT",#N/A,TRUE,"BHPL2";"PRINT",#N/A,TRUE,"CDWR";"PRINT",#N/A,TRUE,"EWEB";"PRINT",#N/A,TRUE,"LADWP";"PRINT",#N/A,TRUE,"NEVBASE"}</definedName>
    <definedName name="_j4" localSheetId="38" hidden="1">{"PRINT",#N/A,TRUE,"APPA";"PRINT",#N/A,TRUE,"APS";"PRINT",#N/A,TRUE,"BHPL";"PRINT",#N/A,TRUE,"BHPL2";"PRINT",#N/A,TRUE,"CDWR";"PRINT",#N/A,TRUE,"EWEB";"PRINT",#N/A,TRUE,"LADWP";"PRINT",#N/A,TRUE,"NEVBASE"}</definedName>
    <definedName name="_j4" localSheetId="51" hidden="1">{"PRINT",#N/A,TRUE,"APPA";"PRINT",#N/A,TRUE,"APS";"PRINT",#N/A,TRUE,"BHPL";"PRINT",#N/A,TRUE,"BHPL2";"PRINT",#N/A,TRUE,"CDWR";"PRINT",#N/A,TRUE,"EWEB";"PRINT",#N/A,TRUE,"LADWP";"PRINT",#N/A,TRUE,"NEVBASE"}</definedName>
    <definedName name="_j4" localSheetId="50" hidden="1">{"PRINT",#N/A,TRUE,"APPA";"PRINT",#N/A,TRUE,"APS";"PRINT",#N/A,TRUE,"BHPL";"PRINT",#N/A,TRUE,"BHPL2";"PRINT",#N/A,TRUE,"CDWR";"PRINT",#N/A,TRUE,"EWEB";"PRINT",#N/A,TRUE,"LADWP";"PRINT",#N/A,TRUE,"NEVBASE"}</definedName>
    <definedName name="_j4" localSheetId="39" hidden="1">{"PRINT",#N/A,TRUE,"APPA";"PRINT",#N/A,TRUE,"APS";"PRINT",#N/A,TRUE,"BHPL";"PRINT",#N/A,TRUE,"BHPL2";"PRINT",#N/A,TRUE,"CDWR";"PRINT",#N/A,TRUE,"EWEB";"PRINT",#N/A,TRUE,"LADWP";"PRINT",#N/A,TRUE,"NEVBASE"}</definedName>
    <definedName name="_j4" localSheetId="54" hidden="1">{"PRINT",#N/A,TRUE,"APPA";"PRINT",#N/A,TRUE,"APS";"PRINT",#N/A,TRUE,"BHPL";"PRINT",#N/A,TRUE,"BHPL2";"PRINT",#N/A,TRUE,"CDWR";"PRINT",#N/A,TRUE,"EWEB";"PRINT",#N/A,TRUE,"LADWP";"PRINT",#N/A,TRUE,"NEVBASE"}</definedName>
    <definedName name="_j4" localSheetId="40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56" hidden="1">{"PRINT",#N/A,TRUE,"APPA";"PRINT",#N/A,TRUE,"APS";"PRINT",#N/A,TRUE,"BHPL";"PRINT",#N/A,TRUE,"BHPL2";"PRINT",#N/A,TRUE,"CDWR";"PRINT",#N/A,TRUE,"EWEB";"PRINT",#N/A,TRUE,"LADWP";"PRINT",#N/A,TRUE,"NEVBASE"}</definedName>
    <definedName name="_j4" localSheetId="55" hidden="1">{"PRINT",#N/A,TRUE,"APPA";"PRINT",#N/A,TRUE,"APS";"PRINT",#N/A,TRUE,"BHPL";"PRINT",#N/A,TRUE,"BHPL2";"PRINT",#N/A,TRUE,"CDWR";"PRINT",#N/A,TRUE,"EWEB";"PRINT",#N/A,TRUE,"LADWP";"PRINT",#N/A,TRUE,"NEVBASE"}</definedName>
    <definedName name="_j4" localSheetId="28" hidden="1">{"PRINT",#N/A,TRUE,"APPA";"PRINT",#N/A,TRUE,"APS";"PRINT",#N/A,TRUE,"BHPL";"PRINT",#N/A,TRUE,"BHPL2";"PRINT",#N/A,TRUE,"CDWR";"PRINT",#N/A,TRUE,"EWEB";"PRINT",#N/A,TRUE,"LADWP";"PRINT",#N/A,TRUE,"NEVBASE"}</definedName>
    <definedName name="_j4" localSheetId="26" hidden="1">{"PRINT",#N/A,TRUE,"APPA";"PRINT",#N/A,TRUE,"APS";"PRINT",#N/A,TRUE,"BHPL";"PRINT",#N/A,TRUE,"BHPL2";"PRINT",#N/A,TRUE,"CDWR";"PRINT",#N/A,TRUE,"EWEB";"PRINT",#N/A,TRUE,"LADWP";"PRINT",#N/A,TRUE,"NEVBASE"}</definedName>
    <definedName name="_j4" localSheetId="27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57" hidden="1">{"PRINT",#N/A,TRUE,"APPA";"PRINT",#N/A,TRUE,"APS";"PRINT",#N/A,TRUE,"BHPL";"PRINT",#N/A,TRUE,"BHPL2";"PRINT",#N/A,TRUE,"CDWR";"PRINT",#N/A,TRUE,"EWEB";"PRINT",#N/A,TRUE,"LADWP";"PRINT",#N/A,TRUE,"NEVBASE"}</definedName>
    <definedName name="_j4" localSheetId="52" hidden="1">{"PRINT",#N/A,TRUE,"APPA";"PRINT",#N/A,TRUE,"APS";"PRINT",#N/A,TRUE,"BHPL";"PRINT",#N/A,TRUE,"BHPL2";"PRINT",#N/A,TRUE,"CDWR";"PRINT",#N/A,TRUE,"EWEB";"PRINT",#N/A,TRUE,"LADWP";"PRINT",#N/A,TRUE,"NEVBASE"}</definedName>
    <definedName name="_j4" localSheetId="41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2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30" hidden="1">{"PRINT",#N/A,TRUE,"APPA";"PRINT",#N/A,TRUE,"APS";"PRINT",#N/A,TRUE,"BHPL";"PRINT",#N/A,TRUE,"BHPL2";"PRINT",#N/A,TRUE,"CDWR";"PRINT",#N/A,TRUE,"EWEB";"PRINT",#N/A,TRUE,"LADWP";"PRINT",#N/A,TRUE,"NEVBASE"}</definedName>
    <definedName name="_j4" localSheetId="58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24" hidden="1">{"PRINT",#N/A,TRUE,"APPA";"PRINT",#N/A,TRUE,"APS";"PRINT",#N/A,TRUE,"BHPL";"PRINT",#N/A,TRUE,"BHPL2";"PRINT",#N/A,TRUE,"CDWR";"PRINT",#N/A,TRUE,"EWEB";"PRINT",#N/A,TRUE,"LADWP";"PRINT",#N/A,TRUE,"NEVBASE"}</definedName>
    <definedName name="_j5" localSheetId="25" hidden="1">{"PRINT",#N/A,TRUE,"APPA";"PRINT",#N/A,TRUE,"APS";"PRINT",#N/A,TRUE,"BHPL";"PRINT",#N/A,TRUE,"BHPL2";"PRINT",#N/A,TRUE,"CDWR";"PRINT",#N/A,TRUE,"EWEB";"PRINT",#N/A,TRUE,"LADWP";"PRINT",#N/A,TRUE,"NEVBASE"}</definedName>
    <definedName name="_j5" localSheetId="42" hidden="1">{"PRINT",#N/A,TRUE,"APPA";"PRINT",#N/A,TRUE,"APS";"PRINT",#N/A,TRUE,"BHPL";"PRINT",#N/A,TRUE,"BHPL2";"PRINT",#N/A,TRUE,"CDWR";"PRINT",#N/A,TRUE,"EWEB";"PRINT",#N/A,TRUE,"LADWP";"PRINT",#N/A,TRUE,"NEVBASE"}</definedName>
    <definedName name="_j5" localSheetId="31" hidden="1">{"PRINT",#N/A,TRUE,"APPA";"PRINT",#N/A,TRUE,"APS";"PRINT",#N/A,TRUE,"BHPL";"PRINT",#N/A,TRUE,"BHPL2";"PRINT",#N/A,TRUE,"CDWR";"PRINT",#N/A,TRUE,"EWEB";"PRINT",#N/A,TRUE,"LADWP";"PRINT",#N/A,TRUE,"NEVBASE"}</definedName>
    <definedName name="_j5" localSheetId="43" hidden="1">{"PRINT",#N/A,TRUE,"APPA";"PRINT",#N/A,TRUE,"APS";"PRINT",#N/A,TRUE,"BHPL";"PRINT",#N/A,TRUE,"BHPL2";"PRINT",#N/A,TRUE,"CDWR";"PRINT",#N/A,TRUE,"EWEB";"PRINT",#N/A,TRUE,"LADWP";"PRINT",#N/A,TRUE,"NEVBASE"}</definedName>
    <definedName name="_j5" localSheetId="32" hidden="1">{"PRINT",#N/A,TRUE,"APPA";"PRINT",#N/A,TRUE,"APS";"PRINT",#N/A,TRUE,"BHPL";"PRINT",#N/A,TRUE,"BHPL2";"PRINT",#N/A,TRUE,"CDWR";"PRINT",#N/A,TRUE,"EWEB";"PRINT",#N/A,TRUE,"LADWP";"PRINT",#N/A,TRUE,"NEVBASE"}</definedName>
    <definedName name="_j5" localSheetId="45" hidden="1">{"PRINT",#N/A,TRUE,"APPA";"PRINT",#N/A,TRUE,"APS";"PRINT",#N/A,TRUE,"BHPL";"PRINT",#N/A,TRUE,"BHPL2";"PRINT",#N/A,TRUE,"CDWR";"PRINT",#N/A,TRUE,"EWEB";"PRINT",#N/A,TRUE,"LADWP";"PRINT",#N/A,TRUE,"NEVBASE"}</definedName>
    <definedName name="_j5" localSheetId="34" hidden="1">{"PRINT",#N/A,TRUE,"APPA";"PRINT",#N/A,TRUE,"APS";"PRINT",#N/A,TRUE,"BHPL";"PRINT",#N/A,TRUE,"BHPL2";"PRINT",#N/A,TRUE,"CDWR";"PRINT",#N/A,TRUE,"EWEB";"PRINT",#N/A,TRUE,"LADWP";"PRINT",#N/A,TRUE,"NEVBASE"}</definedName>
    <definedName name="_j5" localSheetId="44" hidden="1">{"PRINT",#N/A,TRUE,"APPA";"PRINT",#N/A,TRUE,"APS";"PRINT",#N/A,TRUE,"BHPL";"PRINT",#N/A,TRUE,"BHPL2";"PRINT",#N/A,TRUE,"CDWR";"PRINT",#N/A,TRUE,"EWEB";"PRINT",#N/A,TRUE,"LADWP";"PRINT",#N/A,TRUE,"NEVBASE"}</definedName>
    <definedName name="_j5" localSheetId="33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53" hidden="1">{"PRINT",#N/A,TRUE,"APPA";"PRINT",#N/A,TRUE,"APS";"PRINT",#N/A,TRUE,"BHPL";"PRINT",#N/A,TRUE,"BHPL2";"PRINT",#N/A,TRUE,"CDWR";"PRINT",#N/A,TRUE,"EWEB";"PRINT",#N/A,TRUE,"LADWP";"PRINT",#N/A,TRUE,"NEVBASE"}</definedName>
    <definedName name="_j5" localSheetId="47" hidden="1">{"PRINT",#N/A,TRUE,"APPA";"PRINT",#N/A,TRUE,"APS";"PRINT",#N/A,TRUE,"BHPL";"PRINT",#N/A,TRUE,"BHPL2";"PRINT",#N/A,TRUE,"CDWR";"PRINT",#N/A,TRUE,"EWEB";"PRINT",#N/A,TRUE,"LADWP";"PRINT",#N/A,TRUE,"NEVBASE"}</definedName>
    <definedName name="_j5" localSheetId="36" hidden="1">{"PRINT",#N/A,TRUE,"APPA";"PRINT",#N/A,TRUE,"APS";"PRINT",#N/A,TRUE,"BHPL";"PRINT",#N/A,TRUE,"BHPL2";"PRINT",#N/A,TRUE,"CDWR";"PRINT",#N/A,TRUE,"EWEB";"PRINT",#N/A,TRUE,"LADWP";"PRINT",#N/A,TRUE,"NEVBASE"}</definedName>
    <definedName name="_j5" localSheetId="46" hidden="1">{"PRINT",#N/A,TRUE,"APPA";"PRINT",#N/A,TRUE,"APS";"PRINT",#N/A,TRUE,"BHPL";"PRINT",#N/A,TRUE,"BHPL2";"PRINT",#N/A,TRUE,"CDWR";"PRINT",#N/A,TRUE,"EWEB";"PRINT",#N/A,TRUE,"LADWP";"PRINT",#N/A,TRUE,"NEVBASE"}</definedName>
    <definedName name="_j5" localSheetId="35" hidden="1">{"PRINT",#N/A,TRUE,"APPA";"PRINT",#N/A,TRUE,"APS";"PRINT",#N/A,TRUE,"BHPL";"PRINT",#N/A,TRUE,"BHPL2";"PRINT",#N/A,TRUE,"CDWR";"PRINT",#N/A,TRUE,"EWEB";"PRINT",#N/A,TRUE,"LADWP";"PRINT",#N/A,TRUE,"NEVBASE"}</definedName>
    <definedName name="_j5" localSheetId="48" hidden="1">{"PRINT",#N/A,TRUE,"APPA";"PRINT",#N/A,TRUE,"APS";"PRINT",#N/A,TRUE,"BHPL";"PRINT",#N/A,TRUE,"BHPL2";"PRINT",#N/A,TRUE,"CDWR";"PRINT",#N/A,TRUE,"EWEB";"PRINT",#N/A,TRUE,"LADWP";"PRINT",#N/A,TRUE,"NEVBASE"}</definedName>
    <definedName name="_j5" localSheetId="37" hidden="1">{"PRINT",#N/A,TRUE,"APPA";"PRINT",#N/A,TRUE,"APS";"PRINT",#N/A,TRUE,"BHPL";"PRINT",#N/A,TRUE,"BHPL2";"PRINT",#N/A,TRUE,"CDWR";"PRINT",#N/A,TRUE,"EWEB";"PRINT",#N/A,TRUE,"LADWP";"PRINT",#N/A,TRUE,"NEVBASE"}</definedName>
    <definedName name="_j5" localSheetId="49" hidden="1">{"PRINT",#N/A,TRUE,"APPA";"PRINT",#N/A,TRUE,"APS";"PRINT",#N/A,TRUE,"BHPL";"PRINT",#N/A,TRUE,"BHPL2";"PRINT",#N/A,TRUE,"CDWR";"PRINT",#N/A,TRUE,"EWEB";"PRINT",#N/A,TRUE,"LADWP";"PRINT",#N/A,TRUE,"NEVBASE"}</definedName>
    <definedName name="_j5" localSheetId="38" hidden="1">{"PRINT",#N/A,TRUE,"APPA";"PRINT",#N/A,TRUE,"APS";"PRINT",#N/A,TRUE,"BHPL";"PRINT",#N/A,TRUE,"BHPL2";"PRINT",#N/A,TRUE,"CDWR";"PRINT",#N/A,TRUE,"EWEB";"PRINT",#N/A,TRUE,"LADWP";"PRINT",#N/A,TRUE,"NEVBASE"}</definedName>
    <definedName name="_j5" localSheetId="51" hidden="1">{"PRINT",#N/A,TRUE,"APPA";"PRINT",#N/A,TRUE,"APS";"PRINT",#N/A,TRUE,"BHPL";"PRINT",#N/A,TRUE,"BHPL2";"PRINT",#N/A,TRUE,"CDWR";"PRINT",#N/A,TRUE,"EWEB";"PRINT",#N/A,TRUE,"LADWP";"PRINT",#N/A,TRUE,"NEVBASE"}</definedName>
    <definedName name="_j5" localSheetId="50" hidden="1">{"PRINT",#N/A,TRUE,"APPA";"PRINT",#N/A,TRUE,"APS";"PRINT",#N/A,TRUE,"BHPL";"PRINT",#N/A,TRUE,"BHPL2";"PRINT",#N/A,TRUE,"CDWR";"PRINT",#N/A,TRUE,"EWEB";"PRINT",#N/A,TRUE,"LADWP";"PRINT",#N/A,TRUE,"NEVBASE"}</definedName>
    <definedName name="_j5" localSheetId="39" hidden="1">{"PRINT",#N/A,TRUE,"APPA";"PRINT",#N/A,TRUE,"APS";"PRINT",#N/A,TRUE,"BHPL";"PRINT",#N/A,TRUE,"BHPL2";"PRINT",#N/A,TRUE,"CDWR";"PRINT",#N/A,TRUE,"EWEB";"PRINT",#N/A,TRUE,"LADWP";"PRINT",#N/A,TRUE,"NEVBASE"}</definedName>
    <definedName name="_j5" localSheetId="54" hidden="1">{"PRINT",#N/A,TRUE,"APPA";"PRINT",#N/A,TRUE,"APS";"PRINT",#N/A,TRUE,"BHPL";"PRINT",#N/A,TRUE,"BHPL2";"PRINT",#N/A,TRUE,"CDWR";"PRINT",#N/A,TRUE,"EWEB";"PRINT",#N/A,TRUE,"LADWP";"PRINT",#N/A,TRUE,"NEVBASE"}</definedName>
    <definedName name="_j5" localSheetId="40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56" hidden="1">{"PRINT",#N/A,TRUE,"APPA";"PRINT",#N/A,TRUE,"APS";"PRINT",#N/A,TRUE,"BHPL";"PRINT",#N/A,TRUE,"BHPL2";"PRINT",#N/A,TRUE,"CDWR";"PRINT",#N/A,TRUE,"EWEB";"PRINT",#N/A,TRUE,"LADWP";"PRINT",#N/A,TRUE,"NEVBASE"}</definedName>
    <definedName name="_j5" localSheetId="55" hidden="1">{"PRINT",#N/A,TRUE,"APPA";"PRINT",#N/A,TRUE,"APS";"PRINT",#N/A,TRUE,"BHPL";"PRINT",#N/A,TRUE,"BHPL2";"PRINT",#N/A,TRUE,"CDWR";"PRINT",#N/A,TRUE,"EWEB";"PRINT",#N/A,TRUE,"LADWP";"PRINT",#N/A,TRUE,"NEVBASE"}</definedName>
    <definedName name="_j5" localSheetId="28" hidden="1">{"PRINT",#N/A,TRUE,"APPA";"PRINT",#N/A,TRUE,"APS";"PRINT",#N/A,TRUE,"BHPL";"PRINT",#N/A,TRUE,"BHPL2";"PRINT",#N/A,TRUE,"CDWR";"PRINT",#N/A,TRUE,"EWEB";"PRINT",#N/A,TRUE,"LADWP";"PRINT",#N/A,TRUE,"NEVBASE"}</definedName>
    <definedName name="_j5" localSheetId="26" hidden="1">{"PRINT",#N/A,TRUE,"APPA";"PRINT",#N/A,TRUE,"APS";"PRINT",#N/A,TRUE,"BHPL";"PRINT",#N/A,TRUE,"BHPL2";"PRINT",#N/A,TRUE,"CDWR";"PRINT",#N/A,TRUE,"EWEB";"PRINT",#N/A,TRUE,"LADWP";"PRINT",#N/A,TRUE,"NEVBASE"}</definedName>
    <definedName name="_j5" localSheetId="27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57" hidden="1">{"PRINT",#N/A,TRUE,"APPA";"PRINT",#N/A,TRUE,"APS";"PRINT",#N/A,TRUE,"BHPL";"PRINT",#N/A,TRUE,"BHPL2";"PRINT",#N/A,TRUE,"CDWR";"PRINT",#N/A,TRUE,"EWEB";"PRINT",#N/A,TRUE,"LADWP";"PRINT",#N/A,TRUE,"NEVBASE"}</definedName>
    <definedName name="_j5" localSheetId="52" hidden="1">{"PRINT",#N/A,TRUE,"APPA";"PRINT",#N/A,TRUE,"APS";"PRINT",#N/A,TRUE,"BHPL";"PRINT",#N/A,TRUE,"BHPL2";"PRINT",#N/A,TRUE,"CDWR";"PRINT",#N/A,TRUE,"EWEB";"PRINT",#N/A,TRUE,"LADWP";"PRINT",#N/A,TRUE,"NEVBASE"}</definedName>
    <definedName name="_j5" localSheetId="41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2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30" hidden="1">{"PRINT",#N/A,TRUE,"APPA";"PRINT",#N/A,TRUE,"APS";"PRINT",#N/A,TRUE,"BHPL";"PRINT",#N/A,TRUE,"BHPL2";"PRINT",#N/A,TRUE,"CDWR";"PRINT",#N/A,TRUE,"EWEB";"PRINT",#N/A,TRUE,"LADWP";"PRINT",#N/A,TRUE,"NEVBASE"}</definedName>
    <definedName name="_j5" localSheetId="58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>'[3]Table 1'!#REF!</definedName>
    <definedName name="dateTable">'[4]on off peak hours'!$C$15:$ED$15</definedName>
    <definedName name="Discount_Rate">'Table 1'!$I$43</definedName>
    <definedName name="Discount_Rate_2015_IRP">'[5]Table 7 to 8'!$AE$43</definedName>
    <definedName name="DispatchSum">"GRID Thermal Generation!R2C1:R4C2"</definedName>
    <definedName name="FixedSolar_Capacity_Contr">'[5]Exhibit 3- Std FixedSolar QF'!$G$53</definedName>
    <definedName name="HoursHoliday">'[4]on off peak hours'!$C$16:$ED$20</definedName>
    <definedName name="IRP23_Infl_Rate">'Table 1'!$K$47</definedName>
    <definedName name="Market">'[5]OFPC Source'!$J$8:$M$295</definedName>
    <definedName name="MidC_Flat">[6]Market_Price!#REF!</definedName>
    <definedName name="OR_AC_price">#REF!</definedName>
    <definedName name="_xlnm.Print_Area" localSheetId="24">'2025_PV_.PX.UTS._.SER.PV'!$A$1:$O$64</definedName>
    <definedName name="_xlnm.Print_Area" localSheetId="25">'2025_PV_.PX.UWY._.SER.PV'!$A$1:$O$64</definedName>
    <definedName name="_xlnm.Print_Area" localSheetId="42">'2025_PVS.PX.UTS._.SER.BAT'!$A$1:$N$64</definedName>
    <definedName name="_xlnm.Print_Area" localSheetId="31">'2025_PVS.PX.UTS._.SER.PV'!$A$1:$O$64</definedName>
    <definedName name="_xlnm.Print_Area" localSheetId="43">'2025_PVS.PX.UWY._.SER.BAT'!$A$1:$N$64</definedName>
    <definedName name="_xlnm.Print_Area" localSheetId="32">'2025_PVS.PX.UWY._.SER.PV'!$A$1:$O$64</definedName>
    <definedName name="_xlnm.Print_Area" localSheetId="45">'2025_PVS.PX.WMV._.222.BAT'!$A$1:$N$64</definedName>
    <definedName name="_xlnm.Print_Area" localSheetId="34">'2025_PVS.PX.WMV._.222.PV'!$A$1:$O$64</definedName>
    <definedName name="_xlnm.Print_Area" localSheetId="44">'2025_PVS.PX.WYE._.SER.BAT'!$A$1:$N$64</definedName>
    <definedName name="_xlnm.Print_Area" localSheetId="33">'2025_PVS.PX.WYE._.SER.PV'!$A$1:$O$64</definedName>
    <definedName name="_xlnm.Print_Area" localSheetId="11">'2025_WD_.PX.UWY._.SER.WD'!$A$1:$O$64</definedName>
    <definedName name="_xlnm.Print_Area" localSheetId="10">'2025_WD_.PX.WYE._.SER.WD'!$A$1:$O$64</definedName>
    <definedName name="_xlnm.Print_Area" localSheetId="53">'2026_BAT.PX.BPA._.221.Lithium-I'!$A$1:$N$64</definedName>
    <definedName name="_xlnm.Print_Area" localSheetId="47">'2026_PVS.PX.BOR._.2C5.BAT'!$A$1:$N$64</definedName>
    <definedName name="_xlnm.Print_Area" localSheetId="36">'2026_PVS.PX.BOR._.2C5.PV'!$A$1:$N$64</definedName>
    <definedName name="_xlnm.Print_Area" localSheetId="46">'2026_PVS.PX.CLV.1.TC4.BAT'!$A$1:$N$64</definedName>
    <definedName name="_xlnm.Print_Area" localSheetId="35">'2026_PVS.PX.CLV.1.TC4.PV'!$A$1:$O$64</definedName>
    <definedName name="_xlnm.Print_Area" localSheetId="48">'2026_PVS.PX.COR._.TC8.BAT'!$A$1:$N$64</definedName>
    <definedName name="_xlnm.Print_Area" localSheetId="37">'2026_PVS.PX.COR._.TC8.PV'!$A$1:$O$64</definedName>
    <definedName name="_xlnm.Print_Area" localSheetId="49">'2026_PVS.PX.WMV._.223.BAT'!$A$1:$N$64</definedName>
    <definedName name="_xlnm.Print_Area" localSheetId="38">'2026_PVS.PX.WMV._.223.PV'!$A$1:$O$64</definedName>
    <definedName name="_xlnm.Print_Area" localSheetId="51">'2026_PVS.PX.WWA._.215.BAT'!$A$1:$N$64</definedName>
    <definedName name="_xlnm.Print_Area" localSheetId="50">'2026_PVS.PX.YAK._.110.BAT'!$A$1:$N$64</definedName>
    <definedName name="_xlnm.Print_Area" localSheetId="39">'2026_PVS.PX.YAK._.110.PV'!$A$1:$O$64</definedName>
    <definedName name="_xlnm.Print_Area" localSheetId="54">'2027_BAT.PX.WWA._.215.Lithium-i'!$A$1:$N$64</definedName>
    <definedName name="_xlnm.Print_Area" localSheetId="40">'2027_PVS.PX.WWA._.215.PV'!$A$1:$M$63</definedName>
    <definedName name="_xlnm.Print_Area" localSheetId="12">'2027_WD_.PX.WWA._.215.WD'!$A$1:$O$64</definedName>
    <definedName name="_xlnm.Print_Area" localSheetId="56">'2028_BAT.PX.BOR._.ITC.Lithium-i'!$A$1:$N$64</definedName>
    <definedName name="_xlnm.Print_Area" localSheetId="55">'2028_BAT.PX.WYE._.ITC.DJ+Wyodak'!$A$1:$N$64</definedName>
    <definedName name="_xlnm.Print_Area" localSheetId="28">'2028_PV_.PX.BOR._.PTC.PV'!$A$1:$O$63</definedName>
    <definedName name="_xlnm.Print_Area" localSheetId="26">'2028_PV_.PX.UTS._.PTC.Hunter.PV'!$A$1:$N$63</definedName>
    <definedName name="_xlnm.Print_Area" localSheetId="27">'2028_PV_.PX.UTS._.PTC.Huntingto'!$A$1:$N$63</definedName>
    <definedName name="_xlnm.Print_Area" localSheetId="13">'2028_WD_.PX.BOR._.PTC.WD'!$A$1:$O$64</definedName>
    <definedName name="_xlnm.Print_Area" localSheetId="57">'2029_BAT.PX.UTN._.ITC.Lithium-i'!$A$1:$N$64</definedName>
    <definedName name="_xlnm.Print_Area" localSheetId="52">'2029_PVS.PX.GOE.1.A43.BAT'!$A$1:$N$64</definedName>
    <definedName name="_xlnm.Print_Area" localSheetId="41">'2029_PVS.PX.GOE.1.A43.PV'!$A$1:$M$63</definedName>
    <definedName name="_xlnm.Print_Area" localSheetId="15">'2029_WD_.PX.BDG._.PTC.Bridger.W'!$A$1:$O$64</definedName>
    <definedName name="_xlnm.Print_Area" localSheetId="16">'2029_WD_.PX.WYE._.PTC.WD'!$A$1:$O$63</definedName>
    <definedName name="_xlnm.Print_Area" localSheetId="14">'2029_WD_.PX.WYE.1.A01.WD'!$A$1:$O$64</definedName>
    <definedName name="_xlnm.Print_Area" localSheetId="29">'2032_PV_.PX.BDG._.PTC.JB.PV'!$A$1:$O$63</definedName>
    <definedName name="_xlnm.Print_Area" localSheetId="17">'2032_WD_.PX.PNC._.PTC.WD'!$A$1:$O$63</definedName>
    <definedName name="_xlnm.Print_Area" localSheetId="18">'2032_WD_.PX.SOR._.PTC.WD'!$A$1:$O$63</definedName>
    <definedName name="_xlnm.Print_Area" localSheetId="19">'2032_WD_.PX.WWA._.PTC.WD'!$A$1:$O$64</definedName>
    <definedName name="_xlnm.Print_Area" localSheetId="21">'2032_WD_.PX.WYE._.PTC.Djohns.WD'!$A$1:$O$64</definedName>
    <definedName name="_xlnm.Print_Area" localSheetId="22">'2032_WD_.PX.WYN._.PTC.WD'!$A$1:$O$64</definedName>
    <definedName name="_xlnm.Print_Area" localSheetId="20">'2032_WD_.PX.YAK._.PTC.WD'!$A$1:$O$64</definedName>
    <definedName name="_xlnm.Print_Area" localSheetId="23">'2033_WD_.PX.SOR._.PTC.WD'!$A$1:$O$63</definedName>
    <definedName name="_xlnm.Print_Area" localSheetId="30">'2034_PV_.PX.UTN._.PTC.PV'!$A$1:$O$64</definedName>
    <definedName name="_xlnm.Print_Area" localSheetId="58">'NonE 303MW (UT) 2030'!$A$1:$M$78</definedName>
    <definedName name="_xlnm.Print_Area" localSheetId="0">'Table 1'!$A$1:$G$58</definedName>
    <definedName name="_xlnm.Print_Area" localSheetId="1">'Table 2'!$B$1:$P$36</definedName>
    <definedName name="_xlnm.Print_Area" localSheetId="6">'Table 3 TransCost'!$A$1:$BS$50</definedName>
    <definedName name="_xlnm.Print_Area" localSheetId="2">'Table 4'!$A$1:$F$44</definedName>
    <definedName name="_xlnm.Print_Area" localSheetId="3">Table3ACsummary!$A$1:$M$50</definedName>
    <definedName name="_xlnm.Print_Titles" localSheetId="58">'NonE 303MW (UT) 2030'!$1:$6</definedName>
    <definedName name="_xlnm.Print_Titles" localSheetId="1">'Table 2'!$1:$9</definedName>
    <definedName name="RenewableMarketShape">'[5]OFPC Source'!$P$5:$U$33</definedName>
    <definedName name="RevenueSum">"GRID Thermal Revenue!R2C1:R4C2"</definedName>
    <definedName name="Solar_Fixed_integr_cost">'[7]Table 10'!$B$46</definedName>
    <definedName name="Solar_HLH">'[5]OFPC Source'!$U$48</definedName>
    <definedName name="Solar_LLH">'[5]OFPC Source'!$V$48</definedName>
    <definedName name="Solar_Tracking_integr_cost">'[7]Table 10'!$B$45</definedName>
    <definedName name="Study_Cap_Adj" localSheetId="1">'Table 1'!$I$8</definedName>
    <definedName name="Study_Cap_Adj" localSheetId="6">'Table 1'!$I$8</definedName>
    <definedName name="Study_Cap_Adj">'Table 1'!$I$8</definedName>
    <definedName name="Study_CF">'Table 5'!$M$7</definedName>
    <definedName name="Study_MW">'Table 5'!$M$6</definedName>
    <definedName name="ValuationDate">#REF!</definedName>
    <definedName name="Wind_Capacity_Contr">'[5]Exhibit 2- Std Wind QF '!$E$57</definedName>
    <definedName name="Wind_Integration_Charge">'[5]Exhibit 2- Std Wind QF '!$E$45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31" l="1"/>
  <c r="M14" i="31"/>
  <c r="L14" i="31" s="1"/>
  <c r="B13" i="31"/>
  <c r="O30" i="66"/>
  <c r="N30" i="66"/>
  <c r="M30" i="66"/>
  <c r="L30" i="66"/>
  <c r="K30" i="66"/>
  <c r="J30" i="66"/>
  <c r="I30" i="66"/>
  <c r="H30" i="66"/>
  <c r="G30" i="66"/>
  <c r="F30" i="66"/>
  <c r="E30" i="66"/>
  <c r="D30" i="66"/>
  <c r="C30" i="66"/>
  <c r="B30" i="66"/>
  <c r="O29" i="66"/>
  <c r="N29" i="66"/>
  <c r="M29" i="66"/>
  <c r="L29" i="66"/>
  <c r="K29" i="66"/>
  <c r="J29" i="66"/>
  <c r="I29" i="66"/>
  <c r="H29" i="66"/>
  <c r="G29" i="66"/>
  <c r="F29" i="66"/>
  <c r="E29" i="66"/>
  <c r="D29" i="66"/>
  <c r="C29" i="66"/>
  <c r="B29" i="66"/>
  <c r="O28" i="66"/>
  <c r="N28" i="66"/>
  <c r="M28" i="66"/>
  <c r="L28" i="66"/>
  <c r="K28" i="66"/>
  <c r="J28" i="66"/>
  <c r="I28" i="66"/>
  <c r="H28" i="66"/>
  <c r="G28" i="66"/>
  <c r="F28" i="66"/>
  <c r="E28" i="66"/>
  <c r="D28" i="66"/>
  <c r="C28" i="66"/>
  <c r="B28" i="66"/>
  <c r="O27" i="66"/>
  <c r="N27" i="66"/>
  <c r="M27" i="66"/>
  <c r="L27" i="66"/>
  <c r="K27" i="66"/>
  <c r="J27" i="66"/>
  <c r="I27" i="66"/>
  <c r="H27" i="66"/>
  <c r="G27" i="66"/>
  <c r="F27" i="66"/>
  <c r="E27" i="66"/>
  <c r="D27" i="66"/>
  <c r="C27" i="66"/>
  <c r="B27" i="66"/>
  <c r="O26" i="66"/>
  <c r="N26" i="66"/>
  <c r="M26" i="66"/>
  <c r="L26" i="66"/>
  <c r="K26" i="66"/>
  <c r="J26" i="66"/>
  <c r="I26" i="66"/>
  <c r="H26" i="66"/>
  <c r="G26" i="66"/>
  <c r="F26" i="66"/>
  <c r="E26" i="66"/>
  <c r="D26" i="66"/>
  <c r="C26" i="66"/>
  <c r="B26" i="66"/>
  <c r="O25" i="66"/>
  <c r="N25" i="66"/>
  <c r="M25" i="66"/>
  <c r="L25" i="66"/>
  <c r="K25" i="66"/>
  <c r="J25" i="66"/>
  <c r="I25" i="66"/>
  <c r="H25" i="66"/>
  <c r="G25" i="66"/>
  <c r="F25" i="66"/>
  <c r="E25" i="66"/>
  <c r="D25" i="66"/>
  <c r="C25" i="66"/>
  <c r="B25" i="66"/>
  <c r="O24" i="66"/>
  <c r="N24" i="66"/>
  <c r="M24" i="66"/>
  <c r="L24" i="66"/>
  <c r="K24" i="66"/>
  <c r="J24" i="66"/>
  <c r="I24" i="66"/>
  <c r="H24" i="66"/>
  <c r="G24" i="66"/>
  <c r="F24" i="66"/>
  <c r="E24" i="66"/>
  <c r="D24" i="66"/>
  <c r="C24" i="66"/>
  <c r="B24" i="66"/>
  <c r="O23" i="66"/>
  <c r="N23" i="66"/>
  <c r="M23" i="66"/>
  <c r="L23" i="66"/>
  <c r="K23" i="66"/>
  <c r="J23" i="66"/>
  <c r="I23" i="66"/>
  <c r="H23" i="66"/>
  <c r="G23" i="66"/>
  <c r="F23" i="66"/>
  <c r="E23" i="66"/>
  <c r="D23" i="66"/>
  <c r="C23" i="66"/>
  <c r="B23" i="66"/>
  <c r="O22" i="66"/>
  <c r="N22" i="66"/>
  <c r="M22" i="66"/>
  <c r="L22" i="66"/>
  <c r="K22" i="66"/>
  <c r="J22" i="66"/>
  <c r="I22" i="66"/>
  <c r="H22" i="66"/>
  <c r="G22" i="66"/>
  <c r="F22" i="66"/>
  <c r="E22" i="66"/>
  <c r="D22" i="66"/>
  <c r="C22" i="66"/>
  <c r="B22" i="66"/>
  <c r="O21" i="66"/>
  <c r="N21" i="66"/>
  <c r="M21" i="66"/>
  <c r="L21" i="66"/>
  <c r="K21" i="66"/>
  <c r="J21" i="66"/>
  <c r="I21" i="66"/>
  <c r="H21" i="66"/>
  <c r="G21" i="66"/>
  <c r="F21" i="66"/>
  <c r="E21" i="66"/>
  <c r="D21" i="66"/>
  <c r="C21" i="66"/>
  <c r="B21" i="66"/>
  <c r="O20" i="66"/>
  <c r="N20" i="66"/>
  <c r="M20" i="66"/>
  <c r="L20" i="66"/>
  <c r="K20" i="66"/>
  <c r="J20" i="66"/>
  <c r="I20" i="66"/>
  <c r="H20" i="66"/>
  <c r="G20" i="66"/>
  <c r="F20" i="66"/>
  <c r="E20" i="66"/>
  <c r="D20" i="66"/>
  <c r="C20" i="66"/>
  <c r="B20" i="66"/>
  <c r="O19" i="66"/>
  <c r="N19" i="66"/>
  <c r="M19" i="66"/>
  <c r="L19" i="66"/>
  <c r="K19" i="66"/>
  <c r="J19" i="66"/>
  <c r="I19" i="66"/>
  <c r="H19" i="66"/>
  <c r="G19" i="66"/>
  <c r="F19" i="66"/>
  <c r="E19" i="66"/>
  <c r="D19" i="66"/>
  <c r="C19" i="66"/>
  <c r="B19" i="66"/>
  <c r="O18" i="66"/>
  <c r="N18" i="66"/>
  <c r="M18" i="66"/>
  <c r="L18" i="66"/>
  <c r="K18" i="66"/>
  <c r="J18" i="66"/>
  <c r="I18" i="66"/>
  <c r="H18" i="66"/>
  <c r="G18" i="66"/>
  <c r="F18" i="66"/>
  <c r="E18" i="66"/>
  <c r="D18" i="66"/>
  <c r="C18" i="66"/>
  <c r="B18" i="66"/>
  <c r="O17" i="66"/>
  <c r="N17" i="66"/>
  <c r="M17" i="66"/>
  <c r="L17" i="66"/>
  <c r="K17" i="66"/>
  <c r="J17" i="66"/>
  <c r="I17" i="66"/>
  <c r="H17" i="66"/>
  <c r="G17" i="66"/>
  <c r="F17" i="66"/>
  <c r="E17" i="66"/>
  <c r="D17" i="66"/>
  <c r="C17" i="66"/>
  <c r="B17" i="66"/>
  <c r="O16" i="66"/>
  <c r="N16" i="66"/>
  <c r="M16" i="66"/>
  <c r="L16" i="66"/>
  <c r="K16" i="66"/>
  <c r="J16" i="66"/>
  <c r="I16" i="66"/>
  <c r="H16" i="66"/>
  <c r="G16" i="66"/>
  <c r="F16" i="66"/>
  <c r="E16" i="66"/>
  <c r="D16" i="66"/>
  <c r="C16" i="66"/>
  <c r="B16" i="66"/>
  <c r="O15" i="66"/>
  <c r="N15" i="66"/>
  <c r="M15" i="66"/>
  <c r="L15" i="66"/>
  <c r="K15" i="66"/>
  <c r="J15" i="66"/>
  <c r="I15" i="66"/>
  <c r="H15" i="66"/>
  <c r="G15" i="66"/>
  <c r="F15" i="66"/>
  <c r="E15" i="66"/>
  <c r="D15" i="66"/>
  <c r="C15" i="66"/>
  <c r="B15" i="66"/>
  <c r="O14" i="66"/>
  <c r="N14" i="66"/>
  <c r="M14" i="66"/>
  <c r="L14" i="66"/>
  <c r="K14" i="66"/>
  <c r="J14" i="66"/>
  <c r="I14" i="66"/>
  <c r="H14" i="66"/>
  <c r="G14" i="66"/>
  <c r="F14" i="66"/>
  <c r="E14" i="66"/>
  <c r="D14" i="66"/>
  <c r="C14" i="66"/>
  <c r="B14" i="66"/>
  <c r="O13" i="66"/>
  <c r="N13" i="66"/>
  <c r="M13" i="66"/>
  <c r="L13" i="66"/>
  <c r="K13" i="66"/>
  <c r="J13" i="66"/>
  <c r="I13" i="66"/>
  <c r="H13" i="66"/>
  <c r="G13" i="66"/>
  <c r="F13" i="66"/>
  <c r="E13" i="66"/>
  <c r="D13" i="66"/>
  <c r="C13" i="66"/>
  <c r="B13" i="66"/>
  <c r="O9" i="66"/>
  <c r="N9" i="66"/>
  <c r="M9" i="66"/>
  <c r="L9" i="66"/>
  <c r="K9" i="66"/>
  <c r="J9" i="66"/>
  <c r="I9" i="66"/>
  <c r="H9" i="66"/>
  <c r="G9" i="66"/>
  <c r="F9" i="66"/>
  <c r="E9" i="66"/>
  <c r="D9" i="66"/>
  <c r="C9" i="66"/>
  <c r="B9" i="66"/>
  <c r="S6" i="31"/>
  <c r="F131" i="31" l="1"/>
  <c r="C131" i="31" s="1"/>
  <c r="F129" i="31"/>
  <c r="C129" i="31" s="1"/>
  <c r="F127" i="31"/>
  <c r="C127" i="31" s="1"/>
  <c r="F125" i="31"/>
  <c r="C125" i="31" s="1"/>
  <c r="F123" i="31"/>
  <c r="C123" i="31" s="1"/>
  <c r="F121" i="31"/>
  <c r="C121" i="31" s="1"/>
  <c r="F119" i="31"/>
  <c r="C119" i="31" s="1"/>
  <c r="F117" i="31"/>
  <c r="C117" i="31" s="1"/>
  <c r="F115" i="31"/>
  <c r="C115" i="31" s="1"/>
  <c r="F113" i="31"/>
  <c r="C113" i="31" s="1"/>
  <c r="F111" i="31"/>
  <c r="C111" i="31" s="1"/>
  <c r="F109" i="31"/>
  <c r="C109" i="31" s="1"/>
  <c r="F107" i="31"/>
  <c r="C107" i="31" s="1"/>
  <c r="F105" i="31"/>
  <c r="C105" i="31" s="1"/>
  <c r="F103" i="31"/>
  <c r="C103" i="31" s="1"/>
  <c r="F101" i="31"/>
  <c r="C101" i="31" s="1"/>
  <c r="F99" i="31"/>
  <c r="C99" i="31" s="1"/>
  <c r="F97" i="31"/>
  <c r="C97" i="31" s="1"/>
  <c r="F95" i="31"/>
  <c r="C95" i="31" s="1"/>
  <c r="F93" i="31"/>
  <c r="C93" i="31" s="1"/>
  <c r="F91" i="31"/>
  <c r="C91" i="31" s="1"/>
  <c r="F89" i="31"/>
  <c r="C89" i="31" s="1"/>
  <c r="F87" i="31"/>
  <c r="C87" i="31" s="1"/>
  <c r="F85" i="31"/>
  <c r="C85" i="31" s="1"/>
  <c r="F83" i="31"/>
  <c r="C83" i="31" s="1"/>
  <c r="F81" i="31"/>
  <c r="C81" i="31" s="1"/>
  <c r="F79" i="31"/>
  <c r="C79" i="31" s="1"/>
  <c r="F77" i="31"/>
  <c r="C77" i="31" s="1"/>
  <c r="F75" i="31"/>
  <c r="C75" i="31" s="1"/>
  <c r="F73" i="31"/>
  <c r="C73" i="31" s="1"/>
  <c r="F71" i="31"/>
  <c r="C71" i="31" s="1"/>
  <c r="F69" i="31"/>
  <c r="C69" i="31" s="1"/>
  <c r="F67" i="31"/>
  <c r="C67" i="31" s="1"/>
  <c r="F65" i="31"/>
  <c r="C65" i="31" s="1"/>
  <c r="F63" i="31"/>
  <c r="C63" i="31" s="1"/>
  <c r="F61" i="31"/>
  <c r="C61" i="31" s="1"/>
  <c r="F59" i="31"/>
  <c r="C59" i="31" s="1"/>
  <c r="F57" i="31"/>
  <c r="C57" i="31" s="1"/>
  <c r="F55" i="31"/>
  <c r="C55" i="31" s="1"/>
  <c r="F53" i="31"/>
  <c r="C53" i="31" s="1"/>
  <c r="F51" i="31"/>
  <c r="C51" i="31" s="1"/>
  <c r="F49" i="31"/>
  <c r="C49" i="31" s="1"/>
  <c r="F47" i="31"/>
  <c r="C47" i="31" s="1"/>
  <c r="F45" i="31"/>
  <c r="C45" i="31" s="1"/>
  <c r="F43" i="31"/>
  <c r="C43" i="31" s="1"/>
  <c r="F41" i="31"/>
  <c r="C41" i="31" s="1"/>
  <c r="F39" i="31"/>
  <c r="C39" i="31" s="1"/>
  <c r="F37" i="31"/>
  <c r="C37" i="31" s="1"/>
  <c r="F35" i="31"/>
  <c r="C35" i="31" s="1"/>
  <c r="F33" i="31"/>
  <c r="C33" i="31" s="1"/>
  <c r="F31" i="31"/>
  <c r="C31" i="31" s="1"/>
  <c r="F29" i="31"/>
  <c r="C29" i="31" s="1"/>
  <c r="F27" i="31"/>
  <c r="C27" i="31" s="1"/>
  <c r="F25" i="31"/>
  <c r="C25" i="31" s="1"/>
  <c r="F23" i="31"/>
  <c r="C23" i="31" s="1"/>
  <c r="F21" i="31"/>
  <c r="C21" i="31" s="1"/>
  <c r="F19" i="31"/>
  <c r="C19" i="31" s="1"/>
  <c r="F17" i="31"/>
  <c r="C17" i="31" s="1"/>
  <c r="F15" i="31"/>
  <c r="C15" i="31" s="1"/>
  <c r="F13" i="31"/>
  <c r="C13" i="31" s="1"/>
  <c r="F132" i="31"/>
  <c r="C132" i="31" s="1"/>
  <c r="F130" i="31"/>
  <c r="C130" i="31" s="1"/>
  <c r="F128" i="31"/>
  <c r="C128" i="31" s="1"/>
  <c r="F126" i="31"/>
  <c r="C126" i="31" s="1"/>
  <c r="F124" i="31"/>
  <c r="C124" i="31" s="1"/>
  <c r="F122" i="31"/>
  <c r="C122" i="31" s="1"/>
  <c r="F120" i="31"/>
  <c r="C120" i="31" s="1"/>
  <c r="F118" i="31"/>
  <c r="C118" i="31" s="1"/>
  <c r="F116" i="31"/>
  <c r="C116" i="31" s="1"/>
  <c r="F114" i="31"/>
  <c r="C114" i="31" s="1"/>
  <c r="F112" i="31"/>
  <c r="C112" i="31" s="1"/>
  <c r="F110" i="31"/>
  <c r="C110" i="31" s="1"/>
  <c r="F108" i="31"/>
  <c r="C108" i="31" s="1"/>
  <c r="F106" i="31"/>
  <c r="C106" i="31" s="1"/>
  <c r="F104" i="31"/>
  <c r="C104" i="31" s="1"/>
  <c r="F102" i="31"/>
  <c r="C102" i="31" s="1"/>
  <c r="F100" i="31"/>
  <c r="C100" i="31" s="1"/>
  <c r="F98" i="31"/>
  <c r="C98" i="31" s="1"/>
  <c r="F96" i="31"/>
  <c r="C96" i="31" s="1"/>
  <c r="F94" i="31"/>
  <c r="C94" i="31" s="1"/>
  <c r="F92" i="31"/>
  <c r="C92" i="31" s="1"/>
  <c r="F90" i="31"/>
  <c r="C90" i="31" s="1"/>
  <c r="F88" i="31"/>
  <c r="C88" i="31" s="1"/>
  <c r="F86" i="31"/>
  <c r="C86" i="31" s="1"/>
  <c r="F84" i="31"/>
  <c r="C84" i="31" s="1"/>
  <c r="F82" i="31"/>
  <c r="C82" i="31" s="1"/>
  <c r="F80" i="31"/>
  <c r="C80" i="31" s="1"/>
  <c r="F78" i="31"/>
  <c r="C78" i="31" s="1"/>
  <c r="F76" i="31"/>
  <c r="C76" i="31" s="1"/>
  <c r="F74" i="31"/>
  <c r="C74" i="31" s="1"/>
  <c r="F72" i="31"/>
  <c r="C72" i="31" s="1"/>
  <c r="F70" i="31"/>
  <c r="C70" i="31" s="1"/>
  <c r="F68" i="31"/>
  <c r="C68" i="31" s="1"/>
  <c r="F66" i="31"/>
  <c r="C66" i="31" s="1"/>
  <c r="F64" i="31"/>
  <c r="C64" i="31" s="1"/>
  <c r="F62" i="31"/>
  <c r="C62" i="31" s="1"/>
  <c r="F60" i="31"/>
  <c r="C60" i="31" s="1"/>
  <c r="F58" i="31"/>
  <c r="C58" i="31" s="1"/>
  <c r="F56" i="31"/>
  <c r="C56" i="31" s="1"/>
  <c r="F54" i="31"/>
  <c r="C54" i="31" s="1"/>
  <c r="F52" i="31"/>
  <c r="C52" i="31" s="1"/>
  <c r="F50" i="31"/>
  <c r="C50" i="31" s="1"/>
  <c r="F48" i="31"/>
  <c r="C48" i="31" s="1"/>
  <c r="F46" i="31"/>
  <c r="C46" i="31" s="1"/>
  <c r="F44" i="31"/>
  <c r="C44" i="31" s="1"/>
  <c r="F42" i="31"/>
  <c r="C42" i="31" s="1"/>
  <c r="F40" i="31"/>
  <c r="C40" i="31" s="1"/>
  <c r="F38" i="31"/>
  <c r="C38" i="31" s="1"/>
  <c r="F36" i="31"/>
  <c r="C36" i="31" s="1"/>
  <c r="F34" i="31"/>
  <c r="C34" i="31" s="1"/>
  <c r="F32" i="31"/>
  <c r="C32" i="31" s="1"/>
  <c r="F30" i="31"/>
  <c r="C30" i="31" s="1"/>
  <c r="F28" i="31"/>
  <c r="C28" i="31" s="1"/>
  <c r="F26" i="31"/>
  <c r="C26" i="31" s="1"/>
  <c r="F24" i="31"/>
  <c r="C24" i="31" s="1"/>
  <c r="F22" i="31"/>
  <c r="C22" i="31" s="1"/>
  <c r="F20" i="31"/>
  <c r="C20" i="31" s="1"/>
  <c r="F18" i="31"/>
  <c r="C18" i="31" s="1"/>
  <c r="F16" i="31"/>
  <c r="C16" i="31" s="1"/>
  <c r="F14" i="31"/>
  <c r="C14" i="31" s="1"/>
  <c r="FY35" i="25"/>
  <c r="FZ35" i="25" s="1"/>
  <c r="DY35" i="25"/>
  <c r="DV35" i="25"/>
  <c r="DU35" i="25"/>
  <c r="DT35" i="25"/>
  <c r="DS35" i="25"/>
  <c r="DR35" i="25"/>
  <c r="DQ35" i="25"/>
  <c r="DP35" i="25"/>
  <c r="DO35" i="25"/>
  <c r="DN35" i="25"/>
  <c r="DM35" i="25"/>
  <c r="DL35" i="25"/>
  <c r="DK35" i="25"/>
  <c r="DJ35" i="25"/>
  <c r="DI35" i="25"/>
  <c r="DH35" i="25"/>
  <c r="DG35" i="25"/>
  <c r="DF35" i="25"/>
  <c r="DE35" i="25"/>
  <c r="DD35" i="25"/>
  <c r="DC35" i="25"/>
  <c r="DB35" i="25"/>
  <c r="DA35" i="25"/>
  <c r="CZ35" i="25"/>
  <c r="CY35" i="25"/>
  <c r="CX35" i="25"/>
  <c r="CW35" i="25"/>
  <c r="CV35" i="25"/>
  <c r="CU35" i="25"/>
  <c r="CT35" i="25"/>
  <c r="CS35" i="25"/>
  <c r="P36" i="120"/>
  <c r="P35" i="120"/>
  <c r="P34" i="120"/>
  <c r="P33" i="120"/>
  <c r="P32" i="120"/>
  <c r="P31" i="120"/>
  <c r="P30" i="120"/>
  <c r="P29" i="120"/>
  <c r="P28" i="120"/>
  <c r="P27" i="120"/>
  <c r="P26" i="120"/>
  <c r="P25" i="120"/>
  <c r="P24" i="120"/>
  <c r="P23" i="120"/>
  <c r="P22" i="120"/>
  <c r="P21" i="120"/>
  <c r="P20" i="120"/>
  <c r="P19" i="120"/>
  <c r="P36" i="158"/>
  <c r="P35" i="158"/>
  <c r="P34" i="158"/>
  <c r="P33" i="158"/>
  <c r="P32" i="158"/>
  <c r="P31" i="158"/>
  <c r="P30" i="158"/>
  <c r="P29" i="158"/>
  <c r="P28" i="158"/>
  <c r="P27" i="158"/>
  <c r="P26" i="158"/>
  <c r="P25" i="158"/>
  <c r="P24" i="158"/>
  <c r="P23" i="158"/>
  <c r="P22" i="158"/>
  <c r="P21" i="158"/>
  <c r="P20" i="158"/>
  <c r="P19" i="158"/>
  <c r="P36" i="155"/>
  <c r="P35" i="155"/>
  <c r="P34" i="155"/>
  <c r="P33" i="155"/>
  <c r="P32" i="155"/>
  <c r="P31" i="155"/>
  <c r="P30" i="155"/>
  <c r="P29" i="155"/>
  <c r="P28" i="155"/>
  <c r="P27" i="155"/>
  <c r="P26" i="155"/>
  <c r="P25" i="155"/>
  <c r="P24" i="155"/>
  <c r="P23" i="155"/>
  <c r="P22" i="155"/>
  <c r="P21" i="155"/>
  <c r="P20" i="155"/>
  <c r="P19" i="155"/>
  <c r="EA9" i="25"/>
  <c r="DZ9" i="25"/>
  <c r="DY9" i="25"/>
  <c r="FN9" i="25" s="1"/>
  <c r="DX9" i="25"/>
  <c r="FM9" i="25" s="1"/>
  <c r="DW9" i="25"/>
  <c r="FL9" i="25" s="1"/>
  <c r="DV9" i="25"/>
  <c r="FK9" i="25" s="1"/>
  <c r="DU9" i="25"/>
  <c r="FJ9" i="25" s="1"/>
  <c r="DT9" i="25"/>
  <c r="FI9" i="25" s="1"/>
  <c r="DS9" i="25"/>
  <c r="FH9" i="25" s="1"/>
  <c r="DR9" i="25"/>
  <c r="FG9" i="25" s="1"/>
  <c r="DQ9" i="25"/>
  <c r="FF9" i="25" s="1"/>
  <c r="DP9" i="25"/>
  <c r="FE9" i="25" s="1"/>
  <c r="DO9" i="25"/>
  <c r="FD9" i="25" s="1"/>
  <c r="DN9" i="25"/>
  <c r="FC9" i="25" s="1"/>
  <c r="DM9" i="25"/>
  <c r="FB9" i="25" s="1"/>
  <c r="DL9" i="25"/>
  <c r="FA9" i="25" s="1"/>
  <c r="DK9" i="25"/>
  <c r="EZ9" i="25" s="1"/>
  <c r="DJ9" i="25"/>
  <c r="EY9" i="25" s="1"/>
  <c r="DI9" i="25"/>
  <c r="EX9" i="25" s="1"/>
  <c r="DH9" i="25"/>
  <c r="EW9" i="25" s="1"/>
  <c r="DG9" i="25"/>
  <c r="EV9" i="25" s="1"/>
  <c r="EC8" i="25"/>
  <c r="EB8" i="25"/>
  <c r="EA8" i="25"/>
  <c r="DZ8" i="25"/>
  <c r="DY8" i="25"/>
  <c r="DX8" i="25"/>
  <c r="DW8" i="25"/>
  <c r="DV8" i="25"/>
  <c r="DU8" i="25"/>
  <c r="DT8" i="25"/>
  <c r="DS8" i="25"/>
  <c r="DR8" i="25"/>
  <c r="DQ8" i="25"/>
  <c r="DP8" i="25"/>
  <c r="DO8" i="25"/>
  <c r="DN8" i="25"/>
  <c r="DM8" i="25"/>
  <c r="DL8" i="25"/>
  <c r="DK8" i="25"/>
  <c r="DJ8" i="25"/>
  <c r="DI8" i="25"/>
  <c r="DH8" i="25"/>
  <c r="DG8" i="25"/>
  <c r="CT9" i="25"/>
  <c r="CJ9" i="25"/>
  <c r="CI9" i="25"/>
  <c r="CH9" i="25"/>
  <c r="CG9" i="25"/>
  <c r="CF9" i="25"/>
  <c r="CE9" i="25"/>
  <c r="CD9" i="25"/>
  <c r="CC9" i="25"/>
  <c r="CB9" i="25"/>
  <c r="CA9" i="25"/>
  <c r="BZ9" i="25"/>
  <c r="BY9" i="25"/>
  <c r="BX9" i="25"/>
  <c r="BW9" i="25"/>
  <c r="BV9" i="25"/>
  <c r="BU9" i="25"/>
  <c r="BT9" i="25"/>
  <c r="BS9" i="25"/>
  <c r="BR9" i="25"/>
  <c r="CJ8" i="25"/>
  <c r="CI8" i="25"/>
  <c r="CH8" i="25"/>
  <c r="CG8" i="25"/>
  <c r="CF8" i="25"/>
  <c r="CE8" i="25"/>
  <c r="CD8" i="25"/>
  <c r="CC8" i="25"/>
  <c r="CB8" i="25"/>
  <c r="CA8" i="25"/>
  <c r="BZ8" i="25"/>
  <c r="BY8" i="25"/>
  <c r="BX8" i="25"/>
  <c r="BW8" i="25"/>
  <c r="BV8" i="25"/>
  <c r="BU8" i="25"/>
  <c r="BT8" i="25"/>
  <c r="BS8" i="25"/>
  <c r="BR8" i="25"/>
  <c r="BE35" i="25"/>
  <c r="CJ35" i="25"/>
  <c r="CI35" i="25"/>
  <c r="CH35" i="25"/>
  <c r="CG35" i="25"/>
  <c r="CF35" i="25"/>
  <c r="CE35" i="25"/>
  <c r="CD35" i="25"/>
  <c r="CC35" i="25"/>
  <c r="CB35" i="25"/>
  <c r="CA35" i="25"/>
  <c r="BZ35" i="25"/>
  <c r="BY35" i="25"/>
  <c r="BX35" i="25"/>
  <c r="BW35" i="25"/>
  <c r="BV35" i="25"/>
  <c r="BU35" i="25"/>
  <c r="BT35" i="25"/>
  <c r="BS35" i="25"/>
  <c r="BR35" i="25"/>
  <c r="CL35" i="25" l="1"/>
  <c r="CK35" i="25"/>
  <c r="BQ35" i="25"/>
  <c r="BP35" i="25"/>
  <c r="BO35" i="25"/>
  <c r="BN35" i="25"/>
  <c r="BM35" i="25"/>
  <c r="BL35" i="25"/>
  <c r="BK35" i="25"/>
  <c r="BJ35" i="25"/>
  <c r="BI35" i="25"/>
  <c r="BH35" i="25"/>
  <c r="BG35" i="25"/>
  <c r="BF35" i="25"/>
  <c r="B61" i="120" l="1"/>
  <c r="B61" i="148"/>
  <c r="B61" i="119"/>
  <c r="I60" i="117"/>
  <c r="B2" i="99" l="1"/>
  <c r="B2" i="100"/>
  <c r="B2" i="101"/>
  <c r="B2" i="112"/>
  <c r="B2" i="140"/>
  <c r="B2" i="135"/>
  <c r="B2" i="114"/>
  <c r="P36" i="140"/>
  <c r="P35" i="140"/>
  <c r="P34" i="140"/>
  <c r="P33" i="140"/>
  <c r="P22" i="140"/>
  <c r="P21" i="140"/>
  <c r="P20" i="140"/>
  <c r="P19" i="140"/>
  <c r="P36" i="135"/>
  <c r="P35" i="135"/>
  <c r="P34" i="135"/>
  <c r="P33" i="135"/>
  <c r="P32" i="135"/>
  <c r="P31" i="135"/>
  <c r="P20" i="135"/>
  <c r="P19" i="135"/>
  <c r="P36" i="114"/>
  <c r="P35" i="114"/>
  <c r="P34" i="114"/>
  <c r="P33" i="114"/>
  <c r="P32" i="114"/>
  <c r="P31" i="114"/>
  <c r="P30" i="114"/>
  <c r="P19" i="114"/>
  <c r="P36" i="112"/>
  <c r="P35" i="112"/>
  <c r="P34" i="112"/>
  <c r="P33" i="112"/>
  <c r="P32" i="112"/>
  <c r="P31" i="112"/>
  <c r="P30" i="112"/>
  <c r="P19" i="112"/>
  <c r="P36" i="110"/>
  <c r="P35" i="110"/>
  <c r="P34" i="110"/>
  <c r="P33" i="110"/>
  <c r="P32" i="110"/>
  <c r="P31" i="110"/>
  <c r="P30" i="110"/>
  <c r="P19" i="110"/>
  <c r="P36" i="101"/>
  <c r="P35" i="101"/>
  <c r="P34" i="101"/>
  <c r="P33" i="101"/>
  <c r="P32" i="101"/>
  <c r="P31" i="101"/>
  <c r="P30" i="101"/>
  <c r="P19" i="101"/>
  <c r="P36" i="100"/>
  <c r="P35" i="100"/>
  <c r="P34" i="100"/>
  <c r="P33" i="100"/>
  <c r="P32" i="100"/>
  <c r="P31" i="100"/>
  <c r="P30" i="100"/>
  <c r="P29" i="100"/>
  <c r="P36" i="133" l="1"/>
  <c r="P35" i="133"/>
  <c r="P34" i="133"/>
  <c r="P33" i="133"/>
  <c r="P32" i="133"/>
  <c r="P31" i="133"/>
  <c r="P30" i="133"/>
  <c r="P19" i="133"/>
  <c r="P36" i="150"/>
  <c r="P35" i="150"/>
  <c r="P34" i="150"/>
  <c r="P33" i="150"/>
  <c r="P32" i="150"/>
  <c r="P31" i="150"/>
  <c r="P30" i="150"/>
  <c r="P29" i="150"/>
  <c r="P36" i="99"/>
  <c r="P35" i="99"/>
  <c r="P34" i="99"/>
  <c r="P33" i="99"/>
  <c r="P32" i="99"/>
  <c r="P31" i="99"/>
  <c r="P30" i="99"/>
  <c r="P29" i="99"/>
  <c r="P36" i="104"/>
  <c r="P35" i="104"/>
  <c r="P34" i="104"/>
  <c r="P33" i="104"/>
  <c r="P32" i="104"/>
  <c r="P31" i="104"/>
  <c r="P30" i="104"/>
  <c r="P29" i="104"/>
  <c r="P27" i="149"/>
  <c r="P26" i="149"/>
  <c r="P25" i="149"/>
  <c r="P24" i="149"/>
  <c r="P23" i="149"/>
  <c r="P22" i="149"/>
  <c r="P21" i="149"/>
  <c r="P20" i="149"/>
  <c r="P19" i="149"/>
  <c r="P36" i="148"/>
  <c r="P25" i="148"/>
  <c r="P24" i="148"/>
  <c r="P23" i="148"/>
  <c r="P22" i="148"/>
  <c r="P21" i="148"/>
  <c r="P20" i="148"/>
  <c r="P19" i="148"/>
  <c r="P36" i="132"/>
  <c r="P35" i="132"/>
  <c r="P34" i="132"/>
  <c r="P33" i="132"/>
  <c r="P32" i="132"/>
  <c r="P21" i="132"/>
  <c r="P20" i="132"/>
  <c r="P19" i="132"/>
  <c r="P36" i="138"/>
  <c r="P35" i="138"/>
  <c r="P34" i="138"/>
  <c r="P33" i="138"/>
  <c r="P32" i="138"/>
  <c r="P21" i="138"/>
  <c r="P20" i="138"/>
  <c r="P19" i="138"/>
  <c r="P36" i="137"/>
  <c r="P35" i="137"/>
  <c r="P34" i="137"/>
  <c r="P33" i="137"/>
  <c r="P32" i="137"/>
  <c r="P21" i="137"/>
  <c r="P20" i="137"/>
  <c r="P19" i="137"/>
  <c r="P36" i="147"/>
  <c r="P35" i="147"/>
  <c r="P34" i="147"/>
  <c r="P33" i="147"/>
  <c r="P32" i="147"/>
  <c r="P31" i="147"/>
  <c r="P30" i="147"/>
  <c r="P29" i="147"/>
  <c r="P36" i="109"/>
  <c r="P35" i="109"/>
  <c r="P34" i="109"/>
  <c r="P33" i="109"/>
  <c r="P32" i="109"/>
  <c r="P31" i="109"/>
  <c r="P30" i="109"/>
  <c r="P29" i="109"/>
  <c r="P36" i="159"/>
  <c r="P25" i="159"/>
  <c r="P24" i="159"/>
  <c r="P23" i="159"/>
  <c r="P22" i="159"/>
  <c r="P21" i="159"/>
  <c r="P20" i="159"/>
  <c r="P19" i="159"/>
  <c r="P29" i="157"/>
  <c r="P36" i="157"/>
  <c r="P35" i="157"/>
  <c r="P33" i="157"/>
  <c r="P31" i="157"/>
  <c r="P30" i="157"/>
  <c r="P27" i="157"/>
  <c r="P25" i="157"/>
  <c r="P24" i="157"/>
  <c r="P23" i="157"/>
  <c r="P22" i="157"/>
  <c r="P21" i="157"/>
  <c r="P20" i="157"/>
  <c r="P19" i="157"/>
  <c r="P28" i="157" l="1"/>
  <c r="P32" i="157"/>
  <c r="P20" i="133"/>
  <c r="P34" i="157"/>
  <c r="P26" i="157"/>
  <c r="P36" i="156"/>
  <c r="P25" i="156"/>
  <c r="P24" i="156"/>
  <c r="P23" i="156"/>
  <c r="P22" i="156"/>
  <c r="P21" i="156"/>
  <c r="P20" i="156"/>
  <c r="P19" i="156"/>
  <c r="P36" i="154"/>
  <c r="P25" i="154"/>
  <c r="P24" i="154"/>
  <c r="P23" i="154"/>
  <c r="P22" i="154"/>
  <c r="P21" i="154"/>
  <c r="P20" i="154"/>
  <c r="P19" i="154"/>
  <c r="P36" i="153"/>
  <c r="P25" i="153"/>
  <c r="P24" i="153"/>
  <c r="P23" i="153"/>
  <c r="P22" i="153"/>
  <c r="P21" i="153"/>
  <c r="P20" i="153"/>
  <c r="P19" i="153"/>
  <c r="P36" i="119"/>
  <c r="P35" i="119"/>
  <c r="P34" i="119"/>
  <c r="P33" i="119"/>
  <c r="P22" i="119"/>
  <c r="P21" i="119"/>
  <c r="P20" i="119"/>
  <c r="P19" i="119"/>
  <c r="P36" i="121" l="1"/>
  <c r="P35" i="121"/>
  <c r="P34" i="121"/>
  <c r="P33" i="121"/>
  <c r="P22" i="121"/>
  <c r="P21" i="121"/>
  <c r="P20" i="121"/>
  <c r="P19" i="121"/>
  <c r="P36" i="117"/>
  <c r="P35" i="117"/>
  <c r="P34" i="117"/>
  <c r="P33" i="117"/>
  <c r="P32" i="117"/>
  <c r="P21" i="117"/>
  <c r="P20" i="117"/>
  <c r="P19" i="117"/>
  <c r="P36" i="116"/>
  <c r="P35" i="116"/>
  <c r="P34" i="116"/>
  <c r="P33" i="116"/>
  <c r="P32" i="116"/>
  <c r="P31" i="116"/>
  <c r="P20" i="116"/>
  <c r="P19" i="116"/>
  <c r="P36" i="122"/>
  <c r="P35" i="122"/>
  <c r="P34" i="122"/>
  <c r="P33" i="122"/>
  <c r="P32" i="122"/>
  <c r="P31" i="122"/>
  <c r="P30" i="122"/>
  <c r="P29" i="122"/>
  <c r="P36" i="139"/>
  <c r="P35" i="139"/>
  <c r="P34" i="139"/>
  <c r="P33" i="139"/>
  <c r="P32" i="139"/>
  <c r="P31" i="139"/>
  <c r="P30" i="139"/>
  <c r="P29" i="139"/>
  <c r="E54" i="131" l="1"/>
  <c r="E53" i="131"/>
  <c r="E52" i="131"/>
  <c r="E51" i="131"/>
  <c r="E50" i="131"/>
  <c r="E65" i="131"/>
  <c r="E64" i="131"/>
  <c r="E56" i="131"/>
  <c r="E63" i="131"/>
  <c r="E62" i="131"/>
  <c r="E61" i="131"/>
  <c r="E60" i="131"/>
  <c r="E59" i="131"/>
  <c r="E58" i="131"/>
  <c r="E57" i="131"/>
  <c r="E55" i="131"/>
  <c r="E37" i="131"/>
  <c r="E42" i="131"/>
  <c r="E35" i="131"/>
  <c r="E39" i="131"/>
  <c r="E36" i="131"/>
  <c r="E33" i="131"/>
  <c r="E43" i="131"/>
  <c r="E45" i="131"/>
  <c r="E44" i="131"/>
  <c r="E40" i="131"/>
  <c r="E41" i="131"/>
  <c r="E34" i="131"/>
  <c r="E38" i="131"/>
  <c r="N8" i="131"/>
  <c r="N7" i="131"/>
  <c r="N6" i="131"/>
  <c r="N5" i="131"/>
  <c r="N30" i="131" s="1"/>
  <c r="M15" i="131"/>
  <c r="M14" i="131"/>
  <c r="M13" i="131"/>
  <c r="M12" i="131"/>
  <c r="M11" i="131"/>
  <c r="M10" i="131"/>
  <c r="M9" i="131"/>
  <c r="M8" i="131"/>
  <c r="M7" i="131"/>
  <c r="M6" i="131"/>
  <c r="M5" i="131"/>
  <c r="M30" i="131" s="1"/>
  <c r="E26" i="159"/>
  <c r="C26" i="159"/>
  <c r="R88" i="97"/>
  <c r="L88" i="97"/>
  <c r="J88" i="97"/>
  <c r="B60" i="159"/>
  <c r="J62" i="159"/>
  <c r="J60" i="159"/>
  <c r="D47" i="159"/>
  <c r="D46" i="159"/>
  <c r="D49" i="159"/>
  <c r="C49" i="159"/>
  <c r="D48" i="159"/>
  <c r="C48" i="159"/>
  <c r="C47" i="159"/>
  <c r="C46" i="159"/>
  <c r="C45" i="159"/>
  <c r="N15" i="131"/>
  <c r="N14" i="131"/>
  <c r="N13" i="131"/>
  <c r="N12" i="131"/>
  <c r="N11" i="131"/>
  <c r="N10" i="131"/>
  <c r="N9" i="131"/>
  <c r="X17" i="159"/>
  <c r="X18" i="159" s="1"/>
  <c r="X19" i="159" s="1"/>
  <c r="X20" i="159" s="1"/>
  <c r="X21" i="159" s="1"/>
  <c r="X22" i="159" s="1"/>
  <c r="X23" i="159" s="1"/>
  <c r="X24" i="159" s="1"/>
  <c r="X25" i="159" s="1"/>
  <c r="X26" i="159" s="1"/>
  <c r="B14" i="159"/>
  <c r="B15" i="159" s="1"/>
  <c r="B16" i="159" s="1"/>
  <c r="B17" i="159" s="1"/>
  <c r="B18" i="159" s="1"/>
  <c r="B19" i="159" s="1"/>
  <c r="B20" i="159" s="1"/>
  <c r="B21" i="159" s="1"/>
  <c r="B22" i="159" s="1"/>
  <c r="B23" i="159" s="1"/>
  <c r="B24" i="159" s="1"/>
  <c r="B25" i="159" s="1"/>
  <c r="B26" i="159" s="1"/>
  <c r="B12" i="159"/>
  <c r="B13" i="159" s="1"/>
  <c r="B11" i="159"/>
  <c r="B2" i="159"/>
  <c r="D47" i="158"/>
  <c r="C60" i="158"/>
  <c r="F26" i="158" s="1"/>
  <c r="F27" i="158" s="1"/>
  <c r="F28" i="158" s="1"/>
  <c r="F29" i="158" s="1"/>
  <c r="F30" i="158" s="1"/>
  <c r="F31" i="158" s="1"/>
  <c r="F32" i="158" s="1"/>
  <c r="F33" i="158" s="1"/>
  <c r="F34" i="158" s="1"/>
  <c r="F35" i="158" s="1"/>
  <c r="F36" i="158" s="1"/>
  <c r="F37" i="158" s="1"/>
  <c r="B60" i="158"/>
  <c r="D49" i="158"/>
  <c r="C49" i="158"/>
  <c r="D48" i="158"/>
  <c r="C48" i="158"/>
  <c r="C47" i="158"/>
  <c r="D46" i="158"/>
  <c r="C46" i="158"/>
  <c r="C45" i="158"/>
  <c r="X17" i="158"/>
  <c r="X18" i="158" s="1"/>
  <c r="X19" i="158" s="1"/>
  <c r="X20" i="158" s="1"/>
  <c r="X21" i="158" s="1"/>
  <c r="X22" i="158" s="1"/>
  <c r="X23" i="158" s="1"/>
  <c r="X24" i="158" s="1"/>
  <c r="B12" i="158"/>
  <c r="B13" i="158" s="1"/>
  <c r="B14" i="158" s="1"/>
  <c r="B15" i="158" s="1"/>
  <c r="B16" i="158" s="1"/>
  <c r="B17" i="158" s="1"/>
  <c r="B18" i="158" s="1"/>
  <c r="B19" i="158" s="1"/>
  <c r="B20" i="158" s="1"/>
  <c r="B21" i="158" s="1"/>
  <c r="B22" i="158" s="1"/>
  <c r="B23" i="158" s="1"/>
  <c r="B11" i="158"/>
  <c r="B2" i="158"/>
  <c r="L15" i="131"/>
  <c r="L14" i="131"/>
  <c r="L13" i="131"/>
  <c r="L12" i="131"/>
  <c r="L11" i="131"/>
  <c r="L10" i="131"/>
  <c r="L9" i="131"/>
  <c r="L8" i="131"/>
  <c r="L7" i="131"/>
  <c r="L6" i="131"/>
  <c r="L5" i="131"/>
  <c r="L30" i="131" s="1"/>
  <c r="T17" i="157"/>
  <c r="T18" i="157" s="1"/>
  <c r="T19" i="157" s="1"/>
  <c r="T20" i="157" s="1"/>
  <c r="T21" i="157" s="1"/>
  <c r="T22" i="157" s="1"/>
  <c r="T23" i="157" s="1"/>
  <c r="T24" i="157" s="1"/>
  <c r="T25" i="157" s="1"/>
  <c r="T26" i="157" s="1"/>
  <c r="D47" i="157"/>
  <c r="B60" i="157"/>
  <c r="D49" i="157"/>
  <c r="C49" i="157"/>
  <c r="D48" i="157"/>
  <c r="C48" i="157"/>
  <c r="C47" i="157"/>
  <c r="D46" i="157"/>
  <c r="C46" i="157"/>
  <c r="C45" i="157"/>
  <c r="X17" i="157"/>
  <c r="X18" i="157" s="1"/>
  <c r="X19" i="157" s="1"/>
  <c r="X20" i="157" s="1"/>
  <c r="X21" i="157" s="1"/>
  <c r="X22" i="157" s="1"/>
  <c r="X23" i="157" s="1"/>
  <c r="X24" i="157" s="1"/>
  <c r="X25" i="157" s="1"/>
  <c r="X26" i="157" s="1"/>
  <c r="B11" i="157"/>
  <c r="B12" i="157" s="1"/>
  <c r="B13" i="157" s="1"/>
  <c r="B14" i="157" s="1"/>
  <c r="B15" i="157" s="1"/>
  <c r="B16" i="157" s="1"/>
  <c r="B17" i="157" s="1"/>
  <c r="B18" i="157" s="1"/>
  <c r="B19" i="157" s="1"/>
  <c r="B20" i="157" s="1"/>
  <c r="B21" i="157" s="1"/>
  <c r="B22" i="157" s="1"/>
  <c r="B23" i="157" s="1"/>
  <c r="B24" i="157" s="1"/>
  <c r="B25" i="157" s="1"/>
  <c r="B26" i="157" s="1"/>
  <c r="B2" i="157"/>
  <c r="K15" i="131"/>
  <c r="K14" i="131"/>
  <c r="K13" i="131"/>
  <c r="K12" i="131"/>
  <c r="K11" i="131"/>
  <c r="K10" i="131"/>
  <c r="K9" i="131"/>
  <c r="K8" i="131"/>
  <c r="K7" i="131"/>
  <c r="K6" i="131"/>
  <c r="K5" i="131"/>
  <c r="K30" i="131" s="1"/>
  <c r="J5" i="131"/>
  <c r="J30" i="131" s="1"/>
  <c r="X17" i="156"/>
  <c r="X18" i="156" s="1"/>
  <c r="X19" i="156" s="1"/>
  <c r="X20" i="156" s="1"/>
  <c r="X21" i="156" s="1"/>
  <c r="X22" i="156" s="1"/>
  <c r="X23" i="156" s="1"/>
  <c r="I15" i="131"/>
  <c r="I14" i="131"/>
  <c r="I13" i="131"/>
  <c r="I12" i="131"/>
  <c r="I11" i="131"/>
  <c r="I10" i="131"/>
  <c r="I9" i="131"/>
  <c r="I8" i="131"/>
  <c r="I7" i="131"/>
  <c r="I6" i="131"/>
  <c r="I5" i="131"/>
  <c r="I30" i="131" s="1"/>
  <c r="P35" i="156"/>
  <c r="P34" i="156"/>
  <c r="P33" i="156"/>
  <c r="P32" i="156"/>
  <c r="P31" i="156"/>
  <c r="P30" i="156"/>
  <c r="P29" i="156"/>
  <c r="P28" i="156"/>
  <c r="P27" i="156"/>
  <c r="P26" i="156"/>
  <c r="D47" i="156"/>
  <c r="D46" i="156"/>
  <c r="B60" i="156"/>
  <c r="D49" i="156"/>
  <c r="C49" i="156"/>
  <c r="D48" i="156"/>
  <c r="C48" i="156"/>
  <c r="C47" i="156"/>
  <c r="C46" i="156"/>
  <c r="C45" i="156"/>
  <c r="B22" i="156"/>
  <c r="S16" i="156"/>
  <c r="B16" i="156"/>
  <c r="B17" i="156" s="1"/>
  <c r="B18" i="156" s="1"/>
  <c r="B19" i="156" s="1"/>
  <c r="B20" i="156" s="1"/>
  <c r="B21" i="156" s="1"/>
  <c r="B14" i="156"/>
  <c r="B15" i="156" s="1"/>
  <c r="B12" i="156"/>
  <c r="B13" i="156" s="1"/>
  <c r="B11" i="156"/>
  <c r="B2" i="156"/>
  <c r="C27" i="155"/>
  <c r="D47" i="155"/>
  <c r="D46" i="155"/>
  <c r="B60" i="155"/>
  <c r="D49" i="155"/>
  <c r="C49" i="155"/>
  <c r="D48" i="155"/>
  <c r="C48" i="155"/>
  <c r="C47" i="155"/>
  <c r="C46" i="155"/>
  <c r="C45" i="155"/>
  <c r="L21" i="155"/>
  <c r="L20" i="155"/>
  <c r="L19" i="155"/>
  <c r="L18" i="155"/>
  <c r="L17" i="155"/>
  <c r="X17" i="155"/>
  <c r="X18" i="155" s="1"/>
  <c r="X19" i="155" s="1"/>
  <c r="X20" i="155" s="1"/>
  <c r="X21" i="155" s="1"/>
  <c r="X22" i="155" s="1"/>
  <c r="X23" i="155" s="1"/>
  <c r="X24" i="155" s="1"/>
  <c r="X25" i="155" s="1"/>
  <c r="X26" i="155" s="1"/>
  <c r="X27" i="155" s="1"/>
  <c r="T17" i="155"/>
  <c r="T18" i="155" s="1"/>
  <c r="T19" i="155" s="1"/>
  <c r="T20" i="155" s="1"/>
  <c r="T21" i="155" s="1"/>
  <c r="T22" i="155" s="1"/>
  <c r="T23" i="155" s="1"/>
  <c r="T24" i="155" s="1"/>
  <c r="T25" i="155" s="1"/>
  <c r="T26" i="155" s="1"/>
  <c r="T27" i="155" s="1"/>
  <c r="L16" i="155"/>
  <c r="L15" i="155"/>
  <c r="L14" i="155"/>
  <c r="L13" i="155"/>
  <c r="B13" i="155"/>
  <c r="B14" i="155" s="1"/>
  <c r="B15" i="155" s="1"/>
  <c r="B16" i="155" s="1"/>
  <c r="B17" i="155" s="1"/>
  <c r="B18" i="155" s="1"/>
  <c r="B19" i="155" s="1"/>
  <c r="B20" i="155" s="1"/>
  <c r="B21" i="155" s="1"/>
  <c r="B22" i="155" s="1"/>
  <c r="B23" i="155" s="1"/>
  <c r="B24" i="155" s="1"/>
  <c r="B25" i="155" s="1"/>
  <c r="B26" i="155" s="1"/>
  <c r="L12" i="155"/>
  <c r="B12" i="155"/>
  <c r="B11" i="155"/>
  <c r="B2" i="155"/>
  <c r="T17" i="154"/>
  <c r="T18" i="154" s="1"/>
  <c r="T19" i="154" s="1"/>
  <c r="T20" i="154" s="1"/>
  <c r="T21" i="154" s="1"/>
  <c r="T22" i="154" s="1"/>
  <c r="T23" i="154" s="1"/>
  <c r="T24" i="154" s="1"/>
  <c r="T25" i="154" s="1"/>
  <c r="T26" i="154" s="1"/>
  <c r="E26" i="154"/>
  <c r="E27" i="154" s="1"/>
  <c r="E28" i="154" s="1"/>
  <c r="E29" i="154" s="1"/>
  <c r="E30" i="154" s="1"/>
  <c r="E31" i="154" s="1"/>
  <c r="E32" i="154" s="1"/>
  <c r="E33" i="154" s="1"/>
  <c r="E34" i="154" s="1"/>
  <c r="E35" i="154" s="1"/>
  <c r="E36" i="154" s="1"/>
  <c r="E37" i="154" s="1"/>
  <c r="D47" i="154"/>
  <c r="C60" i="154"/>
  <c r="F20" i="154" s="1"/>
  <c r="F21" i="154" s="1"/>
  <c r="F22" i="154" s="1"/>
  <c r="B60" i="154"/>
  <c r="D49" i="154"/>
  <c r="C49" i="154"/>
  <c r="D48" i="154"/>
  <c r="C48" i="154"/>
  <c r="C47" i="154"/>
  <c r="D46" i="154"/>
  <c r="C46" i="154"/>
  <c r="C45" i="154"/>
  <c r="J9" i="131"/>
  <c r="J8" i="131"/>
  <c r="X17" i="154"/>
  <c r="X18" i="154" s="1"/>
  <c r="X19" i="154" s="1"/>
  <c r="X20" i="154" s="1"/>
  <c r="X21" i="154" s="1"/>
  <c r="X22" i="154" s="1"/>
  <c r="X23" i="154" s="1"/>
  <c r="X24" i="154" s="1"/>
  <c r="X25" i="154" s="1"/>
  <c r="X26" i="154" s="1"/>
  <c r="J7" i="131"/>
  <c r="J6" i="131"/>
  <c r="B11" i="154"/>
  <c r="B12" i="154" s="1"/>
  <c r="B13" i="154" s="1"/>
  <c r="B14" i="154" s="1"/>
  <c r="B15" i="154" s="1"/>
  <c r="B16" i="154" s="1"/>
  <c r="B17" i="154" s="1"/>
  <c r="B18" i="154" s="1"/>
  <c r="B19" i="154" s="1"/>
  <c r="B20" i="154" s="1"/>
  <c r="B21" i="154" s="1"/>
  <c r="B22" i="154" s="1"/>
  <c r="B23" i="154" s="1"/>
  <c r="B24" i="154" s="1"/>
  <c r="B25" i="154" s="1"/>
  <c r="B26" i="154" s="1"/>
  <c r="B3" i="154"/>
  <c r="B2" i="154"/>
  <c r="P35" i="153"/>
  <c r="P34" i="153"/>
  <c r="P33" i="153"/>
  <c r="P32" i="153"/>
  <c r="P31" i="153"/>
  <c r="P30" i="153"/>
  <c r="P29" i="153"/>
  <c r="P28" i="153"/>
  <c r="P27" i="153"/>
  <c r="P26" i="153"/>
  <c r="C26" i="153"/>
  <c r="R86" i="97"/>
  <c r="D26" i="159" s="1"/>
  <c r="L86" i="97"/>
  <c r="J86" i="97"/>
  <c r="R84" i="97"/>
  <c r="C26" i="156" s="1"/>
  <c r="D26" i="156" s="1"/>
  <c r="L84" i="97"/>
  <c r="E26" i="156" s="1"/>
  <c r="E27" i="156" s="1"/>
  <c r="E28" i="156" s="1"/>
  <c r="E29" i="156" s="1"/>
  <c r="E30" i="156" s="1"/>
  <c r="E31" i="156" s="1"/>
  <c r="E32" i="156" s="1"/>
  <c r="E33" i="156" s="1"/>
  <c r="E34" i="156" s="1"/>
  <c r="E35" i="156" s="1"/>
  <c r="E36" i="156" s="1"/>
  <c r="E37" i="156" s="1"/>
  <c r="J84" i="97"/>
  <c r="R82" i="97"/>
  <c r="L82" i="97"/>
  <c r="E27" i="155" s="1"/>
  <c r="E28" i="155" s="1"/>
  <c r="E29" i="155" s="1"/>
  <c r="E30" i="155" s="1"/>
  <c r="E31" i="155" s="1"/>
  <c r="E32" i="155" s="1"/>
  <c r="E33" i="155" s="1"/>
  <c r="E34" i="155" s="1"/>
  <c r="E35" i="155" s="1"/>
  <c r="E36" i="155" s="1"/>
  <c r="E37" i="155" s="1"/>
  <c r="J82" i="97"/>
  <c r="J80" i="97"/>
  <c r="R80" i="97"/>
  <c r="C26" i="157" s="1"/>
  <c r="D26" i="157" s="1"/>
  <c r="L80" i="97"/>
  <c r="E26" i="157" s="1"/>
  <c r="E27" i="157" s="1"/>
  <c r="E28" i="157" s="1"/>
  <c r="E29" i="157" s="1"/>
  <c r="E30" i="157" s="1"/>
  <c r="E31" i="157" s="1"/>
  <c r="E32" i="157" s="1"/>
  <c r="E33" i="157" s="1"/>
  <c r="E34" i="157" s="1"/>
  <c r="E35" i="157" s="1"/>
  <c r="E36" i="157" s="1"/>
  <c r="E37" i="157" s="1"/>
  <c r="R78" i="97"/>
  <c r="C26" i="154" s="1"/>
  <c r="D26" i="154" s="1"/>
  <c r="L78" i="97"/>
  <c r="R76" i="97"/>
  <c r="L76" i="97"/>
  <c r="E26" i="153" s="1"/>
  <c r="J76" i="97"/>
  <c r="D27" i="155" l="1"/>
  <c r="B3" i="157"/>
  <c r="C52" i="157" s="1"/>
  <c r="B9" i="157" s="1"/>
  <c r="S16" i="158"/>
  <c r="S16" i="159"/>
  <c r="T17" i="158"/>
  <c r="T18" i="158" s="1"/>
  <c r="T19" i="158" s="1"/>
  <c r="T20" i="158" s="1"/>
  <c r="T21" i="158" s="1"/>
  <c r="T22" i="158" s="1"/>
  <c r="T23" i="158" s="1"/>
  <c r="T24" i="158" s="1"/>
  <c r="T25" i="158" s="1"/>
  <c r="T26" i="158" s="1"/>
  <c r="U26" i="158" s="1"/>
  <c r="E27" i="159"/>
  <c r="E28" i="159" s="1"/>
  <c r="E29" i="159" s="1"/>
  <c r="E30" i="159" s="1"/>
  <c r="E31" i="159" s="1"/>
  <c r="E32" i="159" s="1"/>
  <c r="E33" i="159" s="1"/>
  <c r="E34" i="159" s="1"/>
  <c r="E35" i="159" s="1"/>
  <c r="E36" i="159" s="1"/>
  <c r="E37" i="159" s="1"/>
  <c r="U26" i="157"/>
  <c r="C26" i="158"/>
  <c r="D26" i="158" s="1"/>
  <c r="E26" i="158"/>
  <c r="E27" i="158" s="1"/>
  <c r="E28" i="158" s="1"/>
  <c r="E29" i="158" s="1"/>
  <c r="E30" i="158" s="1"/>
  <c r="E31" i="158" s="1"/>
  <c r="E32" i="158" s="1"/>
  <c r="E33" i="158" s="1"/>
  <c r="E34" i="158" s="1"/>
  <c r="E35" i="158" s="1"/>
  <c r="E36" i="158" s="1"/>
  <c r="E37" i="158" s="1"/>
  <c r="U27" i="155"/>
  <c r="U26" i="154"/>
  <c r="Y27" i="155"/>
  <c r="Y26" i="154"/>
  <c r="Y26" i="159"/>
  <c r="P26" i="159"/>
  <c r="B27" i="159"/>
  <c r="D27" i="159"/>
  <c r="T17" i="159"/>
  <c r="T18" i="159" s="1"/>
  <c r="T19" i="159" s="1"/>
  <c r="T20" i="159" s="1"/>
  <c r="T21" i="159" s="1"/>
  <c r="T22" i="159" s="1"/>
  <c r="T23" i="159" s="1"/>
  <c r="T24" i="159" s="1"/>
  <c r="T25" i="159" s="1"/>
  <c r="T26" i="159" s="1"/>
  <c r="U26" i="159" s="1"/>
  <c r="B3" i="159"/>
  <c r="C52" i="159" s="1"/>
  <c r="B9" i="159" s="1"/>
  <c r="X25" i="158"/>
  <c r="S16" i="157"/>
  <c r="B24" i="158"/>
  <c r="B3" i="158"/>
  <c r="C52" i="158" s="1"/>
  <c r="B9" i="158" s="1"/>
  <c r="Y26" i="157"/>
  <c r="D27" i="157"/>
  <c r="B27" i="157"/>
  <c r="X24" i="156"/>
  <c r="B23" i="156"/>
  <c r="T17" i="156"/>
  <c r="T18" i="156" s="1"/>
  <c r="T19" i="156" s="1"/>
  <c r="T20" i="156" s="1"/>
  <c r="T21" i="156" s="1"/>
  <c r="T22" i="156" s="1"/>
  <c r="T23" i="156" s="1"/>
  <c r="T24" i="156" s="1"/>
  <c r="T25" i="156" s="1"/>
  <c r="B3" i="156"/>
  <c r="C52" i="156" s="1"/>
  <c r="B9" i="156" s="1"/>
  <c r="L23" i="155"/>
  <c r="B27" i="155"/>
  <c r="B3" i="155"/>
  <c r="C52" i="155" s="1"/>
  <c r="B9" i="155" s="1"/>
  <c r="L22" i="155"/>
  <c r="S16" i="155"/>
  <c r="C52" i="154"/>
  <c r="B9" i="154" s="1"/>
  <c r="B27" i="154"/>
  <c r="P26" i="154"/>
  <c r="J11" i="131"/>
  <c r="F23" i="154"/>
  <c r="J12" i="131"/>
  <c r="D27" i="154"/>
  <c r="S16" i="154"/>
  <c r="J10" i="131"/>
  <c r="D47" i="153"/>
  <c r="D26" i="153"/>
  <c r="B60" i="153"/>
  <c r="D49" i="153"/>
  <c r="C49" i="153"/>
  <c r="D48" i="153"/>
  <c r="C48" i="153"/>
  <c r="C47" i="153"/>
  <c r="C46" i="153"/>
  <c r="C45" i="153"/>
  <c r="X17" i="153"/>
  <c r="X18" i="153" s="1"/>
  <c r="X19" i="153" s="1"/>
  <c r="X20" i="153" s="1"/>
  <c r="X21" i="153" s="1"/>
  <c r="X22" i="153" s="1"/>
  <c r="X23" i="153" s="1"/>
  <c r="X24" i="153" s="1"/>
  <c r="X25" i="153" s="1"/>
  <c r="X26" i="153" s="1"/>
  <c r="Y26" i="153" s="1"/>
  <c r="S16" i="153"/>
  <c r="B12" i="153"/>
  <c r="B13" i="153" s="1"/>
  <c r="B14" i="153" s="1"/>
  <c r="B15" i="153" s="1"/>
  <c r="B16" i="153" s="1"/>
  <c r="B17" i="153" s="1"/>
  <c r="B18" i="153" s="1"/>
  <c r="B19" i="153" s="1"/>
  <c r="B20" i="153" s="1"/>
  <c r="B21" i="153" s="1"/>
  <c r="B22" i="153" s="1"/>
  <c r="B23" i="153" s="1"/>
  <c r="B11" i="153"/>
  <c r="B3" i="153"/>
  <c r="B2" i="153"/>
  <c r="C52" i="153" s="1"/>
  <c r="B9" i="153" s="1"/>
  <c r="AD5" i="131"/>
  <c r="AD30" i="131" s="1"/>
  <c r="AE30" i="131" s="1"/>
  <c r="AC5" i="131"/>
  <c r="AE5" i="131" s="1"/>
  <c r="D46" i="153" l="1"/>
  <c r="D28" i="159"/>
  <c r="B28" i="159"/>
  <c r="P27" i="159"/>
  <c r="X26" i="158"/>
  <c r="Y26" i="158" s="1"/>
  <c r="B25" i="158"/>
  <c r="D28" i="157"/>
  <c r="B28" i="157"/>
  <c r="X25" i="156"/>
  <c r="T26" i="156"/>
  <c r="U26" i="156" s="1"/>
  <c r="B24" i="156"/>
  <c r="D28" i="155"/>
  <c r="B28" i="155"/>
  <c r="L24" i="155"/>
  <c r="F24" i="154"/>
  <c r="J13" i="131"/>
  <c r="D28" i="154"/>
  <c r="B28" i="154"/>
  <c r="P27" i="154"/>
  <c r="B24" i="153"/>
  <c r="T17" i="153"/>
  <c r="T18" i="153" s="1"/>
  <c r="T19" i="153" s="1"/>
  <c r="T20" i="153" s="1"/>
  <c r="T21" i="153" s="1"/>
  <c r="T22" i="153" s="1"/>
  <c r="T23" i="153" s="1"/>
  <c r="T24" i="153" s="1"/>
  <c r="T25" i="153" s="1"/>
  <c r="T26" i="153" s="1"/>
  <c r="U26" i="153" s="1"/>
  <c r="AC30" i="131"/>
  <c r="P28" i="159" l="1"/>
  <c r="B29" i="159"/>
  <c r="D29" i="159"/>
  <c r="B26" i="158"/>
  <c r="B29" i="157"/>
  <c r="D29" i="157"/>
  <c r="X26" i="156"/>
  <c r="Y26" i="156" s="1"/>
  <c r="B25" i="156"/>
  <c r="B29" i="155"/>
  <c r="L25" i="155"/>
  <c r="D29" i="155"/>
  <c r="B29" i="154"/>
  <c r="P28" i="154"/>
  <c r="F25" i="154"/>
  <c r="J14" i="131"/>
  <c r="D29" i="154"/>
  <c r="B25" i="153"/>
  <c r="P29" i="159" l="1"/>
  <c r="B30" i="159"/>
  <c r="D30" i="159"/>
  <c r="L26" i="158"/>
  <c r="M16" i="131" s="1"/>
  <c r="G26" i="158"/>
  <c r="J26" i="158" s="1"/>
  <c r="K26" i="158" s="1"/>
  <c r="D27" i="158"/>
  <c r="B27" i="158"/>
  <c r="B30" i="157"/>
  <c r="D30" i="157"/>
  <c r="B26" i="156"/>
  <c r="L26" i="155"/>
  <c r="D30" i="155"/>
  <c r="B30" i="155"/>
  <c r="B30" i="154"/>
  <c r="P29" i="154"/>
  <c r="D30" i="154"/>
  <c r="F26" i="154"/>
  <c r="J15" i="131"/>
  <c r="B26" i="153"/>
  <c r="D31" i="159" l="1"/>
  <c r="P30" i="159"/>
  <c r="B31" i="159"/>
  <c r="B28" i="158"/>
  <c r="L27" i="158"/>
  <c r="M17" i="131" s="1"/>
  <c r="G27" i="158"/>
  <c r="D28" i="158"/>
  <c r="B31" i="157"/>
  <c r="D31" i="157"/>
  <c r="B27" i="156"/>
  <c r="D31" i="155"/>
  <c r="B31" i="155"/>
  <c r="D31" i="154"/>
  <c r="P30" i="154"/>
  <c r="B31" i="154"/>
  <c r="F27" i="154"/>
  <c r="L26" i="154"/>
  <c r="J16" i="131" s="1"/>
  <c r="G26" i="154"/>
  <c r="J26" i="154" s="1"/>
  <c r="B27" i="153"/>
  <c r="D32" i="159" l="1"/>
  <c r="P31" i="159"/>
  <c r="B32" i="159"/>
  <c r="L28" i="158"/>
  <c r="M18" i="131" s="1"/>
  <c r="G28" i="158"/>
  <c r="J28" i="158" s="1"/>
  <c r="K28" i="158" s="1"/>
  <c r="D29" i="158"/>
  <c r="B29" i="158"/>
  <c r="J27" i="158"/>
  <c r="D32" i="157"/>
  <c r="B32" i="157"/>
  <c r="B28" i="156"/>
  <c r="D27" i="156"/>
  <c r="D32" i="155"/>
  <c r="B32" i="155"/>
  <c r="K26" i="154"/>
  <c r="F28" i="154"/>
  <c r="G27" i="154"/>
  <c r="J27" i="154" s="1"/>
  <c r="K27" i="154" s="1"/>
  <c r="L27" i="154"/>
  <c r="J17" i="131" s="1"/>
  <c r="B32" i="154"/>
  <c r="P31" i="154"/>
  <c r="D32" i="154"/>
  <c r="B28" i="153"/>
  <c r="P32" i="159" l="1"/>
  <c r="B33" i="159"/>
  <c r="D33" i="159"/>
  <c r="B30" i="158"/>
  <c r="K27" i="158"/>
  <c r="L29" i="158"/>
  <c r="M19" i="131" s="1"/>
  <c r="G29" i="158"/>
  <c r="J29" i="158" s="1"/>
  <c r="K29" i="158" s="1"/>
  <c r="D30" i="158"/>
  <c r="B33" i="157"/>
  <c r="D33" i="157"/>
  <c r="D28" i="156"/>
  <c r="B29" i="156"/>
  <c r="B33" i="155"/>
  <c r="D33" i="155"/>
  <c r="D33" i="154"/>
  <c r="F29" i="154"/>
  <c r="G28" i="154"/>
  <c r="J28" i="154" s="1"/>
  <c r="K28" i="154" s="1"/>
  <c r="L28" i="154"/>
  <c r="J18" i="131" s="1"/>
  <c r="B33" i="154"/>
  <c r="P32" i="154"/>
  <c r="B29" i="153"/>
  <c r="D34" i="159" l="1"/>
  <c r="B34" i="159"/>
  <c r="P33" i="159"/>
  <c r="G30" i="158"/>
  <c r="L30" i="158"/>
  <c r="M20" i="131" s="1"/>
  <c r="D31" i="158"/>
  <c r="B31" i="158"/>
  <c r="D34" i="157"/>
  <c r="B34" i="157"/>
  <c r="D29" i="156"/>
  <c r="B30" i="156"/>
  <c r="B34" i="155"/>
  <c r="D34" i="155"/>
  <c r="F30" i="154"/>
  <c r="L29" i="154"/>
  <c r="J19" i="131" s="1"/>
  <c r="G29" i="154"/>
  <c r="J29" i="154" s="1"/>
  <c r="B34" i="154"/>
  <c r="P33" i="154"/>
  <c r="D34" i="154"/>
  <c r="B30" i="153"/>
  <c r="P34" i="159" l="1"/>
  <c r="B35" i="159"/>
  <c r="D35" i="159"/>
  <c r="B32" i="158"/>
  <c r="L31" i="158"/>
  <c r="M21" i="131" s="1"/>
  <c r="G31" i="158"/>
  <c r="D32" i="158"/>
  <c r="J30" i="158"/>
  <c r="D35" i="157"/>
  <c r="B35" i="157"/>
  <c r="D30" i="156"/>
  <c r="B31" i="156"/>
  <c r="B32" i="156" s="1"/>
  <c r="B33" i="156" s="1"/>
  <c r="B34" i="156" s="1"/>
  <c r="B35" i="156" s="1"/>
  <c r="B36" i="156" s="1"/>
  <c r="B37" i="156" s="1"/>
  <c r="D35" i="155"/>
  <c r="B35" i="155"/>
  <c r="K29" i="154"/>
  <c r="F31" i="154"/>
  <c r="L30" i="154"/>
  <c r="J20" i="131" s="1"/>
  <c r="G30" i="154"/>
  <c r="J30" i="154" s="1"/>
  <c r="K30" i="154" s="1"/>
  <c r="D35" i="154"/>
  <c r="B35" i="154"/>
  <c r="P34" i="154"/>
  <c r="B31" i="153"/>
  <c r="P35" i="159" l="1"/>
  <c r="B36" i="159"/>
  <c r="B37" i="159" s="1"/>
  <c r="D36" i="159"/>
  <c r="L32" i="158"/>
  <c r="M22" i="131" s="1"/>
  <c r="D33" i="158"/>
  <c r="G32" i="158"/>
  <c r="B33" i="158"/>
  <c r="B34" i="158" s="1"/>
  <c r="B35" i="158" s="1"/>
  <c r="B36" i="158" s="1"/>
  <c r="B37" i="158" s="1"/>
  <c r="J31" i="158"/>
  <c r="K31" i="158" s="1"/>
  <c r="K30" i="158"/>
  <c r="D36" i="157"/>
  <c r="B36" i="157"/>
  <c r="B37" i="157" s="1"/>
  <c r="D31" i="156"/>
  <c r="D36" i="155"/>
  <c r="B36" i="155"/>
  <c r="F32" i="154"/>
  <c r="L31" i="154"/>
  <c r="J21" i="131" s="1"/>
  <c r="G31" i="154"/>
  <c r="J31" i="154" s="1"/>
  <c r="D36" i="154"/>
  <c r="B36" i="154"/>
  <c r="P35" i="154"/>
  <c r="B32" i="153"/>
  <c r="D37" i="159" l="1"/>
  <c r="G33" i="158"/>
  <c r="J33" i="158" s="1"/>
  <c r="K33" i="158" s="1"/>
  <c r="D34" i="158"/>
  <c r="L33" i="158"/>
  <c r="M23" i="131" s="1"/>
  <c r="J32" i="158"/>
  <c r="K32" i="158" s="1"/>
  <c r="D37" i="157"/>
  <c r="D32" i="156"/>
  <c r="D37" i="155"/>
  <c r="B37" i="155"/>
  <c r="D37" i="154"/>
  <c r="B37" i="154"/>
  <c r="K31" i="154"/>
  <c r="F33" i="154"/>
  <c r="G32" i="154"/>
  <c r="J32" i="154" s="1"/>
  <c r="K32" i="154" s="1"/>
  <c r="L32" i="154"/>
  <c r="J22" i="131" s="1"/>
  <c r="B33" i="153"/>
  <c r="B34" i="153" s="1"/>
  <c r="B35" i="153" s="1"/>
  <c r="B36" i="153" s="1"/>
  <c r="B37" i="153" s="1"/>
  <c r="L34" i="158" l="1"/>
  <c r="M24" i="131" s="1"/>
  <c r="G34" i="158"/>
  <c r="J34" i="158" s="1"/>
  <c r="K34" i="158" s="1"/>
  <c r="D35" i="158"/>
  <c r="D33" i="156"/>
  <c r="F34" i="154"/>
  <c r="L33" i="154"/>
  <c r="J23" i="131" s="1"/>
  <c r="G33" i="154"/>
  <c r="J33" i="154" s="1"/>
  <c r="D36" i="158" l="1"/>
  <c r="G35" i="158"/>
  <c r="J35" i="158" s="1"/>
  <c r="K35" i="158" s="1"/>
  <c r="L35" i="158"/>
  <c r="M25" i="131" s="1"/>
  <c r="D34" i="156"/>
  <c r="K33" i="154"/>
  <c r="F35" i="154"/>
  <c r="L34" i="154"/>
  <c r="J24" i="131" s="1"/>
  <c r="G34" i="154"/>
  <c r="J34" i="154" s="1"/>
  <c r="K34" i="154" s="1"/>
  <c r="G36" i="158" l="1"/>
  <c r="J36" i="158" s="1"/>
  <c r="K36" i="158" s="1"/>
  <c r="L36" i="158"/>
  <c r="M26" i="131" s="1"/>
  <c r="M29" i="131" s="1"/>
  <c r="D37" i="158"/>
  <c r="D35" i="156"/>
  <c r="F36" i="154"/>
  <c r="L35" i="154"/>
  <c r="J25" i="131" s="1"/>
  <c r="G35" i="154"/>
  <c r="J35" i="154" s="1"/>
  <c r="K35" i="154" s="1"/>
  <c r="G37" i="158" l="1"/>
  <c r="J37" i="158" s="1"/>
  <c r="L37" i="158"/>
  <c r="D36" i="156"/>
  <c r="F37" i="154"/>
  <c r="L36" i="154"/>
  <c r="J26" i="131" s="1"/>
  <c r="J29" i="131" s="1"/>
  <c r="G36" i="154"/>
  <c r="J36" i="154" s="1"/>
  <c r="K36" i="154" s="1"/>
  <c r="K37" i="158" l="1"/>
  <c r="K39" i="158" s="1"/>
  <c r="J39" i="158"/>
  <c r="L39" i="158"/>
  <c r="D37" i="156"/>
  <c r="G37" i="154"/>
  <c r="J37" i="154" s="1"/>
  <c r="L37" i="154"/>
  <c r="L39" i="154" l="1"/>
  <c r="K37" i="154"/>
  <c r="K39" i="154" s="1"/>
  <c r="J39" i="154"/>
  <c r="C63" i="151" l="1"/>
  <c r="D47" i="151" s="1"/>
  <c r="C60" i="151"/>
  <c r="F35" i="151" s="1"/>
  <c r="B60" i="151"/>
  <c r="D49" i="151"/>
  <c r="C49" i="151"/>
  <c r="D48" i="151"/>
  <c r="C48" i="151"/>
  <c r="C47" i="151"/>
  <c r="D46" i="151"/>
  <c r="C46" i="151"/>
  <c r="C45" i="151"/>
  <c r="K18" i="151"/>
  <c r="AD8" i="131" s="1"/>
  <c r="K17" i="151"/>
  <c r="AD7" i="131" s="1"/>
  <c r="W17" i="151"/>
  <c r="W18" i="151" s="1"/>
  <c r="W19" i="151" s="1"/>
  <c r="S17" i="151"/>
  <c r="S18" i="151" s="1"/>
  <c r="S19" i="151" s="1"/>
  <c r="K16" i="151"/>
  <c r="AD6" i="131" s="1"/>
  <c r="K15" i="151"/>
  <c r="K14" i="151"/>
  <c r="K13" i="151"/>
  <c r="K12" i="151"/>
  <c r="B11" i="151"/>
  <c r="B12" i="151" s="1"/>
  <c r="B13" i="151" s="1"/>
  <c r="B14" i="151" s="1"/>
  <c r="B15" i="151" s="1"/>
  <c r="B16" i="151" s="1"/>
  <c r="B17" i="151" s="1"/>
  <c r="B18" i="151" s="1"/>
  <c r="B19" i="151" s="1"/>
  <c r="B20" i="151" s="1"/>
  <c r="B21" i="151" s="1"/>
  <c r="B22" i="151" s="1"/>
  <c r="B23" i="151" s="1"/>
  <c r="B24" i="151" s="1"/>
  <c r="B25" i="151" s="1"/>
  <c r="B26" i="151" s="1"/>
  <c r="B27" i="151" s="1"/>
  <c r="B28" i="151" s="1"/>
  <c r="B29" i="151" s="1"/>
  <c r="B30" i="151" s="1"/>
  <c r="B31" i="151" s="1"/>
  <c r="B32" i="151" s="1"/>
  <c r="B33" i="151" s="1"/>
  <c r="B34" i="151" s="1"/>
  <c r="B35" i="151" s="1"/>
  <c r="B36" i="151" s="1"/>
  <c r="B37" i="151" s="1"/>
  <c r="B2" i="151"/>
  <c r="P28" i="104"/>
  <c r="P27" i="104"/>
  <c r="P26" i="104"/>
  <c r="P25" i="104"/>
  <c r="P24" i="104"/>
  <c r="P23" i="104"/>
  <c r="P22" i="104"/>
  <c r="P21" i="104"/>
  <c r="P20" i="104"/>
  <c r="P19" i="104"/>
  <c r="P36" i="149"/>
  <c r="P35" i="149"/>
  <c r="P34" i="149"/>
  <c r="P33" i="149"/>
  <c r="P32" i="149"/>
  <c r="P31" i="149"/>
  <c r="P30" i="149"/>
  <c r="P29" i="149"/>
  <c r="P28" i="149"/>
  <c r="P27" i="148"/>
  <c r="P28" i="148"/>
  <c r="P29" i="148"/>
  <c r="P30" i="148"/>
  <c r="P31" i="148"/>
  <c r="P32" i="148"/>
  <c r="P33" i="148"/>
  <c r="P34" i="148"/>
  <c r="P35" i="148"/>
  <c r="P26" i="148"/>
  <c r="P31" i="132"/>
  <c r="P30" i="132"/>
  <c r="P29" i="132"/>
  <c r="P28" i="132"/>
  <c r="P27" i="132"/>
  <c r="P26" i="132"/>
  <c r="P25" i="132"/>
  <c r="P24" i="132"/>
  <c r="P23" i="132"/>
  <c r="P22" i="132"/>
  <c r="P31" i="138"/>
  <c r="P30" i="138"/>
  <c r="P29" i="138"/>
  <c r="P28" i="138"/>
  <c r="P27" i="138"/>
  <c r="P26" i="138"/>
  <c r="P25" i="138"/>
  <c r="P24" i="138"/>
  <c r="P23" i="138"/>
  <c r="P22" i="138"/>
  <c r="P31" i="137"/>
  <c r="P30" i="137"/>
  <c r="P29" i="137"/>
  <c r="P28" i="137"/>
  <c r="P27" i="137"/>
  <c r="P26" i="137"/>
  <c r="P25" i="137"/>
  <c r="P24" i="137"/>
  <c r="P23" i="137"/>
  <c r="P22" i="137"/>
  <c r="F19" i="151" l="1"/>
  <c r="F24" i="151"/>
  <c r="F29" i="151"/>
  <c r="F34" i="151"/>
  <c r="F20" i="151"/>
  <c r="F25" i="151"/>
  <c r="F30" i="151"/>
  <c r="F36" i="151"/>
  <c r="F21" i="151"/>
  <c r="F26" i="151"/>
  <c r="F32" i="151"/>
  <c r="F37" i="151"/>
  <c r="F22" i="151"/>
  <c r="F28" i="151"/>
  <c r="F33" i="151"/>
  <c r="B3" i="151"/>
  <c r="C52" i="151" s="1"/>
  <c r="B9" i="151" s="1"/>
  <c r="R16" i="151"/>
  <c r="F23" i="151"/>
  <c r="F27" i="151"/>
  <c r="F31" i="151"/>
  <c r="J6" i="97"/>
  <c r="J22" i="97"/>
  <c r="J18" i="97"/>
  <c r="J16" i="97"/>
  <c r="J14" i="97"/>
  <c r="J12" i="97"/>
  <c r="J10" i="97"/>
  <c r="J8" i="97"/>
  <c r="J26" i="97"/>
  <c r="J30" i="97"/>
  <c r="J34" i="97"/>
  <c r="J38" i="97"/>
  <c r="J4" i="97"/>
  <c r="J74" i="97"/>
  <c r="J72" i="97"/>
  <c r="J70" i="97"/>
  <c r="J68" i="97"/>
  <c r="J66" i="97"/>
  <c r="J64" i="97"/>
  <c r="J62" i="97"/>
  <c r="J58" i="97"/>
  <c r="J54" i="97"/>
  <c r="J50" i="97"/>
  <c r="J46" i="97"/>
  <c r="J42" i="97"/>
  <c r="T17" i="150" l="1"/>
  <c r="T18" i="150" s="1"/>
  <c r="T19" i="150" s="1"/>
  <c r="P19" i="150"/>
  <c r="C19" i="150"/>
  <c r="R60" i="97"/>
  <c r="C19" i="151" s="1"/>
  <c r="L60" i="97"/>
  <c r="E19" i="151" s="1"/>
  <c r="R58" i="97"/>
  <c r="L58" i="97"/>
  <c r="E19" i="150" s="1"/>
  <c r="E20" i="150" s="1"/>
  <c r="D47" i="150"/>
  <c r="B60" i="150"/>
  <c r="D49" i="150"/>
  <c r="C49" i="150"/>
  <c r="D48" i="150"/>
  <c r="C48" i="150"/>
  <c r="C47" i="150"/>
  <c r="D46" i="150"/>
  <c r="C46" i="150"/>
  <c r="C45" i="150"/>
  <c r="L18" i="150"/>
  <c r="AC8" i="131" s="1"/>
  <c r="AE8" i="131" s="1"/>
  <c r="L17" i="150"/>
  <c r="AC7" i="131" s="1"/>
  <c r="AE7" i="131" s="1"/>
  <c r="X17" i="150"/>
  <c r="X18" i="150" s="1"/>
  <c r="X19" i="150" s="1"/>
  <c r="L16" i="150"/>
  <c r="AC6" i="131" s="1"/>
  <c r="AE6" i="131" s="1"/>
  <c r="L15" i="150"/>
  <c r="L14" i="150"/>
  <c r="L13" i="150"/>
  <c r="L12" i="150"/>
  <c r="B12" i="150"/>
  <c r="B13" i="150" s="1"/>
  <c r="B14" i="150" s="1"/>
  <c r="B15" i="150" s="1"/>
  <c r="B16" i="150" s="1"/>
  <c r="B17" i="150" s="1"/>
  <c r="B18" i="150" s="1"/>
  <c r="B19" i="150" s="1"/>
  <c r="B20" i="150" s="1"/>
  <c r="B11" i="150"/>
  <c r="B2" i="150"/>
  <c r="R16" i="97"/>
  <c r="C28" i="149" s="1"/>
  <c r="L16" i="97"/>
  <c r="E28" i="149" s="1"/>
  <c r="T17" i="149"/>
  <c r="T18" i="149" s="1"/>
  <c r="T19" i="149" s="1"/>
  <c r="T20" i="149" s="1"/>
  <c r="T21" i="149" s="1"/>
  <c r="D47" i="149"/>
  <c r="C60" i="149"/>
  <c r="F36" i="149" s="1"/>
  <c r="B60" i="149"/>
  <c r="D49" i="149"/>
  <c r="C49" i="149"/>
  <c r="D48" i="149"/>
  <c r="C48" i="149"/>
  <c r="C47" i="149"/>
  <c r="D46" i="149"/>
  <c r="C46" i="149"/>
  <c r="C45" i="149"/>
  <c r="L18" i="149"/>
  <c r="L17" i="149"/>
  <c r="X17" i="149"/>
  <c r="X18" i="149" s="1"/>
  <c r="X19" i="149" s="1"/>
  <c r="X20" i="149" s="1"/>
  <c r="L16" i="149"/>
  <c r="L15" i="149"/>
  <c r="L14" i="149"/>
  <c r="L13" i="149"/>
  <c r="L12" i="149"/>
  <c r="B11" i="149"/>
  <c r="B12" i="149" s="1"/>
  <c r="B13" i="149" s="1"/>
  <c r="B14" i="149" s="1"/>
  <c r="B15" i="149" s="1"/>
  <c r="B16" i="149" s="1"/>
  <c r="B17" i="149" s="1"/>
  <c r="B18" i="149" s="1"/>
  <c r="B19" i="149" s="1"/>
  <c r="B2" i="149"/>
  <c r="X17" i="147"/>
  <c r="X18" i="147" s="1"/>
  <c r="X19" i="147" s="1"/>
  <c r="S16" i="147" l="1"/>
  <c r="D28" i="149"/>
  <c r="F29" i="149"/>
  <c r="F34" i="149"/>
  <c r="F30" i="149"/>
  <c r="F35" i="149"/>
  <c r="F31" i="149"/>
  <c r="F37" i="149"/>
  <c r="F33" i="149"/>
  <c r="U19" i="150"/>
  <c r="Y19" i="150"/>
  <c r="D19" i="150"/>
  <c r="D20" i="150" s="1"/>
  <c r="E20" i="151"/>
  <c r="E21" i="151" s="1"/>
  <c r="E22" i="151" s="1"/>
  <c r="E23" i="151" s="1"/>
  <c r="E24" i="151" s="1"/>
  <c r="E25" i="151" s="1"/>
  <c r="E26" i="151" s="1"/>
  <c r="E27" i="151" s="1"/>
  <c r="E28" i="151" s="1"/>
  <c r="E29" i="151" s="1"/>
  <c r="E30" i="151" s="1"/>
  <c r="E31" i="151" s="1"/>
  <c r="E32" i="151" s="1"/>
  <c r="E33" i="151" s="1"/>
  <c r="E34" i="151" s="1"/>
  <c r="E35" i="151" s="1"/>
  <c r="E36" i="151" s="1"/>
  <c r="E37" i="151" s="1"/>
  <c r="X19" i="151"/>
  <c r="U19" i="151"/>
  <c r="D19" i="151"/>
  <c r="F28" i="149"/>
  <c r="F32" i="149"/>
  <c r="S16" i="149"/>
  <c r="S16" i="150"/>
  <c r="B21" i="150"/>
  <c r="P20" i="150"/>
  <c r="B3" i="150"/>
  <c r="C52" i="150" s="1"/>
  <c r="B9" i="150" s="1"/>
  <c r="X21" i="149"/>
  <c r="T22" i="149"/>
  <c r="B20" i="149"/>
  <c r="B3" i="149"/>
  <c r="C52" i="149" s="1"/>
  <c r="B9" i="149" s="1"/>
  <c r="T17" i="147"/>
  <c r="T18" i="147" s="1"/>
  <c r="T19" i="147" s="1"/>
  <c r="D20" i="151" l="1"/>
  <c r="K19" i="151"/>
  <c r="AD9" i="131" s="1"/>
  <c r="G19" i="151"/>
  <c r="I19" i="151" s="1"/>
  <c r="J19" i="151" s="1"/>
  <c r="P21" i="150"/>
  <c r="B22" i="150"/>
  <c r="X22" i="149"/>
  <c r="T23" i="149"/>
  <c r="B21" i="149"/>
  <c r="K20" i="151" l="1"/>
  <c r="AD10" i="131" s="1"/>
  <c r="G20" i="151"/>
  <c r="I20" i="151" s="1"/>
  <c r="J20" i="151" s="1"/>
  <c r="D21" i="151"/>
  <c r="B23" i="150"/>
  <c r="P22" i="150"/>
  <c r="X23" i="149"/>
  <c r="T24" i="149"/>
  <c r="B22" i="149"/>
  <c r="G21" i="151" l="1"/>
  <c r="I21" i="151" s="1"/>
  <c r="J21" i="151" s="1"/>
  <c r="D22" i="151"/>
  <c r="K21" i="151"/>
  <c r="AD11" i="131" s="1"/>
  <c r="P23" i="150"/>
  <c r="B24" i="150"/>
  <c r="X24" i="149"/>
  <c r="T25" i="149"/>
  <c r="B23" i="149"/>
  <c r="K22" i="151" l="1"/>
  <c r="AD12" i="131" s="1"/>
  <c r="D23" i="151"/>
  <c r="G22" i="151"/>
  <c r="I22" i="151" s="1"/>
  <c r="J22" i="151" s="1"/>
  <c r="P24" i="150"/>
  <c r="B25" i="150"/>
  <c r="X25" i="149"/>
  <c r="T26" i="149"/>
  <c r="B24" i="149"/>
  <c r="D24" i="151" l="1"/>
  <c r="G23" i="151"/>
  <c r="I23" i="151" s="1"/>
  <c r="J23" i="151" s="1"/>
  <c r="K23" i="151"/>
  <c r="AD13" i="131" s="1"/>
  <c r="P25" i="150"/>
  <c r="B26" i="150"/>
  <c r="X26" i="149"/>
  <c r="T27" i="149"/>
  <c r="B25" i="149"/>
  <c r="K24" i="151" l="1"/>
  <c r="AD14" i="131" s="1"/>
  <c r="D25" i="151"/>
  <c r="G24" i="151"/>
  <c r="I24" i="151" s="1"/>
  <c r="J24" i="151" s="1"/>
  <c r="B27" i="150"/>
  <c r="P26" i="150"/>
  <c r="X27" i="149"/>
  <c r="T28" i="149"/>
  <c r="U28" i="149" s="1"/>
  <c r="B26" i="149"/>
  <c r="D26" i="151" l="1"/>
  <c r="K25" i="151"/>
  <c r="AD15" i="131" s="1"/>
  <c r="G25" i="151"/>
  <c r="I25" i="151" s="1"/>
  <c r="J25" i="151" s="1"/>
  <c r="P27" i="150"/>
  <c r="B28" i="150"/>
  <c r="X28" i="149"/>
  <c r="Y28" i="149" s="1"/>
  <c r="B27" i="149"/>
  <c r="K26" i="151" l="1"/>
  <c r="AD16" i="131" s="1"/>
  <c r="D27" i="151"/>
  <c r="G26" i="151"/>
  <c r="I26" i="151" s="1"/>
  <c r="J26" i="151" s="1"/>
  <c r="B29" i="150"/>
  <c r="P28" i="150"/>
  <c r="B28" i="149"/>
  <c r="D28" i="151" l="1"/>
  <c r="G27" i="151"/>
  <c r="I27" i="151" s="1"/>
  <c r="J27" i="151" s="1"/>
  <c r="K27" i="151"/>
  <c r="AD17" i="131" s="1"/>
  <c r="B30" i="150"/>
  <c r="B31" i="150" s="1"/>
  <c r="B32" i="150" s="1"/>
  <c r="B33" i="150" s="1"/>
  <c r="B34" i="150" s="1"/>
  <c r="B35" i="150" s="1"/>
  <c r="B36" i="150" s="1"/>
  <c r="B37" i="150" s="1"/>
  <c r="B29" i="149"/>
  <c r="B30" i="149" s="1"/>
  <c r="B31" i="149" s="1"/>
  <c r="B32" i="149" s="1"/>
  <c r="B33" i="149" s="1"/>
  <c r="B34" i="149" s="1"/>
  <c r="B35" i="149" s="1"/>
  <c r="B36" i="149" s="1"/>
  <c r="B37" i="149" s="1"/>
  <c r="G28" i="151" l="1"/>
  <c r="I28" i="151" s="1"/>
  <c r="J28" i="151" s="1"/>
  <c r="K28" i="151"/>
  <c r="AD18" i="131" s="1"/>
  <c r="D29" i="151"/>
  <c r="K29" i="151" l="1"/>
  <c r="AD19" i="131" s="1"/>
  <c r="D30" i="151"/>
  <c r="G29" i="151"/>
  <c r="I29" i="151" s="1"/>
  <c r="J29" i="151" s="1"/>
  <c r="K30" i="151" l="1"/>
  <c r="AD20" i="131" s="1"/>
  <c r="D31" i="151"/>
  <c r="G30" i="151"/>
  <c r="I30" i="151" s="1"/>
  <c r="J30" i="151" s="1"/>
  <c r="D32" i="151" l="1"/>
  <c r="G31" i="151"/>
  <c r="I31" i="151" s="1"/>
  <c r="J31" i="151" s="1"/>
  <c r="K31" i="151"/>
  <c r="AD21" i="131" s="1"/>
  <c r="G32" i="151" l="1"/>
  <c r="I32" i="151" s="1"/>
  <c r="J32" i="151" s="1"/>
  <c r="K32" i="151"/>
  <c r="AD22" i="131" s="1"/>
  <c r="D33" i="151"/>
  <c r="R14" i="97"/>
  <c r="C26" i="148" s="1"/>
  <c r="L14" i="97"/>
  <c r="E26" i="148" s="1"/>
  <c r="B3" i="148"/>
  <c r="D46" i="148"/>
  <c r="B60" i="148"/>
  <c r="D49" i="148"/>
  <c r="C49" i="148"/>
  <c r="D48" i="148"/>
  <c r="C48" i="148"/>
  <c r="D47" i="148"/>
  <c r="C47" i="148"/>
  <c r="C46" i="148"/>
  <c r="C45" i="148"/>
  <c r="L19" i="148"/>
  <c r="L18" i="148"/>
  <c r="L17" i="148"/>
  <c r="X17" i="148"/>
  <c r="X18" i="148" s="1"/>
  <c r="X19" i="148" s="1"/>
  <c r="X20" i="148" s="1"/>
  <c r="X21" i="148" s="1"/>
  <c r="X22" i="148" s="1"/>
  <c r="X23" i="148" s="1"/>
  <c r="X24" i="148" s="1"/>
  <c r="X25" i="148" s="1"/>
  <c r="X26" i="148" s="1"/>
  <c r="Y26" i="148" s="1"/>
  <c r="T17" i="148"/>
  <c r="T18" i="148" s="1"/>
  <c r="T19" i="148" s="1"/>
  <c r="T20" i="148" s="1"/>
  <c r="T21" i="148" s="1"/>
  <c r="T22" i="148" s="1"/>
  <c r="T23" i="148" s="1"/>
  <c r="T24" i="148" s="1"/>
  <c r="T25" i="148" s="1"/>
  <c r="T26" i="148" s="1"/>
  <c r="L16" i="148"/>
  <c r="L15" i="148"/>
  <c r="L14" i="148"/>
  <c r="L13" i="148"/>
  <c r="B13" i="148"/>
  <c r="B14" i="148" s="1"/>
  <c r="B15" i="148" s="1"/>
  <c r="B16" i="148" s="1"/>
  <c r="B17" i="148" s="1"/>
  <c r="B18" i="148" s="1"/>
  <c r="B19" i="148" s="1"/>
  <c r="B20" i="148" s="1"/>
  <c r="B21" i="148" s="1"/>
  <c r="B22" i="148" s="1"/>
  <c r="L12" i="148"/>
  <c r="B11" i="148"/>
  <c r="B12" i="148" s="1"/>
  <c r="B2" i="148"/>
  <c r="G20" i="47"/>
  <c r="K33" i="151" l="1"/>
  <c r="AD23" i="131" s="1"/>
  <c r="D34" i="151"/>
  <c r="G33" i="151"/>
  <c r="I33" i="151" s="1"/>
  <c r="J33" i="151" s="1"/>
  <c r="D26" i="148"/>
  <c r="U26" i="148"/>
  <c r="S16" i="148"/>
  <c r="C52" i="148"/>
  <c r="B9" i="148" s="1"/>
  <c r="B23" i="148"/>
  <c r="P5" i="131"/>
  <c r="P30" i="131" s="1"/>
  <c r="J61" i="132"/>
  <c r="CD11" i="47"/>
  <c r="CE10" i="47"/>
  <c r="CG10" i="47" s="1"/>
  <c r="CD9" i="47"/>
  <c r="CF39" i="47" l="1"/>
  <c r="K34" i="151"/>
  <c r="AD24" i="131" s="1"/>
  <c r="D35" i="151"/>
  <c r="G34" i="151"/>
  <c r="I34" i="151" s="1"/>
  <c r="J34" i="151" s="1"/>
  <c r="B24" i="148"/>
  <c r="D47" i="147"/>
  <c r="P28" i="147"/>
  <c r="P27" i="147"/>
  <c r="P26" i="147"/>
  <c r="P25" i="147"/>
  <c r="P24" i="147"/>
  <c r="P23" i="147"/>
  <c r="P22" i="147"/>
  <c r="P21" i="147"/>
  <c r="P20" i="147"/>
  <c r="P19" i="147"/>
  <c r="P32" i="140"/>
  <c r="P31" i="140"/>
  <c r="P30" i="140"/>
  <c r="P29" i="140"/>
  <c r="P28" i="140"/>
  <c r="P27" i="140"/>
  <c r="P26" i="140"/>
  <c r="P25" i="140"/>
  <c r="P24" i="140"/>
  <c r="P23" i="140"/>
  <c r="P30" i="135"/>
  <c r="P29" i="135"/>
  <c r="P28" i="135"/>
  <c r="P27" i="135"/>
  <c r="P26" i="135"/>
  <c r="P25" i="135"/>
  <c r="P24" i="135"/>
  <c r="P23" i="135"/>
  <c r="P22" i="135"/>
  <c r="P21" i="135"/>
  <c r="P29" i="114"/>
  <c r="P28" i="114"/>
  <c r="P27" i="114"/>
  <c r="P26" i="114"/>
  <c r="P25" i="114"/>
  <c r="P24" i="114"/>
  <c r="P23" i="114"/>
  <c r="P22" i="114"/>
  <c r="P21" i="114"/>
  <c r="P20" i="114"/>
  <c r="P29" i="112"/>
  <c r="P28" i="112"/>
  <c r="P27" i="112"/>
  <c r="P26" i="112"/>
  <c r="P25" i="112"/>
  <c r="P24" i="112"/>
  <c r="P23" i="112"/>
  <c r="P22" i="112"/>
  <c r="P21" i="112"/>
  <c r="P20" i="112"/>
  <c r="P29" i="110"/>
  <c r="P28" i="110"/>
  <c r="P27" i="110"/>
  <c r="P26" i="110"/>
  <c r="P25" i="110"/>
  <c r="P24" i="110"/>
  <c r="P23" i="110"/>
  <c r="P22" i="110"/>
  <c r="P21" i="110"/>
  <c r="P20" i="110"/>
  <c r="P29" i="101"/>
  <c r="P28" i="101"/>
  <c r="P27" i="101"/>
  <c r="P26" i="101"/>
  <c r="P25" i="101"/>
  <c r="P24" i="101"/>
  <c r="P23" i="101"/>
  <c r="P22" i="101"/>
  <c r="P21" i="101"/>
  <c r="P20" i="101"/>
  <c r="P29" i="133"/>
  <c r="P28" i="133"/>
  <c r="P27" i="133"/>
  <c r="P26" i="133"/>
  <c r="P25" i="133"/>
  <c r="P24" i="133"/>
  <c r="P23" i="133"/>
  <c r="P22" i="133"/>
  <c r="P21" i="133"/>
  <c r="P28" i="100"/>
  <c r="P27" i="100"/>
  <c r="P26" i="100"/>
  <c r="P25" i="100"/>
  <c r="P24" i="100"/>
  <c r="P23" i="100"/>
  <c r="P22" i="100"/>
  <c r="P21" i="100"/>
  <c r="P20" i="100"/>
  <c r="P19" i="100"/>
  <c r="P28" i="99"/>
  <c r="P27" i="99"/>
  <c r="P26" i="99"/>
  <c r="P25" i="99"/>
  <c r="P24" i="99"/>
  <c r="P23" i="99"/>
  <c r="P22" i="99"/>
  <c r="P21" i="99"/>
  <c r="P20" i="99"/>
  <c r="P19" i="99"/>
  <c r="P28" i="109"/>
  <c r="P27" i="109"/>
  <c r="P26" i="109"/>
  <c r="P25" i="109"/>
  <c r="P24" i="109"/>
  <c r="P23" i="109"/>
  <c r="P22" i="109"/>
  <c r="P21" i="109"/>
  <c r="P20" i="109"/>
  <c r="P19" i="109"/>
  <c r="P32" i="119"/>
  <c r="P31" i="119"/>
  <c r="P30" i="119"/>
  <c r="P29" i="119"/>
  <c r="P28" i="119"/>
  <c r="P27" i="119"/>
  <c r="P26" i="119"/>
  <c r="P25" i="119"/>
  <c r="P24" i="119"/>
  <c r="P23" i="119"/>
  <c r="P32" i="121"/>
  <c r="P31" i="121"/>
  <c r="P30" i="121"/>
  <c r="P29" i="121"/>
  <c r="P28" i="121"/>
  <c r="P27" i="121"/>
  <c r="P26" i="121"/>
  <c r="P25" i="121"/>
  <c r="P24" i="121"/>
  <c r="P23" i="121"/>
  <c r="P31" i="117"/>
  <c r="P30" i="117"/>
  <c r="P29" i="117"/>
  <c r="P28" i="117"/>
  <c r="P27" i="117"/>
  <c r="P26" i="117"/>
  <c r="P25" i="117"/>
  <c r="P24" i="117"/>
  <c r="P23" i="117"/>
  <c r="P22" i="117"/>
  <c r="P28" i="122"/>
  <c r="P27" i="122"/>
  <c r="P26" i="122"/>
  <c r="P25" i="122"/>
  <c r="P24" i="122"/>
  <c r="P23" i="122"/>
  <c r="P22" i="122"/>
  <c r="P21" i="122"/>
  <c r="P20" i="122"/>
  <c r="P19" i="122"/>
  <c r="P28" i="139"/>
  <c r="P27" i="139"/>
  <c r="P26" i="139"/>
  <c r="P25" i="139"/>
  <c r="P24" i="139"/>
  <c r="P23" i="139"/>
  <c r="P22" i="139"/>
  <c r="P21" i="139"/>
  <c r="P20" i="139"/>
  <c r="P19" i="139"/>
  <c r="R6" i="97"/>
  <c r="C19" i="147" s="1"/>
  <c r="U19" i="147" s="1"/>
  <c r="L6" i="97"/>
  <c r="E19" i="147" s="1"/>
  <c r="Y19" i="147" s="1"/>
  <c r="C60" i="147"/>
  <c r="F34" i="147" s="1"/>
  <c r="B60" i="147"/>
  <c r="D49" i="147"/>
  <c r="C49" i="147"/>
  <c r="D48" i="147"/>
  <c r="C48" i="147"/>
  <c r="C47" i="147"/>
  <c r="D46" i="147"/>
  <c r="C46" i="147"/>
  <c r="C45" i="147"/>
  <c r="L18" i="147"/>
  <c r="P8" i="131" s="1"/>
  <c r="L17" i="147"/>
  <c r="P7" i="131" s="1"/>
  <c r="L16" i="147"/>
  <c r="P6" i="131" s="1"/>
  <c r="L15" i="147"/>
  <c r="L14" i="147"/>
  <c r="L13" i="147"/>
  <c r="L12" i="147"/>
  <c r="B11" i="147"/>
  <c r="B12" i="147" s="1"/>
  <c r="B13" i="147" s="1"/>
  <c r="B14" i="147" s="1"/>
  <c r="B15" i="147" s="1"/>
  <c r="B16" i="147" s="1"/>
  <c r="B17" i="147" s="1"/>
  <c r="B18" i="147" s="1"/>
  <c r="B19" i="147" s="1"/>
  <c r="B2" i="147"/>
  <c r="D36" i="151" l="1"/>
  <c r="K35" i="151"/>
  <c r="AD25" i="131" s="1"/>
  <c r="G35" i="151"/>
  <c r="I35" i="151" s="1"/>
  <c r="J35" i="151" s="1"/>
  <c r="B25" i="148"/>
  <c r="F20" i="147"/>
  <c r="F24" i="147"/>
  <c r="F28" i="147"/>
  <c r="F32" i="147"/>
  <c r="F36" i="147"/>
  <c r="F23" i="147"/>
  <c r="F35" i="147"/>
  <c r="F21" i="147"/>
  <c r="F25" i="147"/>
  <c r="F29" i="147"/>
  <c r="F33" i="147"/>
  <c r="F37" i="147"/>
  <c r="F19" i="147"/>
  <c r="F27" i="147"/>
  <c r="F31" i="147"/>
  <c r="F22" i="147"/>
  <c r="F26" i="147"/>
  <c r="F30" i="147"/>
  <c r="B20" i="147"/>
  <c r="B3" i="147"/>
  <c r="C52" i="147" s="1"/>
  <c r="B9" i="147" s="1"/>
  <c r="G36" i="151" l="1"/>
  <c r="I36" i="151" s="1"/>
  <c r="K36" i="151"/>
  <c r="AD26" i="131" s="1"/>
  <c r="AD29" i="131" s="1"/>
  <c r="D37" i="151"/>
  <c r="B26" i="148"/>
  <c r="B21" i="147"/>
  <c r="G37" i="151" l="1"/>
  <c r="I37" i="151" s="1"/>
  <c r="J37" i="151" s="1"/>
  <c r="K37" i="151"/>
  <c r="J36" i="151"/>
  <c r="B27" i="148"/>
  <c r="B22" i="147"/>
  <c r="J39" i="151" l="1"/>
  <c r="I39" i="151"/>
  <c r="K39" i="151"/>
  <c r="B28" i="148"/>
  <c r="B23" i="147"/>
  <c r="B29" i="148" l="1"/>
  <c r="B24" i="147"/>
  <c r="B30" i="148" l="1"/>
  <c r="B25" i="147"/>
  <c r="B31" i="148" l="1"/>
  <c r="B26" i="147"/>
  <c r="B32" i="148" l="1"/>
  <c r="B33" i="148" s="1"/>
  <c r="B34" i="148" s="1"/>
  <c r="B35" i="148" s="1"/>
  <c r="B36" i="148" s="1"/>
  <c r="B37" i="148" s="1"/>
  <c r="B27" i="147"/>
  <c r="B28" i="147" l="1"/>
  <c r="B29" i="147" l="1"/>
  <c r="B30" i="147" s="1"/>
  <c r="B31" i="147" s="1"/>
  <c r="B32" i="147" s="1"/>
  <c r="B33" i="147" s="1"/>
  <c r="B34" i="147" s="1"/>
  <c r="B35" i="147" s="1"/>
  <c r="B36" i="147" s="1"/>
  <c r="B37" i="147" s="1"/>
  <c r="F24" i="143" l="1"/>
  <c r="F25" i="143" s="1"/>
  <c r="F26" i="143" s="1"/>
  <c r="F27" i="143" s="1"/>
  <c r="F28" i="143" s="1"/>
  <c r="F29" i="143" s="1"/>
  <c r="F30" i="143" s="1"/>
  <c r="F31" i="143" s="1"/>
  <c r="F32" i="143" s="1"/>
  <c r="F33" i="143" s="1"/>
  <c r="F34" i="143" s="1"/>
  <c r="F35" i="143" s="1"/>
  <c r="F36" i="143" s="1"/>
  <c r="F73" i="143"/>
  <c r="C73" i="143"/>
  <c r="D42" i="143" s="1"/>
  <c r="I52" i="143"/>
  <c r="I54" i="143" s="1"/>
  <c r="G52" i="143"/>
  <c r="G54" i="143" s="1"/>
  <c r="F62" i="143"/>
  <c r="L58" i="143"/>
  <c r="K58" i="143"/>
  <c r="H58" i="143"/>
  <c r="I58" i="143" s="1"/>
  <c r="G58" i="143"/>
  <c r="C58" i="143"/>
  <c r="L57" i="143"/>
  <c r="K57" i="143"/>
  <c r="H57" i="143"/>
  <c r="G57" i="143"/>
  <c r="I57" i="143" s="1"/>
  <c r="J53" i="143"/>
  <c r="I53" i="143"/>
  <c r="G53" i="143"/>
  <c r="H52" i="143"/>
  <c r="H53" i="143" s="1"/>
  <c r="C57" i="143"/>
  <c r="D46" i="143"/>
  <c r="C46" i="143"/>
  <c r="C45" i="143"/>
  <c r="C44" i="143"/>
  <c r="D43" i="143"/>
  <c r="C43" i="143"/>
  <c r="C42" i="143"/>
  <c r="C41" i="143"/>
  <c r="C17" i="143"/>
  <c r="C18" i="143" s="1"/>
  <c r="C19" i="143" s="1"/>
  <c r="C20" i="143" s="1"/>
  <c r="C21" i="143" s="1"/>
  <c r="C22" i="143" s="1"/>
  <c r="C23" i="143" s="1"/>
  <c r="C24" i="143" s="1"/>
  <c r="B16" i="143"/>
  <c r="B17" i="143" s="1"/>
  <c r="B18" i="143" s="1"/>
  <c r="B19" i="143" s="1"/>
  <c r="B20" i="143" s="1"/>
  <c r="B21" i="143" s="1"/>
  <c r="B22" i="143" s="1"/>
  <c r="B23" i="143" s="1"/>
  <c r="B24" i="143" s="1"/>
  <c r="B15" i="143"/>
  <c r="B12" i="143"/>
  <c r="B5" i="143"/>
  <c r="C68" i="143" l="1"/>
  <c r="C69" i="143" s="1"/>
  <c r="I59" i="143"/>
  <c r="J57" i="143"/>
  <c r="B25" i="143"/>
  <c r="B26" i="143" s="1"/>
  <c r="B27" i="143" s="1"/>
  <c r="B28" i="143" s="1"/>
  <c r="B29" i="143" s="1"/>
  <c r="B30" i="143" s="1"/>
  <c r="B31" i="143" s="1"/>
  <c r="B32" i="143" s="1"/>
  <c r="B33" i="143" s="1"/>
  <c r="B34" i="143" s="1"/>
  <c r="B35" i="143" s="1"/>
  <c r="B36" i="143" s="1"/>
  <c r="J24" i="143"/>
  <c r="J25" i="143" s="1"/>
  <c r="J26" i="143" s="1"/>
  <c r="J27" i="143" s="1"/>
  <c r="J28" i="143" s="1"/>
  <c r="J29" i="143" s="1"/>
  <c r="J30" i="143" s="1"/>
  <c r="J31" i="143" s="1"/>
  <c r="J32" i="143" s="1"/>
  <c r="J33" i="143" s="1"/>
  <c r="J34" i="143" s="1"/>
  <c r="J35" i="143" s="1"/>
  <c r="J36" i="143" s="1"/>
  <c r="D24" i="143"/>
  <c r="E24" i="143" s="1"/>
  <c r="C25" i="143"/>
  <c r="G24" i="143"/>
  <c r="G25" i="143" s="1"/>
  <c r="G26" i="143" s="1"/>
  <c r="G27" i="143" s="1"/>
  <c r="G28" i="143" s="1"/>
  <c r="G29" i="143" s="1"/>
  <c r="G30" i="143" s="1"/>
  <c r="G31" i="143" s="1"/>
  <c r="G32" i="143" s="1"/>
  <c r="G33" i="143" s="1"/>
  <c r="G34" i="143" s="1"/>
  <c r="G35" i="143" s="1"/>
  <c r="G36" i="143" s="1"/>
  <c r="J52" i="143"/>
  <c r="J54" i="143" s="1"/>
  <c r="G59" i="143"/>
  <c r="H54" i="143"/>
  <c r="E25" i="143" l="1"/>
  <c r="H24" i="143"/>
  <c r="D75" i="143"/>
  <c r="H59" i="143"/>
  <c r="J58" i="143"/>
  <c r="J59" i="143" s="1"/>
  <c r="K59" i="143"/>
  <c r="C26" i="143"/>
  <c r="D25" i="143"/>
  <c r="L59" i="143" l="1"/>
  <c r="K31" i="143" s="1"/>
  <c r="C27" i="143"/>
  <c r="D26" i="143"/>
  <c r="H16" i="143"/>
  <c r="E26" i="143"/>
  <c r="H25" i="143"/>
  <c r="K35" i="143" l="1"/>
  <c r="K36" i="143"/>
  <c r="K30" i="143"/>
  <c r="K34" i="143"/>
  <c r="D45" i="143"/>
  <c r="K27" i="143"/>
  <c r="K28" i="143"/>
  <c r="K29" i="143"/>
  <c r="K33" i="143"/>
  <c r="K24" i="143"/>
  <c r="K25" i="143"/>
  <c r="L25" i="143" s="1"/>
  <c r="K32" i="143"/>
  <c r="K26" i="143"/>
  <c r="E27" i="143"/>
  <c r="H26" i="143"/>
  <c r="L26" i="143" s="1"/>
  <c r="C28" i="143"/>
  <c r="D27" i="143"/>
  <c r="K16" i="143" l="1"/>
  <c r="L24" i="143"/>
  <c r="L16" i="143" s="1"/>
  <c r="D28" i="143"/>
  <c r="C29" i="143"/>
  <c r="E28" i="143"/>
  <c r="H27" i="143"/>
  <c r="L27" i="143" s="1"/>
  <c r="C30" i="143" l="1"/>
  <c r="D29" i="143"/>
  <c r="E29" i="143"/>
  <c r="H28" i="143"/>
  <c r="L28" i="143" s="1"/>
  <c r="C31" i="143" l="1"/>
  <c r="D30" i="143"/>
  <c r="H29" i="143"/>
  <c r="L29" i="143" s="1"/>
  <c r="E30" i="143"/>
  <c r="C32" i="143" l="1"/>
  <c r="D31" i="143"/>
  <c r="H30" i="143"/>
  <c r="L30" i="143" s="1"/>
  <c r="E31" i="143"/>
  <c r="H31" i="143" l="1"/>
  <c r="L31" i="143" s="1"/>
  <c r="E32" i="143"/>
  <c r="D32" i="143"/>
  <c r="C33" i="143"/>
  <c r="C34" i="143" l="1"/>
  <c r="D33" i="143"/>
  <c r="E33" i="143"/>
  <c r="H32" i="143"/>
  <c r="L32" i="143" s="1"/>
  <c r="E34" i="143" l="1"/>
  <c r="H33" i="143"/>
  <c r="L33" i="143" s="1"/>
  <c r="C35" i="143"/>
  <c r="D34" i="143"/>
  <c r="C36" i="143" l="1"/>
  <c r="D36" i="143" s="1"/>
  <c r="D35" i="143"/>
  <c r="E35" i="143"/>
  <c r="H34" i="143"/>
  <c r="L34" i="143" s="1"/>
  <c r="E36" i="143" l="1"/>
  <c r="H36" i="143" s="1"/>
  <c r="L36" i="143" s="1"/>
  <c r="H35" i="143"/>
  <c r="L35" i="143" s="1"/>
  <c r="AY5" i="131" l="1"/>
  <c r="AY30" i="131" s="1"/>
  <c r="AZ30" i="131" s="1"/>
  <c r="C63" i="141"/>
  <c r="B3" i="141" s="1"/>
  <c r="D46" i="141"/>
  <c r="C60" i="141"/>
  <c r="F26" i="141" s="1"/>
  <c r="B60" i="141"/>
  <c r="D49" i="141"/>
  <c r="C49" i="141"/>
  <c r="D48" i="141"/>
  <c r="C48" i="141"/>
  <c r="C47" i="141"/>
  <c r="C46" i="141"/>
  <c r="C45" i="141"/>
  <c r="K20" i="141"/>
  <c r="AY10" i="131" s="1"/>
  <c r="K19" i="141"/>
  <c r="AY9" i="131" s="1"/>
  <c r="K18" i="141"/>
  <c r="AY8" i="131" s="1"/>
  <c r="K17" i="141"/>
  <c r="AY7" i="131" s="1"/>
  <c r="W17" i="141"/>
  <c r="W18" i="141" s="1"/>
  <c r="W19" i="141" s="1"/>
  <c r="W20" i="141" s="1"/>
  <c r="W21" i="141" s="1"/>
  <c r="X21" i="141" s="1"/>
  <c r="S17" i="141"/>
  <c r="S18" i="141" s="1"/>
  <c r="S19" i="141" s="1"/>
  <c r="S20" i="141" s="1"/>
  <c r="S21" i="141" s="1"/>
  <c r="U21" i="141" s="1"/>
  <c r="K16" i="141"/>
  <c r="AY6" i="131" s="1"/>
  <c r="K15" i="141"/>
  <c r="K14" i="141"/>
  <c r="K13" i="141"/>
  <c r="K12" i="141"/>
  <c r="B12" i="141"/>
  <c r="B13" i="141" s="1"/>
  <c r="B14" i="141" s="1"/>
  <c r="B15" i="141" s="1"/>
  <c r="B16" i="141" s="1"/>
  <c r="B17" i="141" s="1"/>
  <c r="B18" i="141" s="1"/>
  <c r="B19" i="141" s="1"/>
  <c r="B20" i="141" s="1"/>
  <c r="B21" i="141" s="1"/>
  <c r="B22" i="141" s="1"/>
  <c r="B23" i="141" s="1"/>
  <c r="B24" i="141" s="1"/>
  <c r="B25" i="141" s="1"/>
  <c r="B26" i="141" s="1"/>
  <c r="B27" i="141" s="1"/>
  <c r="B28" i="141" s="1"/>
  <c r="B29" i="141" s="1"/>
  <c r="B30" i="141" s="1"/>
  <c r="B31" i="141" s="1"/>
  <c r="B32" i="141" s="1"/>
  <c r="B33" i="141" s="1"/>
  <c r="B34" i="141" s="1"/>
  <c r="B35" i="141" s="1"/>
  <c r="B36" i="141" s="1"/>
  <c r="B37" i="141" s="1"/>
  <c r="B11" i="141"/>
  <c r="B2" i="141"/>
  <c r="F37" i="141" l="1"/>
  <c r="F29" i="141"/>
  <c r="F36" i="141"/>
  <c r="F32" i="141"/>
  <c r="F28" i="141"/>
  <c r="F24" i="141"/>
  <c r="F33" i="141"/>
  <c r="F25" i="141"/>
  <c r="F35" i="141"/>
  <c r="F31" i="141"/>
  <c r="F27" i="141"/>
  <c r="F23" i="141"/>
  <c r="F34" i="141"/>
  <c r="F30" i="141"/>
  <c r="R16" i="141"/>
  <c r="D47" i="141"/>
  <c r="C52" i="141"/>
  <c r="B9" i="141" s="1"/>
  <c r="K21" i="141"/>
  <c r="AY11" i="131" s="1"/>
  <c r="K22" i="141" l="1"/>
  <c r="AY12" i="131" s="1"/>
  <c r="C60" i="140" l="1"/>
  <c r="R56" i="97" l="1"/>
  <c r="C23" i="141" s="1"/>
  <c r="D23" i="141" s="1"/>
  <c r="L56" i="97"/>
  <c r="E23" i="141" s="1"/>
  <c r="E24" i="141" s="1"/>
  <c r="E25" i="141" s="1"/>
  <c r="E26" i="141" s="1"/>
  <c r="E27" i="141" s="1"/>
  <c r="E28" i="141" s="1"/>
  <c r="E29" i="141" s="1"/>
  <c r="E30" i="141" s="1"/>
  <c r="E31" i="141" s="1"/>
  <c r="E32" i="141" s="1"/>
  <c r="E33" i="141" s="1"/>
  <c r="E34" i="141" s="1"/>
  <c r="E35" i="141" s="1"/>
  <c r="E36" i="141" s="1"/>
  <c r="E37" i="141" s="1"/>
  <c r="R54" i="97"/>
  <c r="L54" i="97"/>
  <c r="E23" i="140" s="1"/>
  <c r="D47" i="140"/>
  <c r="D46" i="140"/>
  <c r="B60" i="140"/>
  <c r="D49" i="140"/>
  <c r="C49" i="140"/>
  <c r="D48" i="140"/>
  <c r="C48" i="140"/>
  <c r="C47" i="140"/>
  <c r="C46" i="140"/>
  <c r="C45" i="140"/>
  <c r="AX10" i="131"/>
  <c r="AZ10" i="131" s="1"/>
  <c r="AX9" i="131"/>
  <c r="AZ9" i="131" s="1"/>
  <c r="AX8" i="131"/>
  <c r="AZ8" i="131" s="1"/>
  <c r="AX7" i="131"/>
  <c r="AZ7" i="131" s="1"/>
  <c r="X17" i="140"/>
  <c r="X18" i="140" s="1"/>
  <c r="X19" i="140" s="1"/>
  <c r="X20" i="140" s="1"/>
  <c r="X21" i="140" s="1"/>
  <c r="X22" i="140" s="1"/>
  <c r="X23" i="140" s="1"/>
  <c r="T17" i="140"/>
  <c r="T18" i="140" s="1"/>
  <c r="T19" i="140" s="1"/>
  <c r="T20" i="140" s="1"/>
  <c r="T21" i="140" s="1"/>
  <c r="T22" i="140" s="1"/>
  <c r="T23" i="140" s="1"/>
  <c r="C23" i="140" s="1"/>
  <c r="S16" i="140"/>
  <c r="AX6" i="131"/>
  <c r="AZ6" i="131" s="1"/>
  <c r="B13" i="140"/>
  <c r="B14" i="140" s="1"/>
  <c r="B15" i="140" s="1"/>
  <c r="B16" i="140" s="1"/>
  <c r="B17" i="140" s="1"/>
  <c r="B18" i="140" s="1"/>
  <c r="B19" i="140" s="1"/>
  <c r="B20" i="140" s="1"/>
  <c r="B21" i="140" s="1"/>
  <c r="B11" i="140"/>
  <c r="B12" i="140" s="1"/>
  <c r="B3" i="140"/>
  <c r="AX5" i="131"/>
  <c r="BE7" i="131"/>
  <c r="BE8" i="131"/>
  <c r="BE9" i="131"/>
  <c r="BE10" i="131"/>
  <c r="BE11" i="131"/>
  <c r="BE12" i="131"/>
  <c r="BE6" i="131"/>
  <c r="BE5" i="131"/>
  <c r="BE30" i="131" s="1"/>
  <c r="BD7" i="131"/>
  <c r="BD8" i="131"/>
  <c r="BD9" i="131"/>
  <c r="BD10" i="131"/>
  <c r="BD11" i="131"/>
  <c r="BD6" i="131"/>
  <c r="BD5" i="131"/>
  <c r="BD30" i="131" s="1"/>
  <c r="BC7" i="131"/>
  <c r="BC8" i="131"/>
  <c r="BC9" i="131"/>
  <c r="BC10" i="131"/>
  <c r="BC11" i="131"/>
  <c r="BC6" i="131"/>
  <c r="BC5" i="131"/>
  <c r="BC30" i="131" s="1"/>
  <c r="BB10" i="131"/>
  <c r="BB9" i="131"/>
  <c r="BB8" i="131"/>
  <c r="BB7" i="131"/>
  <c r="BB6" i="131"/>
  <c r="BB5" i="131"/>
  <c r="BB30" i="131" s="1"/>
  <c r="BA9" i="131"/>
  <c r="BA8" i="131"/>
  <c r="BA7" i="131"/>
  <c r="BA6" i="131"/>
  <c r="BA5" i="131"/>
  <c r="BA30" i="131" s="1"/>
  <c r="AV5" i="131"/>
  <c r="AV30" i="131" s="1"/>
  <c r="AW30" i="131" s="1"/>
  <c r="AS5" i="131"/>
  <c r="AS30" i="131" s="1"/>
  <c r="AT30" i="131" s="1"/>
  <c r="AQ3" i="131"/>
  <c r="AP5" i="131"/>
  <c r="AP30" i="131" s="1"/>
  <c r="AQ30" i="131" s="1"/>
  <c r="AJ5" i="131"/>
  <c r="AJ30" i="131" s="1"/>
  <c r="AK30" i="131" s="1"/>
  <c r="AN3" i="131"/>
  <c r="AM5" i="131"/>
  <c r="AM30" i="131" s="1"/>
  <c r="AN30" i="131" s="1"/>
  <c r="AG3" i="131"/>
  <c r="AH3" i="131" s="1"/>
  <c r="AG5" i="131"/>
  <c r="AG30" i="131" s="1"/>
  <c r="AH30" i="131" s="1"/>
  <c r="AA5" i="131"/>
  <c r="AA30" i="131" s="1"/>
  <c r="AB30" i="131" s="1"/>
  <c r="AI5" i="131"/>
  <c r="T5" i="131"/>
  <c r="S5" i="131"/>
  <c r="S30" i="131" s="1"/>
  <c r="R5" i="131"/>
  <c r="R30" i="131" s="1"/>
  <c r="Q5" i="131"/>
  <c r="Q30" i="131" s="1"/>
  <c r="O5" i="131"/>
  <c r="H5" i="131"/>
  <c r="H30" i="131" s="1"/>
  <c r="G5" i="131"/>
  <c r="G30" i="131" s="1"/>
  <c r="F5" i="131"/>
  <c r="F30" i="131" s="1"/>
  <c r="E5" i="131"/>
  <c r="E30" i="131" s="1"/>
  <c r="B5" i="131"/>
  <c r="T17" i="139"/>
  <c r="T18" i="139" s="1"/>
  <c r="T19" i="139" s="1"/>
  <c r="R74" i="97"/>
  <c r="C19" i="139" s="1"/>
  <c r="L74" i="97"/>
  <c r="E19" i="139" s="1"/>
  <c r="D47" i="139"/>
  <c r="C60" i="139"/>
  <c r="B60" i="139"/>
  <c r="D49" i="139"/>
  <c r="C49" i="139"/>
  <c r="D48" i="139"/>
  <c r="C48" i="139"/>
  <c r="C47" i="139"/>
  <c r="D46" i="139"/>
  <c r="C46" i="139"/>
  <c r="C45" i="139"/>
  <c r="B8" i="131"/>
  <c r="B7" i="131"/>
  <c r="X17" i="139"/>
  <c r="X18" i="139" s="1"/>
  <c r="X19" i="139" s="1"/>
  <c r="B6" i="131"/>
  <c r="B11" i="139"/>
  <c r="B12" i="139" s="1"/>
  <c r="B13" i="139" s="1"/>
  <c r="B14" i="139" s="1"/>
  <c r="B15" i="139" s="1"/>
  <c r="B16" i="139" s="1"/>
  <c r="B17" i="139" s="1"/>
  <c r="B18" i="139" s="1"/>
  <c r="B19" i="139" s="1"/>
  <c r="B2" i="139"/>
  <c r="C5" i="131"/>
  <c r="C30" i="131" s="1"/>
  <c r="D47" i="138"/>
  <c r="C60" i="138"/>
  <c r="F34" i="138" s="1"/>
  <c r="B60" i="138"/>
  <c r="D49" i="138"/>
  <c r="C49" i="138"/>
  <c r="D48" i="138"/>
  <c r="C48" i="138"/>
  <c r="C47" i="138"/>
  <c r="D46" i="138"/>
  <c r="C46" i="138"/>
  <c r="C45" i="138"/>
  <c r="L21" i="138"/>
  <c r="R11" i="131" s="1"/>
  <c r="L20" i="138"/>
  <c r="R10" i="131" s="1"/>
  <c r="L19" i="138"/>
  <c r="R9" i="131" s="1"/>
  <c r="L18" i="138"/>
  <c r="R8" i="131" s="1"/>
  <c r="L17" i="138"/>
  <c r="R7" i="131" s="1"/>
  <c r="X17" i="138"/>
  <c r="X18" i="138" s="1"/>
  <c r="X19" i="138" s="1"/>
  <c r="X20" i="138" s="1"/>
  <c r="X21" i="138" s="1"/>
  <c r="X22" i="138" s="1"/>
  <c r="L16" i="138"/>
  <c r="R6" i="131" s="1"/>
  <c r="L15" i="138"/>
  <c r="L14" i="138"/>
  <c r="B14" i="138"/>
  <c r="B15" i="138" s="1"/>
  <c r="B16" i="138" s="1"/>
  <c r="B17" i="138" s="1"/>
  <c r="B18" i="138" s="1"/>
  <c r="B19" i="138" s="1"/>
  <c r="B20" i="138" s="1"/>
  <c r="B21" i="138" s="1"/>
  <c r="B22" i="138" s="1"/>
  <c r="L13" i="138"/>
  <c r="L12" i="138"/>
  <c r="B12" i="138"/>
  <c r="B13" i="138" s="1"/>
  <c r="B11" i="138"/>
  <c r="B2" i="138"/>
  <c r="R10" i="97"/>
  <c r="C22" i="138" s="1"/>
  <c r="L10" i="97"/>
  <c r="E22" i="138" s="1"/>
  <c r="E23" i="138" s="1"/>
  <c r="E24" i="138" s="1"/>
  <c r="E25" i="138" s="1"/>
  <c r="E26" i="138" s="1"/>
  <c r="E27" i="138" s="1"/>
  <c r="E28" i="138" s="1"/>
  <c r="E29" i="138" s="1"/>
  <c r="E30" i="138" s="1"/>
  <c r="E31" i="138" s="1"/>
  <c r="E32" i="138" s="1"/>
  <c r="E33" i="138" s="1"/>
  <c r="E34" i="138" s="1"/>
  <c r="E35" i="138" s="1"/>
  <c r="E36" i="138" s="1"/>
  <c r="E37" i="138" s="1"/>
  <c r="D47" i="137"/>
  <c r="C60" i="137"/>
  <c r="F34" i="137" s="1"/>
  <c r="B60" i="137"/>
  <c r="D49" i="137"/>
  <c r="C49" i="137"/>
  <c r="D48" i="137"/>
  <c r="C48" i="137"/>
  <c r="C47" i="137"/>
  <c r="D46" i="137"/>
  <c r="C46" i="137"/>
  <c r="C45" i="137"/>
  <c r="L18" i="137"/>
  <c r="Q8" i="131" s="1"/>
  <c r="L17" i="137"/>
  <c r="Q7" i="131" s="1"/>
  <c r="X17" i="137"/>
  <c r="X18" i="137" s="1"/>
  <c r="X19" i="137" s="1"/>
  <c r="X20" i="137" s="1"/>
  <c r="X21" i="137" s="1"/>
  <c r="L16" i="137"/>
  <c r="Q6" i="131" s="1"/>
  <c r="L15" i="137"/>
  <c r="L14" i="137"/>
  <c r="L13" i="137"/>
  <c r="L12" i="137"/>
  <c r="B11" i="137"/>
  <c r="B12" i="137" s="1"/>
  <c r="B13" i="137" s="1"/>
  <c r="B14" i="137" s="1"/>
  <c r="B15" i="137" s="1"/>
  <c r="B16" i="137" s="1"/>
  <c r="B17" i="137" s="1"/>
  <c r="B18" i="137" s="1"/>
  <c r="B19" i="137" s="1"/>
  <c r="B2" i="137"/>
  <c r="R8" i="97"/>
  <c r="C22" i="137" s="1"/>
  <c r="L8" i="97"/>
  <c r="E22" i="137" s="1"/>
  <c r="S17" i="136"/>
  <c r="S18" i="136" s="1"/>
  <c r="S19" i="136" s="1"/>
  <c r="S20" i="136" s="1"/>
  <c r="S21" i="136" s="1"/>
  <c r="C63" i="136"/>
  <c r="B3" i="136" s="1"/>
  <c r="D46" i="136"/>
  <c r="C60" i="136"/>
  <c r="B60" i="136"/>
  <c r="D49" i="136"/>
  <c r="C49" i="136"/>
  <c r="D48" i="136"/>
  <c r="C48" i="136"/>
  <c r="D47" i="136"/>
  <c r="C47" i="136"/>
  <c r="C46" i="136"/>
  <c r="C45" i="136"/>
  <c r="K19" i="136"/>
  <c r="AV9" i="131" s="1"/>
  <c r="K18" i="136"/>
  <c r="AV8" i="131" s="1"/>
  <c r="K17" i="136"/>
  <c r="AV7" i="131" s="1"/>
  <c r="W17" i="136"/>
  <c r="W18" i="136" s="1"/>
  <c r="W19" i="136" s="1"/>
  <c r="W20" i="136" s="1"/>
  <c r="W21" i="136" s="1"/>
  <c r="K16" i="136"/>
  <c r="AV6" i="131" s="1"/>
  <c r="K15" i="136"/>
  <c r="K14" i="136"/>
  <c r="K13" i="136"/>
  <c r="K12" i="136"/>
  <c r="B11" i="136"/>
  <c r="B12" i="136" s="1"/>
  <c r="B13" i="136" s="1"/>
  <c r="B14" i="136" s="1"/>
  <c r="B15" i="136" s="1"/>
  <c r="B16" i="136" s="1"/>
  <c r="B17" i="136" s="1"/>
  <c r="B18" i="136" s="1"/>
  <c r="B19" i="136" s="1"/>
  <c r="B20" i="136" s="1"/>
  <c r="B21" i="136" s="1"/>
  <c r="B22" i="136" s="1"/>
  <c r="B23" i="136" s="1"/>
  <c r="B24" i="136" s="1"/>
  <c r="B25" i="136" s="1"/>
  <c r="B26" i="136" s="1"/>
  <c r="B27" i="136" s="1"/>
  <c r="B28" i="136" s="1"/>
  <c r="B29" i="136" s="1"/>
  <c r="B30" i="136" s="1"/>
  <c r="B31" i="136" s="1"/>
  <c r="B32" i="136" s="1"/>
  <c r="B33" i="136" s="1"/>
  <c r="B34" i="136" s="1"/>
  <c r="B35" i="136" s="1"/>
  <c r="B36" i="136" s="1"/>
  <c r="B37" i="136" s="1"/>
  <c r="B2" i="136"/>
  <c r="T17" i="135"/>
  <c r="T18" i="135" s="1"/>
  <c r="T19" i="135" s="1"/>
  <c r="T20" i="135" s="1"/>
  <c r="T21" i="135" s="1"/>
  <c r="D47" i="135"/>
  <c r="D46" i="135"/>
  <c r="B60" i="135"/>
  <c r="D49" i="135"/>
  <c r="C49" i="135"/>
  <c r="D48" i="135"/>
  <c r="C48" i="135"/>
  <c r="C47" i="135"/>
  <c r="C46" i="135"/>
  <c r="C45" i="135"/>
  <c r="AU9" i="131"/>
  <c r="AU8" i="131"/>
  <c r="AU7" i="131"/>
  <c r="X17" i="135"/>
  <c r="X18" i="135" s="1"/>
  <c r="X19" i="135" s="1"/>
  <c r="X20" i="135" s="1"/>
  <c r="X21" i="135" s="1"/>
  <c r="AU6" i="131"/>
  <c r="B12" i="135"/>
  <c r="B13" i="135" s="1"/>
  <c r="B14" i="135" s="1"/>
  <c r="B15" i="135" s="1"/>
  <c r="B16" i="135" s="1"/>
  <c r="B17" i="135" s="1"/>
  <c r="B18" i="135" s="1"/>
  <c r="B19" i="135" s="1"/>
  <c r="B20" i="135" s="1"/>
  <c r="B11" i="135"/>
  <c r="AU5" i="131"/>
  <c r="S17" i="134"/>
  <c r="S18" i="134" s="1"/>
  <c r="S19" i="134" s="1"/>
  <c r="S20" i="134" s="1"/>
  <c r="C63" i="134"/>
  <c r="D47" i="134" s="1"/>
  <c r="C60" i="134"/>
  <c r="B60" i="134"/>
  <c r="D49" i="134"/>
  <c r="C49" i="134"/>
  <c r="D48" i="134"/>
  <c r="C48" i="134"/>
  <c r="C47" i="134"/>
  <c r="D46" i="134"/>
  <c r="C46" i="134"/>
  <c r="C45" i="134"/>
  <c r="K18" i="134"/>
  <c r="AG8" i="131" s="1"/>
  <c r="K17" i="134"/>
  <c r="AG7" i="131" s="1"/>
  <c r="W17" i="134"/>
  <c r="W18" i="134" s="1"/>
  <c r="W19" i="134" s="1"/>
  <c r="W20" i="134" s="1"/>
  <c r="K16" i="134"/>
  <c r="AG6" i="131" s="1"/>
  <c r="K15" i="134"/>
  <c r="K14" i="134"/>
  <c r="K13" i="134"/>
  <c r="K12" i="134"/>
  <c r="B11" i="134"/>
  <c r="B12" i="134" s="1"/>
  <c r="B13" i="134" s="1"/>
  <c r="B14" i="134" s="1"/>
  <c r="B15" i="134" s="1"/>
  <c r="B16" i="134" s="1"/>
  <c r="B17" i="134" s="1"/>
  <c r="B18" i="134" s="1"/>
  <c r="B19" i="134" s="1"/>
  <c r="B20" i="134" s="1"/>
  <c r="B21" i="134" s="1"/>
  <c r="B22" i="134" s="1"/>
  <c r="B23" i="134" s="1"/>
  <c r="B24" i="134" s="1"/>
  <c r="B25" i="134" s="1"/>
  <c r="B26" i="134" s="1"/>
  <c r="B27" i="134" s="1"/>
  <c r="B28" i="134" s="1"/>
  <c r="B29" i="134" s="1"/>
  <c r="B30" i="134" s="1"/>
  <c r="B31" i="134" s="1"/>
  <c r="B32" i="134" s="1"/>
  <c r="B33" i="134" s="1"/>
  <c r="B34" i="134" s="1"/>
  <c r="B35" i="134" s="1"/>
  <c r="B36" i="134" s="1"/>
  <c r="B37" i="134" s="1"/>
  <c r="B2" i="134"/>
  <c r="B3" i="137" l="1"/>
  <c r="C52" i="137" s="1"/>
  <c r="B9" i="137" s="1"/>
  <c r="B3" i="139"/>
  <c r="B37" i="131"/>
  <c r="D37" i="131"/>
  <c r="Y23" i="140"/>
  <c r="AW6" i="131"/>
  <c r="F27" i="138"/>
  <c r="F32" i="138"/>
  <c r="F29" i="138"/>
  <c r="F24" i="138"/>
  <c r="F37" i="138"/>
  <c r="AZ5" i="131"/>
  <c r="AX30" i="131"/>
  <c r="C52" i="140"/>
  <c r="B9" i="140" s="1"/>
  <c r="F28" i="137"/>
  <c r="F29" i="137"/>
  <c r="F25" i="138"/>
  <c r="F33" i="138"/>
  <c r="F24" i="137"/>
  <c r="F33" i="137"/>
  <c r="F25" i="137"/>
  <c r="F35" i="137"/>
  <c r="F23" i="138"/>
  <c r="F28" i="138"/>
  <c r="F35" i="138"/>
  <c r="F22" i="134"/>
  <c r="F26" i="134"/>
  <c r="F30" i="134"/>
  <c r="F34" i="134"/>
  <c r="F20" i="134"/>
  <c r="F23" i="134"/>
  <c r="F27" i="134"/>
  <c r="F31" i="134"/>
  <c r="F35" i="134"/>
  <c r="F21" i="134"/>
  <c r="F29" i="134"/>
  <c r="F37" i="134"/>
  <c r="F24" i="134"/>
  <c r="F28" i="134"/>
  <c r="F32" i="134"/>
  <c r="F36" i="134"/>
  <c r="F25" i="134"/>
  <c r="F33" i="134"/>
  <c r="F22" i="137"/>
  <c r="F26" i="137"/>
  <c r="F31" i="137"/>
  <c r="F36" i="137"/>
  <c r="F25" i="136"/>
  <c r="F29" i="136"/>
  <c r="F33" i="136"/>
  <c r="F37" i="136"/>
  <c r="F22" i="136"/>
  <c r="F26" i="136"/>
  <c r="F30" i="136"/>
  <c r="F34" i="136"/>
  <c r="F21" i="136"/>
  <c r="F24" i="136"/>
  <c r="F32" i="136"/>
  <c r="F23" i="136"/>
  <c r="F27" i="136"/>
  <c r="F31" i="136"/>
  <c r="F35" i="136"/>
  <c r="F28" i="136"/>
  <c r="F36" i="136"/>
  <c r="F23" i="137"/>
  <c r="F27" i="137"/>
  <c r="F32" i="137"/>
  <c r="F37" i="137"/>
  <c r="F22" i="138"/>
  <c r="F26" i="138"/>
  <c r="F31" i="138"/>
  <c r="F36" i="138"/>
  <c r="D23" i="140"/>
  <c r="S16" i="138"/>
  <c r="D24" i="141"/>
  <c r="G23" i="141"/>
  <c r="I23" i="141" s="1"/>
  <c r="J23" i="141" s="1"/>
  <c r="K23" i="141"/>
  <c r="T30" i="131"/>
  <c r="V5" i="131"/>
  <c r="O30" i="131"/>
  <c r="AW5" i="131"/>
  <c r="AU30" i="131"/>
  <c r="B30" i="131"/>
  <c r="D38" i="131" s="1"/>
  <c r="AK5" i="131"/>
  <c r="AI30" i="131"/>
  <c r="AW7" i="131"/>
  <c r="D22" i="138"/>
  <c r="U23" i="140"/>
  <c r="B38" i="131"/>
  <c r="AW9" i="131"/>
  <c r="AW8" i="131"/>
  <c r="D22" i="137"/>
  <c r="S16" i="137"/>
  <c r="F23" i="140"/>
  <c r="F24" i="140" s="1"/>
  <c r="F25" i="140" s="1"/>
  <c r="F26" i="140" s="1"/>
  <c r="F27" i="140" s="1"/>
  <c r="F28" i="140" s="1"/>
  <c r="F29" i="140" s="1"/>
  <c r="F30" i="140" s="1"/>
  <c r="F31" i="140" s="1"/>
  <c r="F32" i="140" s="1"/>
  <c r="F33" i="140" s="1"/>
  <c r="F34" i="140" s="1"/>
  <c r="F35" i="140" s="1"/>
  <c r="F36" i="140" s="1"/>
  <c r="F37" i="140" s="1"/>
  <c r="B22" i="140"/>
  <c r="T17" i="137"/>
  <c r="T18" i="137" s="1"/>
  <c r="T19" i="137" s="1"/>
  <c r="T20" i="137" s="1"/>
  <c r="T21" i="137" s="1"/>
  <c r="T22" i="137" s="1"/>
  <c r="U22" i="137" s="1"/>
  <c r="S16" i="139"/>
  <c r="C52" i="139"/>
  <c r="B9" i="139" s="1"/>
  <c r="B20" i="139"/>
  <c r="T17" i="138"/>
  <c r="T18" i="138" s="1"/>
  <c r="T19" i="138" s="1"/>
  <c r="T20" i="138" s="1"/>
  <c r="T21" i="138" s="1"/>
  <c r="T22" i="138" s="1"/>
  <c r="U22" i="138" s="1"/>
  <c r="Y22" i="138"/>
  <c r="B23" i="138"/>
  <c r="B3" i="138"/>
  <c r="C52" i="138" s="1"/>
  <c r="B9" i="138" s="1"/>
  <c r="F30" i="138"/>
  <c r="X22" i="137"/>
  <c r="Y22" i="137" s="1"/>
  <c r="E23" i="137"/>
  <c r="E24" i="137" s="1"/>
  <c r="E25" i="137" s="1"/>
  <c r="E26" i="137" s="1"/>
  <c r="E27" i="137" s="1"/>
  <c r="E28" i="137" s="1"/>
  <c r="E29" i="137" s="1"/>
  <c r="E30" i="137" s="1"/>
  <c r="E31" i="137" s="1"/>
  <c r="E32" i="137" s="1"/>
  <c r="E33" i="137" s="1"/>
  <c r="E34" i="137" s="1"/>
  <c r="E35" i="137" s="1"/>
  <c r="E36" i="137" s="1"/>
  <c r="E37" i="137" s="1"/>
  <c r="B20" i="137"/>
  <c r="L19" i="137"/>
  <c r="Q9" i="131" s="1"/>
  <c r="F30" i="137"/>
  <c r="R16" i="136"/>
  <c r="C52" i="136"/>
  <c r="B9" i="136" s="1"/>
  <c r="K20" i="136"/>
  <c r="AV10" i="131" s="1"/>
  <c r="S16" i="135"/>
  <c r="AU10" i="131"/>
  <c r="B21" i="135"/>
  <c r="B3" i="135"/>
  <c r="C52" i="135" s="1"/>
  <c r="B9" i="135" s="1"/>
  <c r="B3" i="134"/>
  <c r="C52" i="134" s="1"/>
  <c r="B9" i="134" s="1"/>
  <c r="K19" i="134"/>
  <c r="AG9" i="131" s="1"/>
  <c r="R16" i="134"/>
  <c r="D47" i="133"/>
  <c r="D46" i="133"/>
  <c r="B60" i="133"/>
  <c r="D49" i="133"/>
  <c r="C49" i="133"/>
  <c r="D48" i="133"/>
  <c r="C48" i="133"/>
  <c r="C47" i="133"/>
  <c r="C46" i="133"/>
  <c r="C45" i="133"/>
  <c r="L18" i="133"/>
  <c r="AF8" i="131" s="1"/>
  <c r="AH8" i="131" s="1"/>
  <c r="L17" i="133"/>
  <c r="AF7" i="131" s="1"/>
  <c r="AH7" i="131" s="1"/>
  <c r="X17" i="133"/>
  <c r="X18" i="133" s="1"/>
  <c r="X19" i="133" s="1"/>
  <c r="X20" i="133" s="1"/>
  <c r="L16" i="133"/>
  <c r="AF6" i="131" s="1"/>
  <c r="AH6" i="131" s="1"/>
  <c r="B16" i="133"/>
  <c r="B17" i="133" s="1"/>
  <c r="B18" i="133" s="1"/>
  <c r="B19" i="133" s="1"/>
  <c r="L15" i="133"/>
  <c r="L14" i="133"/>
  <c r="B14" i="133"/>
  <c r="B15" i="133" s="1"/>
  <c r="L13" i="133"/>
  <c r="L12" i="133"/>
  <c r="B12" i="133"/>
  <c r="B13" i="133" s="1"/>
  <c r="B11" i="133"/>
  <c r="B2" i="133"/>
  <c r="B3" i="133" l="1"/>
  <c r="C52" i="133" s="1"/>
  <c r="B9" i="133" s="1"/>
  <c r="L22" i="138"/>
  <c r="R12" i="131" s="1"/>
  <c r="D23" i="138"/>
  <c r="D24" i="138" s="1"/>
  <c r="G22" i="138"/>
  <c r="J22" i="138" s="1"/>
  <c r="K22" i="138" s="1"/>
  <c r="AF5" i="131"/>
  <c r="AY13" i="131"/>
  <c r="D25" i="141"/>
  <c r="G24" i="141"/>
  <c r="I24" i="141" s="1"/>
  <c r="J24" i="141" s="1"/>
  <c r="K24" i="141"/>
  <c r="AY14" i="131" s="1"/>
  <c r="S16" i="133"/>
  <c r="AW10" i="131"/>
  <c r="B23" i="140"/>
  <c r="B21" i="139"/>
  <c r="B24" i="138"/>
  <c r="B21" i="137"/>
  <c r="L20" i="137"/>
  <c r="Q10" i="131" s="1"/>
  <c r="B22" i="135"/>
  <c r="L19" i="133"/>
  <c r="AF9" i="131" s="1"/>
  <c r="AH9" i="131" s="1"/>
  <c r="B20" i="133"/>
  <c r="T17" i="133"/>
  <c r="T18" i="133" s="1"/>
  <c r="T19" i="133" s="1"/>
  <c r="T20" i="133" s="1"/>
  <c r="G23" i="138" l="1"/>
  <c r="L23" i="138"/>
  <c r="R13" i="131" s="1"/>
  <c r="AH5" i="131"/>
  <c r="AF30" i="131"/>
  <c r="D26" i="141"/>
  <c r="G25" i="141"/>
  <c r="I25" i="141" s="1"/>
  <c r="J25" i="141" s="1"/>
  <c r="K25" i="141"/>
  <c r="B24" i="140"/>
  <c r="B22" i="139"/>
  <c r="B25" i="138"/>
  <c r="G24" i="138"/>
  <c r="D25" i="138"/>
  <c r="L24" i="138"/>
  <c r="R14" i="131" s="1"/>
  <c r="J23" i="138"/>
  <c r="L21" i="137"/>
  <c r="Q11" i="131" s="1"/>
  <c r="B22" i="137"/>
  <c r="B23" i="135"/>
  <c r="B21" i="133"/>
  <c r="AY15" i="131" l="1"/>
  <c r="D27" i="141"/>
  <c r="G26" i="141"/>
  <c r="I26" i="141" s="1"/>
  <c r="J26" i="141" s="1"/>
  <c r="K26" i="141"/>
  <c r="AY16" i="131" s="1"/>
  <c r="B25" i="140"/>
  <c r="B23" i="139"/>
  <c r="L25" i="138"/>
  <c r="R15" i="131" s="1"/>
  <c r="G25" i="138"/>
  <c r="D26" i="138"/>
  <c r="B26" i="138"/>
  <c r="J24" i="138"/>
  <c r="K24" i="138" s="1"/>
  <c r="K23" i="138"/>
  <c r="G22" i="137"/>
  <c r="L22" i="137"/>
  <c r="Q12" i="131" s="1"/>
  <c r="D23" i="137"/>
  <c r="B23" i="137"/>
  <c r="B24" i="135"/>
  <c r="B22" i="133"/>
  <c r="D28" i="141" l="1"/>
  <c r="G27" i="141"/>
  <c r="I27" i="141" s="1"/>
  <c r="J27" i="141" s="1"/>
  <c r="K27" i="141"/>
  <c r="B26" i="140"/>
  <c r="B24" i="139"/>
  <c r="J25" i="138"/>
  <c r="K25" i="138" s="1"/>
  <c r="B27" i="138"/>
  <c r="G26" i="138"/>
  <c r="J26" i="138" s="1"/>
  <c r="K26" i="138" s="1"/>
  <c r="D27" i="138"/>
  <c r="L26" i="138"/>
  <c r="R16" i="131" s="1"/>
  <c r="J22" i="137"/>
  <c r="K22" i="137" s="1"/>
  <c r="B24" i="137"/>
  <c r="L23" i="137"/>
  <c r="Q13" i="131" s="1"/>
  <c r="G23" i="137"/>
  <c r="D24" i="137"/>
  <c r="B25" i="135"/>
  <c r="B23" i="133"/>
  <c r="AY17" i="131" l="1"/>
  <c r="D29" i="141"/>
  <c r="G28" i="141"/>
  <c r="I28" i="141" s="1"/>
  <c r="J28" i="141" s="1"/>
  <c r="K28" i="141"/>
  <c r="AY18" i="131" s="1"/>
  <c r="J23" i="137"/>
  <c r="K23" i="137" s="1"/>
  <c r="B27" i="140"/>
  <c r="B25" i="139"/>
  <c r="L27" i="138"/>
  <c r="R17" i="131" s="1"/>
  <c r="G27" i="138"/>
  <c r="D28" i="138"/>
  <c r="B28" i="138"/>
  <c r="B25" i="137"/>
  <c r="L24" i="137"/>
  <c r="Q14" i="131" s="1"/>
  <c r="D25" i="137"/>
  <c r="G24" i="137"/>
  <c r="B26" i="135"/>
  <c r="B24" i="133"/>
  <c r="D30" i="141" l="1"/>
  <c r="G29" i="141"/>
  <c r="I29" i="141" s="1"/>
  <c r="J29" i="141" s="1"/>
  <c r="K29" i="141"/>
  <c r="B28" i="140"/>
  <c r="B26" i="139"/>
  <c r="B29" i="138"/>
  <c r="B30" i="138" s="1"/>
  <c r="B31" i="138" s="1"/>
  <c r="B32" i="138" s="1"/>
  <c r="B33" i="138" s="1"/>
  <c r="B34" i="138" s="1"/>
  <c r="B35" i="138" s="1"/>
  <c r="B36" i="138" s="1"/>
  <c r="B37" i="138" s="1"/>
  <c r="G28" i="138"/>
  <c r="L28" i="138"/>
  <c r="R18" i="131" s="1"/>
  <c r="D29" i="138"/>
  <c r="J27" i="138"/>
  <c r="L25" i="137"/>
  <c r="Q15" i="131" s="1"/>
  <c r="G25" i="137"/>
  <c r="D26" i="137"/>
  <c r="B26" i="137"/>
  <c r="J24" i="137"/>
  <c r="B27" i="135"/>
  <c r="B25" i="133"/>
  <c r="AY19" i="131" l="1"/>
  <c r="D31" i="141"/>
  <c r="G30" i="141"/>
  <c r="I30" i="141" s="1"/>
  <c r="J30" i="141" s="1"/>
  <c r="K30" i="141"/>
  <c r="AY20" i="131" s="1"/>
  <c r="B29" i="140"/>
  <c r="B27" i="139"/>
  <c r="K27" i="138"/>
  <c r="G29" i="138"/>
  <c r="J29" i="138" s="1"/>
  <c r="K29" i="138" s="1"/>
  <c r="L29" i="138"/>
  <c r="R19" i="131" s="1"/>
  <c r="D30" i="138"/>
  <c r="J28" i="138"/>
  <c r="K28" i="138" s="1"/>
  <c r="K24" i="137"/>
  <c r="D27" i="137"/>
  <c r="G26" i="137"/>
  <c r="L26" i="137"/>
  <c r="Q16" i="131" s="1"/>
  <c r="B27" i="137"/>
  <c r="J25" i="137"/>
  <c r="K25" i="137" s="1"/>
  <c r="B28" i="135"/>
  <c r="B26" i="133"/>
  <c r="D32" i="141" l="1"/>
  <c r="G31" i="141"/>
  <c r="I31" i="141" s="1"/>
  <c r="J31" i="141" s="1"/>
  <c r="K31" i="141"/>
  <c r="B30" i="140"/>
  <c r="B28" i="139"/>
  <c r="L30" i="138"/>
  <c r="R20" i="131" s="1"/>
  <c r="G30" i="138"/>
  <c r="J30" i="138" s="1"/>
  <c r="K30" i="138" s="1"/>
  <c r="D31" i="138"/>
  <c r="L27" i="137"/>
  <c r="Q17" i="131" s="1"/>
  <c r="G27" i="137"/>
  <c r="D28" i="137"/>
  <c r="B28" i="137"/>
  <c r="J26" i="137"/>
  <c r="K26" i="137" s="1"/>
  <c r="B29" i="135"/>
  <c r="B27" i="133"/>
  <c r="AY21" i="131" l="1"/>
  <c r="D33" i="141"/>
  <c r="G32" i="141"/>
  <c r="I32" i="141" s="1"/>
  <c r="J32" i="141" s="1"/>
  <c r="K32" i="141"/>
  <c r="AY22" i="131" s="1"/>
  <c r="B31" i="140"/>
  <c r="B32" i="140" s="1"/>
  <c r="B33" i="140" s="1"/>
  <c r="B34" i="140" s="1"/>
  <c r="B35" i="140" s="1"/>
  <c r="B36" i="140" s="1"/>
  <c r="B37" i="140" s="1"/>
  <c r="B29" i="139"/>
  <c r="B30" i="139" s="1"/>
  <c r="B31" i="139" s="1"/>
  <c r="B32" i="139" s="1"/>
  <c r="B33" i="139" s="1"/>
  <c r="B34" i="139" s="1"/>
  <c r="B35" i="139" s="1"/>
  <c r="B36" i="139" s="1"/>
  <c r="B37" i="139" s="1"/>
  <c r="D32" i="138"/>
  <c r="G31" i="138"/>
  <c r="J31" i="138" s="1"/>
  <c r="K31" i="138" s="1"/>
  <c r="L31" i="138"/>
  <c r="R21" i="131" s="1"/>
  <c r="G28" i="137"/>
  <c r="D29" i="137"/>
  <c r="L28" i="137"/>
  <c r="Q18" i="131" s="1"/>
  <c r="J27" i="137"/>
  <c r="K27" i="137" s="1"/>
  <c r="B29" i="137"/>
  <c r="B30" i="137" s="1"/>
  <c r="B31" i="137" s="1"/>
  <c r="B32" i="137" s="1"/>
  <c r="B33" i="137" s="1"/>
  <c r="B34" i="137" s="1"/>
  <c r="B35" i="137" s="1"/>
  <c r="B36" i="137" s="1"/>
  <c r="B37" i="137" s="1"/>
  <c r="B30" i="135"/>
  <c r="B31" i="135" s="1"/>
  <c r="B32" i="135" s="1"/>
  <c r="B33" i="135" s="1"/>
  <c r="B34" i="135" s="1"/>
  <c r="B35" i="135" s="1"/>
  <c r="B36" i="135" s="1"/>
  <c r="B37" i="135" s="1"/>
  <c r="B28" i="133"/>
  <c r="D34" i="141" l="1"/>
  <c r="G33" i="141"/>
  <c r="I33" i="141" s="1"/>
  <c r="J33" i="141" s="1"/>
  <c r="K33" i="141"/>
  <c r="AY23" i="131" s="1"/>
  <c r="G32" i="138"/>
  <c r="J32" i="138" s="1"/>
  <c r="K32" i="138" s="1"/>
  <c r="L32" i="138"/>
  <c r="R22" i="131" s="1"/>
  <c r="D33" i="138"/>
  <c r="G29" i="137"/>
  <c r="J29" i="137" s="1"/>
  <c r="K29" i="137" s="1"/>
  <c r="L29" i="137"/>
  <c r="Q19" i="131" s="1"/>
  <c r="D30" i="137"/>
  <c r="J28" i="137"/>
  <c r="K28" i="137" s="1"/>
  <c r="B29" i="133"/>
  <c r="B30" i="133" s="1"/>
  <c r="B31" i="133" s="1"/>
  <c r="B32" i="133" s="1"/>
  <c r="B33" i="133" s="1"/>
  <c r="B34" i="133" s="1"/>
  <c r="B35" i="133" s="1"/>
  <c r="B36" i="133" s="1"/>
  <c r="B37" i="133" s="1"/>
  <c r="D35" i="141" l="1"/>
  <c r="G34" i="141"/>
  <c r="I34" i="141" s="1"/>
  <c r="J34" i="141" s="1"/>
  <c r="K34" i="141"/>
  <c r="AY24" i="131" s="1"/>
  <c r="G33" i="138"/>
  <c r="J33" i="138" s="1"/>
  <c r="K33" i="138" s="1"/>
  <c r="L33" i="138"/>
  <c r="R23" i="131" s="1"/>
  <c r="D34" i="138"/>
  <c r="L30" i="137"/>
  <c r="Q20" i="131" s="1"/>
  <c r="D31" i="137"/>
  <c r="G30" i="137"/>
  <c r="J30" i="137" s="1"/>
  <c r="K30" i="137" s="1"/>
  <c r="D36" i="141" l="1"/>
  <c r="G35" i="141"/>
  <c r="I35" i="141" s="1"/>
  <c r="J35" i="141" s="1"/>
  <c r="K35" i="141"/>
  <c r="AY25" i="131" s="1"/>
  <c r="L34" i="138"/>
  <c r="R24" i="131" s="1"/>
  <c r="D35" i="138"/>
  <c r="G34" i="138"/>
  <c r="J34" i="138" s="1"/>
  <c r="K34" i="138" s="1"/>
  <c r="D32" i="137"/>
  <c r="L31" i="137"/>
  <c r="Q21" i="131" s="1"/>
  <c r="G31" i="137"/>
  <c r="J31" i="137" s="1"/>
  <c r="K31" i="137" s="1"/>
  <c r="D37" i="141" l="1"/>
  <c r="G36" i="141"/>
  <c r="I36" i="141" s="1"/>
  <c r="J36" i="141" s="1"/>
  <c r="K36" i="141"/>
  <c r="AY26" i="131" s="1"/>
  <c r="AY29" i="131" s="1"/>
  <c r="D36" i="138"/>
  <c r="G35" i="138"/>
  <c r="J35" i="138" s="1"/>
  <c r="K35" i="138" s="1"/>
  <c r="L35" i="138"/>
  <c r="R25" i="131" s="1"/>
  <c r="G32" i="137"/>
  <c r="J32" i="137" s="1"/>
  <c r="K32" i="137" s="1"/>
  <c r="L32" i="137"/>
  <c r="Q22" i="131" s="1"/>
  <c r="D33" i="137"/>
  <c r="G37" i="141" l="1"/>
  <c r="I37" i="141" s="1"/>
  <c r="K37" i="141"/>
  <c r="G36" i="138"/>
  <c r="J36" i="138" s="1"/>
  <c r="K36" i="138" s="1"/>
  <c r="L36" i="138"/>
  <c r="R26" i="131" s="1"/>
  <c r="R29" i="131" s="1"/>
  <c r="D37" i="138"/>
  <c r="G33" i="137"/>
  <c r="J33" i="137" s="1"/>
  <c r="K33" i="137" s="1"/>
  <c r="L33" i="137"/>
  <c r="Q23" i="131" s="1"/>
  <c r="D34" i="137"/>
  <c r="K39" i="141" l="1"/>
  <c r="I39" i="141"/>
  <c r="J37" i="141"/>
  <c r="J39" i="141" s="1"/>
  <c r="G37" i="138"/>
  <c r="J37" i="138" s="1"/>
  <c r="L37" i="138"/>
  <c r="L34" i="137"/>
  <c r="Q24" i="131" s="1"/>
  <c r="D35" i="137"/>
  <c r="G34" i="137"/>
  <c r="J34" i="137" s="1"/>
  <c r="K34" i="137" s="1"/>
  <c r="L39" i="138" l="1"/>
  <c r="K37" i="138"/>
  <c r="K39" i="138" s="1"/>
  <c r="J39" i="138"/>
  <c r="D36" i="137"/>
  <c r="L35" i="137"/>
  <c r="Q25" i="131" s="1"/>
  <c r="G35" i="137"/>
  <c r="J35" i="137" s="1"/>
  <c r="K35" i="137" s="1"/>
  <c r="G36" i="137" l="1"/>
  <c r="J36" i="137" s="1"/>
  <c r="K36" i="137" s="1"/>
  <c r="L36" i="137"/>
  <c r="Q26" i="131" s="1"/>
  <c r="Q29" i="131" s="1"/>
  <c r="D37" i="137"/>
  <c r="G37" i="137" l="1"/>
  <c r="J37" i="137" s="1"/>
  <c r="L37" i="137"/>
  <c r="R12" i="97"/>
  <c r="L12" i="97"/>
  <c r="E22" i="132" l="1"/>
  <c r="C22" i="132"/>
  <c r="L39" i="137"/>
  <c r="K37" i="137"/>
  <c r="K39" i="137" s="1"/>
  <c r="J39" i="137"/>
  <c r="B3" i="132"/>
  <c r="D46" i="132"/>
  <c r="B60" i="132"/>
  <c r="D49" i="132"/>
  <c r="C49" i="132"/>
  <c r="D48" i="132"/>
  <c r="C48" i="132"/>
  <c r="C47" i="132"/>
  <c r="C46" i="132"/>
  <c r="C45" i="132"/>
  <c r="S8" i="131"/>
  <c r="S7" i="131"/>
  <c r="X17" i="132"/>
  <c r="X18" i="132" s="1"/>
  <c r="X19" i="132" s="1"/>
  <c r="X20" i="132" s="1"/>
  <c r="X21" i="132" s="1"/>
  <c r="X22" i="132" s="1"/>
  <c r="Y22" i="132" s="1"/>
  <c r="S16" i="132"/>
  <c r="S6" i="131"/>
  <c r="B12" i="132"/>
  <c r="B13" i="132" s="1"/>
  <c r="B14" i="132" s="1"/>
  <c r="B15" i="132" s="1"/>
  <c r="B16" i="132" s="1"/>
  <c r="B17" i="132" s="1"/>
  <c r="B18" i="132" s="1"/>
  <c r="B19" i="132" s="1"/>
  <c r="B11" i="132"/>
  <c r="B2" i="132"/>
  <c r="D22" i="132" l="1"/>
  <c r="E27" i="148"/>
  <c r="E28" i="148" s="1"/>
  <c r="E29" i="148" s="1"/>
  <c r="E30" i="148" s="1"/>
  <c r="E31" i="148" s="1"/>
  <c r="E32" i="148" s="1"/>
  <c r="E33" i="148" s="1"/>
  <c r="E34" i="148" s="1"/>
  <c r="E35" i="148" s="1"/>
  <c r="E36" i="148" s="1"/>
  <c r="E37" i="148" s="1"/>
  <c r="C52" i="132"/>
  <c r="B9" i="132" s="1"/>
  <c r="D47" i="132"/>
  <c r="B20" i="132"/>
  <c r="T17" i="132"/>
  <c r="T18" i="132" s="1"/>
  <c r="T19" i="132" s="1"/>
  <c r="T20" i="132" s="1"/>
  <c r="T21" i="132" s="1"/>
  <c r="T22" i="132" s="1"/>
  <c r="U22" i="132" s="1"/>
  <c r="B21" i="132" l="1"/>
  <c r="B22" i="132" l="1"/>
  <c r="B23" i="132" l="1"/>
  <c r="B24" i="132" l="1"/>
  <c r="D27" i="148" l="1"/>
  <c r="B25" i="132"/>
  <c r="D28" i="148" l="1"/>
  <c r="B26" i="132"/>
  <c r="D29" i="148" l="1"/>
  <c r="B27" i="132"/>
  <c r="D30" i="148" l="1"/>
  <c r="B28" i="132"/>
  <c r="D31" i="148" l="1"/>
  <c r="B29" i="132"/>
  <c r="B30" i="132" s="1"/>
  <c r="B31" i="132" s="1"/>
  <c r="B32" i="132" s="1"/>
  <c r="B33" i="132" s="1"/>
  <c r="B34" i="132" s="1"/>
  <c r="B35" i="132" s="1"/>
  <c r="B36" i="132" s="1"/>
  <c r="B37" i="132" s="1"/>
  <c r="D32" i="148" l="1"/>
  <c r="C60" i="106"/>
  <c r="F37" i="106" s="1"/>
  <c r="C60" i="124"/>
  <c r="F34" i="124" s="1"/>
  <c r="D33" i="148" l="1"/>
  <c r="F27" i="124"/>
  <c r="F31" i="124"/>
  <c r="F35" i="124"/>
  <c r="F23" i="124"/>
  <c r="F24" i="124"/>
  <c r="F28" i="124"/>
  <c r="F32" i="124"/>
  <c r="F36" i="124"/>
  <c r="F25" i="124"/>
  <c r="F29" i="124"/>
  <c r="F33" i="124"/>
  <c r="F37" i="124"/>
  <c r="F22" i="124"/>
  <c r="F26" i="124"/>
  <c r="F30" i="124"/>
  <c r="F26" i="106"/>
  <c r="F30" i="106"/>
  <c r="F27" i="106"/>
  <c r="F35" i="106"/>
  <c r="F24" i="106"/>
  <c r="F28" i="106"/>
  <c r="F32" i="106"/>
  <c r="F36" i="106"/>
  <c r="F34" i="106"/>
  <c r="F23" i="106"/>
  <c r="F31" i="106"/>
  <c r="F25" i="106"/>
  <c r="F29" i="106"/>
  <c r="F33" i="106"/>
  <c r="D34" i="148" l="1"/>
  <c r="C60" i="115"/>
  <c r="C60" i="113"/>
  <c r="C60" i="111"/>
  <c r="C60" i="108"/>
  <c r="C60" i="107"/>
  <c r="C60" i="98"/>
  <c r="C60" i="105"/>
  <c r="D35" i="148" l="1"/>
  <c r="F20" i="107"/>
  <c r="F24" i="107"/>
  <c r="F28" i="107"/>
  <c r="F32" i="107"/>
  <c r="F36" i="107"/>
  <c r="F21" i="107"/>
  <c r="F25" i="107"/>
  <c r="F29" i="107"/>
  <c r="F33" i="107"/>
  <c r="F37" i="107"/>
  <c r="F23" i="107"/>
  <c r="F31" i="107"/>
  <c r="F22" i="107"/>
  <c r="F26" i="107"/>
  <c r="F30" i="107"/>
  <c r="F34" i="107"/>
  <c r="F19" i="107"/>
  <c r="F27" i="107"/>
  <c r="F35" i="107"/>
  <c r="F24" i="113"/>
  <c r="F28" i="113"/>
  <c r="F32" i="113"/>
  <c r="F36" i="113"/>
  <c r="F21" i="113"/>
  <c r="F25" i="113"/>
  <c r="F29" i="113"/>
  <c r="F33" i="113"/>
  <c r="F37" i="113"/>
  <c r="F23" i="113"/>
  <c r="F31" i="113"/>
  <c r="F22" i="113"/>
  <c r="F26" i="113"/>
  <c r="F30" i="113"/>
  <c r="F34" i="113"/>
  <c r="F20" i="113"/>
  <c r="F27" i="113"/>
  <c r="F35" i="113"/>
  <c r="F24" i="108"/>
  <c r="F28" i="108"/>
  <c r="F32" i="108"/>
  <c r="F36" i="108"/>
  <c r="F21" i="108"/>
  <c r="F25" i="108"/>
  <c r="F29" i="108"/>
  <c r="F33" i="108"/>
  <c r="F37" i="108"/>
  <c r="F27" i="108"/>
  <c r="F35" i="108"/>
  <c r="F22" i="108"/>
  <c r="F26" i="108"/>
  <c r="F30" i="108"/>
  <c r="F34" i="108"/>
  <c r="F20" i="108"/>
  <c r="F23" i="108"/>
  <c r="F31" i="108"/>
  <c r="F22" i="115"/>
  <c r="F26" i="115"/>
  <c r="F30" i="115"/>
  <c r="F34" i="115"/>
  <c r="F20" i="115"/>
  <c r="F23" i="115"/>
  <c r="F27" i="115"/>
  <c r="F31" i="115"/>
  <c r="F35" i="115"/>
  <c r="F21" i="115"/>
  <c r="F29" i="115"/>
  <c r="F24" i="115"/>
  <c r="F28" i="115"/>
  <c r="F32" i="115"/>
  <c r="F36" i="115"/>
  <c r="F25" i="115"/>
  <c r="F33" i="115"/>
  <c r="F37" i="115"/>
  <c r="F22" i="98"/>
  <c r="F26" i="98"/>
  <c r="F30" i="98"/>
  <c r="F34" i="98"/>
  <c r="F19" i="98"/>
  <c r="F23" i="98"/>
  <c r="F27" i="98"/>
  <c r="F31" i="98"/>
  <c r="F35" i="98"/>
  <c r="F25" i="98"/>
  <c r="F20" i="98"/>
  <c r="F24" i="98"/>
  <c r="F28" i="98"/>
  <c r="F32" i="98"/>
  <c r="F36" i="98"/>
  <c r="F21" i="98"/>
  <c r="F29" i="98"/>
  <c r="F33" i="98"/>
  <c r="F37" i="98"/>
  <c r="F23" i="105"/>
  <c r="F27" i="105"/>
  <c r="F31" i="105"/>
  <c r="F35" i="105"/>
  <c r="F20" i="105"/>
  <c r="F24" i="105"/>
  <c r="F28" i="105"/>
  <c r="F32" i="105"/>
  <c r="F36" i="105"/>
  <c r="F26" i="105"/>
  <c r="F21" i="105"/>
  <c r="F25" i="105"/>
  <c r="F29" i="105"/>
  <c r="F33" i="105"/>
  <c r="F37" i="105"/>
  <c r="F22" i="105"/>
  <c r="F30" i="105"/>
  <c r="F34" i="105"/>
  <c r="F19" i="105"/>
  <c r="F22" i="111"/>
  <c r="F26" i="111"/>
  <c r="F30" i="111"/>
  <c r="F34" i="111"/>
  <c r="F20" i="111"/>
  <c r="F23" i="111"/>
  <c r="F27" i="111"/>
  <c r="F31" i="111"/>
  <c r="F35" i="111"/>
  <c r="F25" i="111"/>
  <c r="F33" i="111"/>
  <c r="F24" i="111"/>
  <c r="F28" i="111"/>
  <c r="F32" i="111"/>
  <c r="F36" i="111"/>
  <c r="F21" i="111"/>
  <c r="F29" i="111"/>
  <c r="F37" i="111"/>
  <c r="C60" i="100"/>
  <c r="C60" i="99"/>
  <c r="C60" i="104"/>
  <c r="D36" i="148" l="1"/>
  <c r="C60" i="109"/>
  <c r="D37" i="148" l="1"/>
  <c r="F35" i="109"/>
  <c r="F31" i="109"/>
  <c r="F27" i="109"/>
  <c r="F23" i="109"/>
  <c r="F19" i="109"/>
  <c r="F34" i="109"/>
  <c r="F30" i="109"/>
  <c r="F26" i="109"/>
  <c r="F22" i="109"/>
  <c r="F33" i="109"/>
  <c r="F29" i="109"/>
  <c r="F25" i="109"/>
  <c r="F21" i="109"/>
  <c r="F36" i="109"/>
  <c r="F32" i="109"/>
  <c r="F28" i="109"/>
  <c r="F24" i="109"/>
  <c r="F20" i="109"/>
  <c r="F37" i="109"/>
  <c r="AV10" i="47"/>
  <c r="AX10" i="47" s="1"/>
  <c r="AU11" i="47"/>
  <c r="AU12" i="47" s="1"/>
  <c r="AU13" i="47" s="1"/>
  <c r="AU10" i="47"/>
  <c r="AU9" i="47"/>
  <c r="AL10" i="47"/>
  <c r="AN10" i="47" s="1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AK9" i="47"/>
  <c r="AG10" i="47"/>
  <c r="AI10" i="47" s="1"/>
  <c r="AF10" i="47"/>
  <c r="AF11" i="47" s="1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AF9" i="47"/>
  <c r="C60" i="122"/>
  <c r="AM39" i="47" l="1"/>
  <c r="AW39" i="47"/>
  <c r="AH39" i="47"/>
  <c r="AU14" i="47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31" i="47" s="1"/>
  <c r="AU32" i="47" s="1"/>
  <c r="C60" i="123" l="1"/>
  <c r="DX10" i="47"/>
  <c r="DZ10" i="47" s="1"/>
  <c r="DW9" i="47"/>
  <c r="DS10" i="47"/>
  <c r="DU10" i="47" s="1"/>
  <c r="DR9" i="47"/>
  <c r="DN10" i="47"/>
  <c r="DP10" i="47" s="1"/>
  <c r="DM9" i="47"/>
  <c r="DH9" i="47"/>
  <c r="DC9" i="47"/>
  <c r="CY10" i="47"/>
  <c r="DA10" i="47" s="1"/>
  <c r="CX9" i="47"/>
  <c r="CS9" i="47"/>
  <c r="CN9" i="47"/>
  <c r="CJ10" i="47"/>
  <c r="CL10" i="47" s="1"/>
  <c r="CI9" i="47"/>
  <c r="CP39" i="47" l="1"/>
  <c r="DJ39" i="47"/>
  <c r="CU39" i="47"/>
  <c r="DO39" i="47"/>
  <c r="BG39" i="47"/>
  <c r="C60" i="101" s="1"/>
  <c r="AR39" i="47"/>
  <c r="X39" i="47"/>
  <c r="C60" i="156" s="1"/>
  <c r="N39" i="47"/>
  <c r="BL39" i="47"/>
  <c r="C60" i="125" s="1"/>
  <c r="BV39" i="47"/>
  <c r="C60" i="133" s="1"/>
  <c r="F20" i="133" s="1"/>
  <c r="F21" i="133" s="1"/>
  <c r="F22" i="133" s="1"/>
  <c r="F23" i="133" s="1"/>
  <c r="F24" i="133" s="1"/>
  <c r="F25" i="133" s="1"/>
  <c r="F26" i="133" s="1"/>
  <c r="F27" i="133" s="1"/>
  <c r="F28" i="133" s="1"/>
  <c r="F29" i="133" s="1"/>
  <c r="F30" i="133" s="1"/>
  <c r="F31" i="133" s="1"/>
  <c r="F32" i="133" s="1"/>
  <c r="F33" i="133" s="1"/>
  <c r="F34" i="133" s="1"/>
  <c r="F35" i="133" s="1"/>
  <c r="F36" i="133" s="1"/>
  <c r="F37" i="133" s="1"/>
  <c r="CZ39" i="47"/>
  <c r="C60" i="150" s="1"/>
  <c r="F19" i="150" s="1"/>
  <c r="DT39" i="47"/>
  <c r="C60" i="157" s="1"/>
  <c r="F26" i="157" s="1"/>
  <c r="F34" i="123"/>
  <c r="F30" i="123"/>
  <c r="F26" i="123"/>
  <c r="F22" i="123"/>
  <c r="F35" i="123"/>
  <c r="F27" i="123"/>
  <c r="F23" i="123"/>
  <c r="F37" i="123"/>
  <c r="F33" i="123"/>
  <c r="F29" i="123"/>
  <c r="F25" i="123"/>
  <c r="F31" i="123"/>
  <c r="F36" i="123"/>
  <c r="F32" i="123"/>
  <c r="F28" i="123"/>
  <c r="F24" i="123"/>
  <c r="BB39" i="47"/>
  <c r="C60" i="155" s="1"/>
  <c r="F27" i="155" s="1"/>
  <c r="AC39" i="47"/>
  <c r="I61" i="117" s="1"/>
  <c r="S39" i="47"/>
  <c r="I39" i="47"/>
  <c r="BQ39" i="47"/>
  <c r="CA39" i="47"/>
  <c r="D39" i="47"/>
  <c r="CK39" i="47"/>
  <c r="DE39" i="47"/>
  <c r="DY39" i="47"/>
  <c r="DD10" i="47"/>
  <c r="DF10" i="47" s="1"/>
  <c r="DI10" i="47"/>
  <c r="DK10" i="47" s="1"/>
  <c r="CT10" i="47"/>
  <c r="CV10" i="47" s="1"/>
  <c r="CO10" i="47"/>
  <c r="CQ10" i="47" s="1"/>
  <c r="C60" i="119" l="1"/>
  <c r="I60" i="119"/>
  <c r="I62" i="117"/>
  <c r="C60" i="117"/>
  <c r="F22" i="117" s="1"/>
  <c r="F23" i="117" s="1"/>
  <c r="F24" i="117" s="1"/>
  <c r="F25" i="117" s="1"/>
  <c r="F26" i="117" s="1"/>
  <c r="F27" i="117" s="1"/>
  <c r="F28" i="117" s="1"/>
  <c r="F29" i="117" s="1"/>
  <c r="F30" i="117" s="1"/>
  <c r="F31" i="117" s="1"/>
  <c r="F32" i="117" s="1"/>
  <c r="F33" i="117" s="1"/>
  <c r="F34" i="117" s="1"/>
  <c r="F35" i="117" s="1"/>
  <c r="F36" i="117" s="1"/>
  <c r="F37" i="117" s="1"/>
  <c r="C61" i="119"/>
  <c r="I61" i="119"/>
  <c r="J61" i="148"/>
  <c r="C61" i="148" s="1"/>
  <c r="J63" i="159"/>
  <c r="F19" i="159" s="1"/>
  <c r="F20" i="159" s="1"/>
  <c r="F21" i="159" s="1"/>
  <c r="F22" i="159" s="1"/>
  <c r="C61" i="120"/>
  <c r="F19" i="120" s="1"/>
  <c r="F20" i="120" s="1"/>
  <c r="F21" i="120" s="1"/>
  <c r="F22" i="120" s="1"/>
  <c r="F27" i="157"/>
  <c r="L26" i="157"/>
  <c r="G26" i="157"/>
  <c r="J26" i="157" s="1"/>
  <c r="F27" i="156"/>
  <c r="F26" i="156"/>
  <c r="C60" i="153"/>
  <c r="F20" i="153" s="1"/>
  <c r="F21" i="153" s="1"/>
  <c r="F22" i="153" s="1"/>
  <c r="F23" i="153" s="1"/>
  <c r="F24" i="153" s="1"/>
  <c r="F25" i="153" s="1"/>
  <c r="F26" i="153" s="1"/>
  <c r="F27" i="153" s="1"/>
  <c r="F28" i="153" s="1"/>
  <c r="F29" i="153" s="1"/>
  <c r="F30" i="153" s="1"/>
  <c r="F31" i="153" s="1"/>
  <c r="F32" i="153" s="1"/>
  <c r="F33" i="153" s="1"/>
  <c r="F34" i="153" s="1"/>
  <c r="F35" i="153" s="1"/>
  <c r="F36" i="153" s="1"/>
  <c r="F37" i="153" s="1"/>
  <c r="J61" i="159"/>
  <c r="C60" i="159" s="1"/>
  <c r="F28" i="155"/>
  <c r="L27" i="155"/>
  <c r="G27" i="155"/>
  <c r="J27" i="155" s="1"/>
  <c r="F20" i="150"/>
  <c r="F21" i="150" s="1"/>
  <c r="F22" i="150" s="1"/>
  <c r="F23" i="150" s="1"/>
  <c r="F24" i="150" s="1"/>
  <c r="F25" i="150" s="1"/>
  <c r="F26" i="150" s="1"/>
  <c r="F27" i="150" s="1"/>
  <c r="F28" i="150" s="1"/>
  <c r="F29" i="150" s="1"/>
  <c r="F30" i="150" s="1"/>
  <c r="F31" i="150" s="1"/>
  <c r="F32" i="150" s="1"/>
  <c r="F33" i="150" s="1"/>
  <c r="F34" i="150" s="1"/>
  <c r="F35" i="150" s="1"/>
  <c r="F36" i="150" s="1"/>
  <c r="F37" i="150" s="1"/>
  <c r="L19" i="150"/>
  <c r="AC9" i="131" s="1"/>
  <c r="G19" i="150"/>
  <c r="J19" i="150" s="1"/>
  <c r="K19" i="150" s="1"/>
  <c r="J62" i="148"/>
  <c r="J62" i="132"/>
  <c r="C60" i="120"/>
  <c r="C60" i="121"/>
  <c r="F23" i="121" s="1"/>
  <c r="F24" i="121" s="1"/>
  <c r="F25" i="121" s="1"/>
  <c r="F26" i="121" s="1"/>
  <c r="F27" i="121" s="1"/>
  <c r="F28" i="121" s="1"/>
  <c r="F29" i="121" s="1"/>
  <c r="F30" i="121" s="1"/>
  <c r="F31" i="121" s="1"/>
  <c r="F32" i="121" s="1"/>
  <c r="F33" i="121" s="1"/>
  <c r="F34" i="121" s="1"/>
  <c r="F35" i="121" s="1"/>
  <c r="F36" i="121" s="1"/>
  <c r="F37" i="121" s="1"/>
  <c r="J60" i="148"/>
  <c r="C60" i="148" s="1"/>
  <c r="F22" i="148" s="1"/>
  <c r="F23" i="148" s="1"/>
  <c r="F24" i="148" s="1"/>
  <c r="F25" i="148" s="1"/>
  <c r="F26" i="148" s="1"/>
  <c r="F27" i="148" s="1"/>
  <c r="J60" i="132"/>
  <c r="F20" i="101"/>
  <c r="F21" i="101" s="1"/>
  <c r="F22" i="101" s="1"/>
  <c r="F23" i="101" s="1"/>
  <c r="F24" i="101" s="1"/>
  <c r="F25" i="101" s="1"/>
  <c r="F26" i="101" s="1"/>
  <c r="F27" i="101" s="1"/>
  <c r="F28" i="101" s="1"/>
  <c r="F29" i="101" s="1"/>
  <c r="F30" i="101" s="1"/>
  <c r="F31" i="101" s="1"/>
  <c r="F32" i="101" s="1"/>
  <c r="F33" i="101" s="1"/>
  <c r="F34" i="101" s="1"/>
  <c r="F35" i="101" s="1"/>
  <c r="F36" i="101" s="1"/>
  <c r="F37" i="101" s="1"/>
  <c r="F20" i="125"/>
  <c r="F21" i="125" s="1"/>
  <c r="F22" i="125" s="1"/>
  <c r="F23" i="125" s="1"/>
  <c r="F24" i="125" s="1"/>
  <c r="F25" i="125" s="1"/>
  <c r="F26" i="125" s="1"/>
  <c r="F27" i="125" s="1"/>
  <c r="F28" i="125" s="1"/>
  <c r="F29" i="125" s="1"/>
  <c r="F30" i="125" s="1"/>
  <c r="F31" i="125" s="1"/>
  <c r="F32" i="125" s="1"/>
  <c r="F33" i="125" s="1"/>
  <c r="F34" i="125" s="1"/>
  <c r="F35" i="125" s="1"/>
  <c r="F36" i="125" s="1"/>
  <c r="F37" i="125" s="1"/>
  <c r="F23" i="119"/>
  <c r="C60" i="135"/>
  <c r="C60" i="126"/>
  <c r="C60" i="116"/>
  <c r="R100" i="97"/>
  <c r="L100" i="97"/>
  <c r="S17" i="126"/>
  <c r="S18" i="126" s="1"/>
  <c r="S19" i="126" s="1"/>
  <c r="S20" i="126" s="1"/>
  <c r="S21" i="126" s="1"/>
  <c r="C63" i="126"/>
  <c r="D47" i="126" s="1"/>
  <c r="D46" i="126"/>
  <c r="B60" i="126"/>
  <c r="D49" i="126"/>
  <c r="C49" i="126"/>
  <c r="D48" i="126"/>
  <c r="C48" i="126"/>
  <c r="C47" i="126"/>
  <c r="C46" i="126"/>
  <c r="C45" i="126"/>
  <c r="B12" i="126"/>
  <c r="B13" i="126" s="1"/>
  <c r="B14" i="126" s="1"/>
  <c r="B15" i="126" s="1"/>
  <c r="B16" i="126" s="1"/>
  <c r="B17" i="126" s="1"/>
  <c r="B18" i="126" s="1"/>
  <c r="B19" i="126" s="1"/>
  <c r="B20" i="126" s="1"/>
  <c r="B21" i="126" s="1"/>
  <c r="B22" i="126" s="1"/>
  <c r="B23" i="126" s="1"/>
  <c r="B24" i="126" s="1"/>
  <c r="B25" i="126" s="1"/>
  <c r="B26" i="126" s="1"/>
  <c r="B27" i="126" s="1"/>
  <c r="B28" i="126" s="1"/>
  <c r="B29" i="126" s="1"/>
  <c r="B30" i="126" s="1"/>
  <c r="B31" i="126" s="1"/>
  <c r="B32" i="126" s="1"/>
  <c r="B33" i="126" s="1"/>
  <c r="B34" i="126" s="1"/>
  <c r="B35" i="126" s="1"/>
  <c r="B36" i="126" s="1"/>
  <c r="B37" i="126" s="1"/>
  <c r="B11" i="126"/>
  <c r="B3" i="126"/>
  <c r="B2" i="126"/>
  <c r="R98" i="97"/>
  <c r="C21" i="126" s="1"/>
  <c r="L98" i="97"/>
  <c r="E21" i="126" s="1"/>
  <c r="E22" i="126" s="1"/>
  <c r="E23" i="126" s="1"/>
  <c r="E24" i="126" s="1"/>
  <c r="E25" i="126" s="1"/>
  <c r="E26" i="126" s="1"/>
  <c r="E27" i="126" s="1"/>
  <c r="E28" i="126" s="1"/>
  <c r="E29" i="126" s="1"/>
  <c r="E30" i="126" s="1"/>
  <c r="E31" i="126" s="1"/>
  <c r="E32" i="126" s="1"/>
  <c r="E33" i="126" s="1"/>
  <c r="E34" i="126" s="1"/>
  <c r="E35" i="126" s="1"/>
  <c r="E36" i="126" s="1"/>
  <c r="E37" i="126" s="1"/>
  <c r="S17" i="125"/>
  <c r="S18" i="125" s="1"/>
  <c r="S19" i="125" s="1"/>
  <c r="S20" i="125" s="1"/>
  <c r="C63" i="125"/>
  <c r="D47" i="125" s="1"/>
  <c r="B2" i="125"/>
  <c r="B2" i="106"/>
  <c r="B2" i="123"/>
  <c r="B2" i="124"/>
  <c r="D46" i="125"/>
  <c r="B60" i="125"/>
  <c r="D49" i="125"/>
  <c r="C49" i="125"/>
  <c r="D48" i="125"/>
  <c r="C48" i="125"/>
  <c r="C47" i="125"/>
  <c r="C46" i="125"/>
  <c r="C45" i="125"/>
  <c r="B12" i="125"/>
  <c r="B13" i="125" s="1"/>
  <c r="B14" i="125" s="1"/>
  <c r="B15" i="125" s="1"/>
  <c r="B16" i="125" s="1"/>
  <c r="B17" i="125" s="1"/>
  <c r="B18" i="125" s="1"/>
  <c r="B19" i="125" s="1"/>
  <c r="B20" i="125" s="1"/>
  <c r="B21" i="125" s="1"/>
  <c r="B22" i="125" s="1"/>
  <c r="B23" i="125" s="1"/>
  <c r="B24" i="125" s="1"/>
  <c r="B25" i="125" s="1"/>
  <c r="B26" i="125" s="1"/>
  <c r="B27" i="125" s="1"/>
  <c r="B28" i="125" s="1"/>
  <c r="B29" i="125" s="1"/>
  <c r="B30" i="125" s="1"/>
  <c r="B31" i="125" s="1"/>
  <c r="B32" i="125" s="1"/>
  <c r="B33" i="125" s="1"/>
  <c r="B34" i="125" s="1"/>
  <c r="B35" i="125" s="1"/>
  <c r="B36" i="125" s="1"/>
  <c r="B37" i="125" s="1"/>
  <c r="B11" i="125"/>
  <c r="R96" i="97"/>
  <c r="C20" i="125" s="1"/>
  <c r="L96" i="97"/>
  <c r="E20" i="125" s="1"/>
  <c r="E21" i="125" s="1"/>
  <c r="E22" i="125" s="1"/>
  <c r="E23" i="125" s="1"/>
  <c r="E24" i="125" s="1"/>
  <c r="E25" i="125" s="1"/>
  <c r="E26" i="125" s="1"/>
  <c r="E27" i="125" s="1"/>
  <c r="E28" i="125" s="1"/>
  <c r="E29" i="125" s="1"/>
  <c r="E30" i="125" s="1"/>
  <c r="E31" i="125" s="1"/>
  <c r="E32" i="125" s="1"/>
  <c r="E33" i="125" s="1"/>
  <c r="E34" i="125" s="1"/>
  <c r="E35" i="125" s="1"/>
  <c r="E36" i="125" s="1"/>
  <c r="E37" i="125" s="1"/>
  <c r="S17" i="124"/>
  <c r="S18" i="124" s="1"/>
  <c r="S19" i="124" s="1"/>
  <c r="S20" i="124" s="1"/>
  <c r="S21" i="124" s="1"/>
  <c r="S22" i="124" s="1"/>
  <c r="R94" i="97"/>
  <c r="C22" i="124" s="1"/>
  <c r="L94" i="97"/>
  <c r="E22" i="124" s="1"/>
  <c r="E23" i="124" s="1"/>
  <c r="E24" i="124" s="1"/>
  <c r="E25" i="124" s="1"/>
  <c r="E26" i="124" s="1"/>
  <c r="E27" i="124" s="1"/>
  <c r="E28" i="124" s="1"/>
  <c r="E29" i="124" s="1"/>
  <c r="E30" i="124" s="1"/>
  <c r="E31" i="124" s="1"/>
  <c r="E32" i="124" s="1"/>
  <c r="E33" i="124" s="1"/>
  <c r="E34" i="124" s="1"/>
  <c r="E35" i="124" s="1"/>
  <c r="E36" i="124" s="1"/>
  <c r="E37" i="124" s="1"/>
  <c r="C63" i="124"/>
  <c r="D47" i="124" s="1"/>
  <c r="D46" i="124"/>
  <c r="B60" i="124"/>
  <c r="D49" i="124"/>
  <c r="C49" i="124"/>
  <c r="D48" i="124"/>
  <c r="C48" i="124"/>
  <c r="C47" i="124"/>
  <c r="C46" i="124"/>
  <c r="C45" i="124"/>
  <c r="B12" i="124"/>
  <c r="B13" i="124" s="1"/>
  <c r="B14" i="124" s="1"/>
  <c r="B15" i="124" s="1"/>
  <c r="B16" i="124" s="1"/>
  <c r="B17" i="124" s="1"/>
  <c r="B18" i="124" s="1"/>
  <c r="B19" i="124" s="1"/>
  <c r="B20" i="124" s="1"/>
  <c r="B21" i="124" s="1"/>
  <c r="B22" i="124" s="1"/>
  <c r="B23" i="124" s="1"/>
  <c r="B24" i="124" s="1"/>
  <c r="B25" i="124" s="1"/>
  <c r="B26" i="124" s="1"/>
  <c r="B27" i="124" s="1"/>
  <c r="B28" i="124" s="1"/>
  <c r="B29" i="124" s="1"/>
  <c r="B30" i="124" s="1"/>
  <c r="B31" i="124" s="1"/>
  <c r="B32" i="124" s="1"/>
  <c r="B33" i="124" s="1"/>
  <c r="B34" i="124" s="1"/>
  <c r="B35" i="124" s="1"/>
  <c r="B36" i="124" s="1"/>
  <c r="B37" i="124" s="1"/>
  <c r="B11" i="124"/>
  <c r="S17" i="123"/>
  <c r="S18" i="123" s="1"/>
  <c r="S19" i="123" s="1"/>
  <c r="S20" i="123" s="1"/>
  <c r="S21" i="123" s="1"/>
  <c r="S22" i="123" s="1"/>
  <c r="C63" i="123"/>
  <c r="D47" i="123" s="1"/>
  <c r="D46" i="123"/>
  <c r="B60" i="123"/>
  <c r="D49" i="123"/>
  <c r="C49" i="123"/>
  <c r="D48" i="123"/>
  <c r="C48" i="123"/>
  <c r="C47" i="123"/>
  <c r="C46" i="123"/>
  <c r="C45" i="123"/>
  <c r="B11" i="123"/>
  <c r="B12" i="123" s="1"/>
  <c r="B13" i="123" s="1"/>
  <c r="B14" i="123" s="1"/>
  <c r="B15" i="123" s="1"/>
  <c r="B16" i="123" s="1"/>
  <c r="B17" i="123" s="1"/>
  <c r="B18" i="123" s="1"/>
  <c r="B19" i="123" s="1"/>
  <c r="B20" i="123" s="1"/>
  <c r="B21" i="123" s="1"/>
  <c r="B22" i="123" s="1"/>
  <c r="B23" i="123" s="1"/>
  <c r="B24" i="123" s="1"/>
  <c r="B25" i="123" s="1"/>
  <c r="B26" i="123" s="1"/>
  <c r="B27" i="123" s="1"/>
  <c r="B28" i="123" s="1"/>
  <c r="B29" i="123" s="1"/>
  <c r="B30" i="123" s="1"/>
  <c r="B31" i="123" s="1"/>
  <c r="B32" i="123" s="1"/>
  <c r="B33" i="123" s="1"/>
  <c r="B34" i="123" s="1"/>
  <c r="B35" i="123" s="1"/>
  <c r="B36" i="123" s="1"/>
  <c r="B37" i="123" s="1"/>
  <c r="R92" i="97"/>
  <c r="C22" i="123" s="1"/>
  <c r="L92" i="97"/>
  <c r="E22" i="123" s="1"/>
  <c r="E23" i="123" s="1"/>
  <c r="E24" i="123" s="1"/>
  <c r="E25" i="123" s="1"/>
  <c r="E26" i="123" s="1"/>
  <c r="E27" i="123" s="1"/>
  <c r="E28" i="123" s="1"/>
  <c r="E29" i="123" s="1"/>
  <c r="E30" i="123" s="1"/>
  <c r="E31" i="123" s="1"/>
  <c r="E32" i="123" s="1"/>
  <c r="E33" i="123" s="1"/>
  <c r="E34" i="123" s="1"/>
  <c r="E35" i="123" s="1"/>
  <c r="E36" i="123" s="1"/>
  <c r="E37" i="123" s="1"/>
  <c r="F24" i="119" l="1"/>
  <c r="F25" i="119" s="1"/>
  <c r="F26" i="119" s="1"/>
  <c r="F27" i="119" s="1"/>
  <c r="F28" i="119" s="1"/>
  <c r="F29" i="119" s="1"/>
  <c r="F30" i="119" s="1"/>
  <c r="F31" i="119" s="1"/>
  <c r="F32" i="119" s="1"/>
  <c r="F33" i="119" s="1"/>
  <c r="F34" i="119" s="1"/>
  <c r="F35" i="119" s="1"/>
  <c r="F36" i="119" s="1"/>
  <c r="F37" i="119" s="1"/>
  <c r="F23" i="159"/>
  <c r="F24" i="159" s="1"/>
  <c r="F25" i="159" s="1"/>
  <c r="F26" i="159" s="1"/>
  <c r="D21" i="126"/>
  <c r="D22" i="126" s="1"/>
  <c r="F23" i="120"/>
  <c r="F24" i="120" s="1"/>
  <c r="F25" i="120" s="1"/>
  <c r="F26" i="120" s="1"/>
  <c r="F27" i="120" s="1"/>
  <c r="F28" i="120" s="1"/>
  <c r="F29" i="120" s="1"/>
  <c r="F30" i="120" s="1"/>
  <c r="F31" i="120" s="1"/>
  <c r="F32" i="120" s="1"/>
  <c r="F33" i="120" s="1"/>
  <c r="F34" i="120" s="1"/>
  <c r="F35" i="120" s="1"/>
  <c r="F36" i="120" s="1"/>
  <c r="F37" i="120" s="1"/>
  <c r="AE9" i="131"/>
  <c r="G28" i="155"/>
  <c r="J28" i="155" s="1"/>
  <c r="K28" i="155" s="1"/>
  <c r="F29" i="155"/>
  <c r="L28" i="155"/>
  <c r="F28" i="156"/>
  <c r="G27" i="156"/>
  <c r="J27" i="156" s="1"/>
  <c r="K27" i="156" s="1"/>
  <c r="L27" i="156"/>
  <c r="K17" i="131" s="1"/>
  <c r="K26" i="157"/>
  <c r="K27" i="155"/>
  <c r="L16" i="131"/>
  <c r="L26" i="156"/>
  <c r="G26" i="156"/>
  <c r="J26" i="156" s="1"/>
  <c r="F28" i="157"/>
  <c r="L27" i="157"/>
  <c r="L17" i="131" s="1"/>
  <c r="G27" i="157"/>
  <c r="J27" i="157" s="1"/>
  <c r="K27" i="157" s="1"/>
  <c r="D22" i="123"/>
  <c r="D23" i="123" s="1"/>
  <c r="K23" i="123" s="1"/>
  <c r="BD13" i="131" s="1"/>
  <c r="C60" i="132"/>
  <c r="F20" i="132" s="1"/>
  <c r="F21" i="132" s="1"/>
  <c r="F22" i="132" s="1"/>
  <c r="F23" i="132" s="1"/>
  <c r="F24" i="132" s="1"/>
  <c r="F25" i="132" s="1"/>
  <c r="F26" i="132" s="1"/>
  <c r="F27" i="132" s="1"/>
  <c r="F28" i="132" s="1"/>
  <c r="F29" i="132" s="1"/>
  <c r="F30" i="132" s="1"/>
  <c r="F31" i="132" s="1"/>
  <c r="F32" i="132" s="1"/>
  <c r="F33" i="132" s="1"/>
  <c r="F34" i="132" s="1"/>
  <c r="F35" i="132" s="1"/>
  <c r="F36" i="132" s="1"/>
  <c r="F37" i="132" s="1"/>
  <c r="L20" i="148"/>
  <c r="F21" i="135"/>
  <c r="F22" i="135" s="1"/>
  <c r="F23" i="135" s="1"/>
  <c r="F24" i="135" s="1"/>
  <c r="F25" i="135" s="1"/>
  <c r="F26" i="135" s="1"/>
  <c r="F27" i="135" s="1"/>
  <c r="F28" i="135" s="1"/>
  <c r="F29" i="135" s="1"/>
  <c r="F30" i="135" s="1"/>
  <c r="F31" i="135" s="1"/>
  <c r="F32" i="135" s="1"/>
  <c r="F33" i="135" s="1"/>
  <c r="F34" i="135" s="1"/>
  <c r="F35" i="135" s="1"/>
  <c r="F36" i="135" s="1"/>
  <c r="F37" i="135" s="1"/>
  <c r="F21" i="126"/>
  <c r="T21" i="126"/>
  <c r="T22" i="123"/>
  <c r="D20" i="125"/>
  <c r="K20" i="125" s="1"/>
  <c r="BA10" i="131" s="1"/>
  <c r="T20" i="125"/>
  <c r="B3" i="124"/>
  <c r="C52" i="124" s="1"/>
  <c r="B9" i="124" s="1"/>
  <c r="D22" i="124"/>
  <c r="D23" i="124" s="1"/>
  <c r="G23" i="124" s="1"/>
  <c r="I23" i="124" s="1"/>
  <c r="J23" i="124" s="1"/>
  <c r="C52" i="126"/>
  <c r="B9" i="126" s="1"/>
  <c r="B3" i="125"/>
  <c r="C52" i="125" s="1"/>
  <c r="B9" i="125" s="1"/>
  <c r="T22" i="124"/>
  <c r="G22" i="123"/>
  <c r="I22" i="123" s="1"/>
  <c r="B3" i="123"/>
  <c r="C52" i="123" s="1"/>
  <c r="B9" i="123" s="1"/>
  <c r="T17" i="122"/>
  <c r="T18" i="122" s="1"/>
  <c r="T19" i="122" s="1"/>
  <c r="D47" i="122"/>
  <c r="D46" i="122"/>
  <c r="B60" i="122"/>
  <c r="D49" i="122"/>
  <c r="C49" i="122"/>
  <c r="D48" i="122"/>
  <c r="C48" i="122"/>
  <c r="C47" i="122"/>
  <c r="C46" i="122"/>
  <c r="C45" i="122"/>
  <c r="C8" i="131"/>
  <c r="C7" i="131"/>
  <c r="C6" i="131"/>
  <c r="B11" i="122"/>
  <c r="B12" i="122" s="1"/>
  <c r="B13" i="122" s="1"/>
  <c r="B14" i="122" s="1"/>
  <c r="B15" i="122" s="1"/>
  <c r="B16" i="122" s="1"/>
  <c r="B17" i="122" s="1"/>
  <c r="B18" i="122" s="1"/>
  <c r="B19" i="122" s="1"/>
  <c r="B20" i="122" s="1"/>
  <c r="B21" i="122" s="1"/>
  <c r="B22" i="122" s="1"/>
  <c r="B23" i="122" s="1"/>
  <c r="B2" i="122"/>
  <c r="R72" i="97"/>
  <c r="L72" i="97"/>
  <c r="T17" i="121"/>
  <c r="D47" i="121"/>
  <c r="D46" i="121"/>
  <c r="B60" i="121"/>
  <c r="D49" i="121"/>
  <c r="C49" i="121"/>
  <c r="D48" i="121"/>
  <c r="C48" i="121"/>
  <c r="C47" i="121"/>
  <c r="C46" i="121"/>
  <c r="C45" i="121"/>
  <c r="F12" i="131"/>
  <c r="F11" i="131"/>
  <c r="F10" i="131"/>
  <c r="F9" i="131"/>
  <c r="F8" i="131"/>
  <c r="F7" i="131"/>
  <c r="F6" i="131"/>
  <c r="B11" i="121"/>
  <c r="B12" i="121" s="1"/>
  <c r="B13" i="121" s="1"/>
  <c r="B14" i="121" s="1"/>
  <c r="B15" i="121" s="1"/>
  <c r="B16" i="121" s="1"/>
  <c r="B17" i="121" s="1"/>
  <c r="B18" i="121" s="1"/>
  <c r="B19" i="121" s="1"/>
  <c r="B20" i="121" s="1"/>
  <c r="B21" i="121" s="1"/>
  <c r="B22" i="121" s="1"/>
  <c r="B23" i="121" s="1"/>
  <c r="B2" i="121"/>
  <c r="R70" i="97"/>
  <c r="C23" i="121" s="1"/>
  <c r="L70" i="97"/>
  <c r="E23" i="121" s="1"/>
  <c r="E24" i="121" s="1"/>
  <c r="E25" i="121" s="1"/>
  <c r="E26" i="121" s="1"/>
  <c r="E27" i="121" s="1"/>
  <c r="E28" i="121" s="1"/>
  <c r="E29" i="121" s="1"/>
  <c r="E30" i="121" s="1"/>
  <c r="E31" i="121" s="1"/>
  <c r="E32" i="121" s="1"/>
  <c r="E33" i="121" s="1"/>
  <c r="E34" i="121" s="1"/>
  <c r="E35" i="121" s="1"/>
  <c r="E36" i="121" s="1"/>
  <c r="E37" i="121" s="1"/>
  <c r="R68" i="97"/>
  <c r="L68" i="97"/>
  <c r="D47" i="120"/>
  <c r="D46" i="120"/>
  <c r="B60" i="120"/>
  <c r="D49" i="120"/>
  <c r="C49" i="120"/>
  <c r="D48" i="120"/>
  <c r="C48" i="120"/>
  <c r="C47" i="120"/>
  <c r="C46" i="120"/>
  <c r="C45" i="120"/>
  <c r="H12" i="131"/>
  <c r="H11" i="131"/>
  <c r="H10" i="131"/>
  <c r="H9" i="131"/>
  <c r="H8" i="131"/>
  <c r="H7" i="131"/>
  <c r="H6" i="131"/>
  <c r="B11" i="120"/>
  <c r="B12" i="120" s="1"/>
  <c r="B13" i="120" s="1"/>
  <c r="B14" i="120" s="1"/>
  <c r="B15" i="120" s="1"/>
  <c r="B16" i="120" s="1"/>
  <c r="B17" i="120" s="1"/>
  <c r="B18" i="120" s="1"/>
  <c r="B19" i="120" s="1"/>
  <c r="B20" i="120" s="1"/>
  <c r="B21" i="120" s="1"/>
  <c r="B22" i="120" s="1"/>
  <c r="B23" i="120" s="1"/>
  <c r="B2" i="120"/>
  <c r="T17" i="119"/>
  <c r="T18" i="119" s="1"/>
  <c r="T19" i="119" s="1"/>
  <c r="T20" i="119" s="1"/>
  <c r="T21" i="119" s="1"/>
  <c r="T22" i="119" s="1"/>
  <c r="D47" i="119"/>
  <c r="D46" i="119"/>
  <c r="B60" i="119"/>
  <c r="D49" i="119"/>
  <c r="C49" i="119"/>
  <c r="D48" i="119"/>
  <c r="C48" i="119"/>
  <c r="C47" i="119"/>
  <c r="C46" i="119"/>
  <c r="C45" i="119"/>
  <c r="G10" i="131"/>
  <c r="G9" i="131"/>
  <c r="G8" i="131"/>
  <c r="G7" i="131"/>
  <c r="G6" i="131"/>
  <c r="B11" i="119"/>
  <c r="B12" i="119" s="1"/>
  <c r="B13" i="119" s="1"/>
  <c r="B14" i="119" s="1"/>
  <c r="B15" i="119" s="1"/>
  <c r="B16" i="119" s="1"/>
  <c r="B17" i="119" s="1"/>
  <c r="B18" i="119" s="1"/>
  <c r="B19" i="119" s="1"/>
  <c r="B20" i="119" s="1"/>
  <c r="B2" i="119"/>
  <c r="R66" i="97"/>
  <c r="C23" i="119" s="1"/>
  <c r="L66" i="97"/>
  <c r="E23" i="119" s="1"/>
  <c r="E24" i="119" s="1"/>
  <c r="E25" i="119" s="1"/>
  <c r="E26" i="119" s="1"/>
  <c r="E27" i="119" s="1"/>
  <c r="E28" i="119" s="1"/>
  <c r="E29" i="119" s="1"/>
  <c r="E30" i="119" s="1"/>
  <c r="E31" i="119" s="1"/>
  <c r="E32" i="119" s="1"/>
  <c r="E33" i="119" s="1"/>
  <c r="E34" i="119" s="1"/>
  <c r="E35" i="119" s="1"/>
  <c r="E36" i="119" s="1"/>
  <c r="E37" i="119" s="1"/>
  <c r="T17" i="117"/>
  <c r="T18" i="117" s="1"/>
  <c r="T19" i="117" s="1"/>
  <c r="T20" i="117" s="1"/>
  <c r="T21" i="117" s="1"/>
  <c r="T22" i="117" s="1"/>
  <c r="D47" i="117"/>
  <c r="D46" i="117"/>
  <c r="B60" i="117"/>
  <c r="D49" i="117"/>
  <c r="C49" i="117"/>
  <c r="D48" i="117"/>
  <c r="C48" i="117"/>
  <c r="C47" i="117"/>
  <c r="C46" i="117"/>
  <c r="C45" i="117"/>
  <c r="E10" i="131"/>
  <c r="E9" i="131"/>
  <c r="E8" i="131"/>
  <c r="E7" i="131"/>
  <c r="E6" i="131"/>
  <c r="B11" i="117"/>
  <c r="B12" i="117" s="1"/>
  <c r="B13" i="117" s="1"/>
  <c r="B14" i="117" s="1"/>
  <c r="B15" i="117" s="1"/>
  <c r="B16" i="117" s="1"/>
  <c r="B17" i="117" s="1"/>
  <c r="B18" i="117" s="1"/>
  <c r="B19" i="117" s="1"/>
  <c r="B20" i="117" s="1"/>
  <c r="B21" i="117" s="1"/>
  <c r="B22" i="117" s="1"/>
  <c r="B23" i="117" s="1"/>
  <c r="B2" i="117"/>
  <c r="R64" i="97"/>
  <c r="C22" i="117" s="1"/>
  <c r="D22" i="117" s="1"/>
  <c r="L64" i="97"/>
  <c r="E22" i="117" s="1"/>
  <c r="E23" i="117" s="1"/>
  <c r="E24" i="117" s="1"/>
  <c r="E25" i="117" s="1"/>
  <c r="E26" i="117" s="1"/>
  <c r="E27" i="117" s="1"/>
  <c r="E28" i="117" s="1"/>
  <c r="E29" i="117" s="1"/>
  <c r="E30" i="117" s="1"/>
  <c r="E31" i="117" s="1"/>
  <c r="E32" i="117" s="1"/>
  <c r="E33" i="117" s="1"/>
  <c r="E34" i="117" s="1"/>
  <c r="E35" i="117" s="1"/>
  <c r="E36" i="117" s="1"/>
  <c r="E37" i="117" s="1"/>
  <c r="S80" i="103"/>
  <c r="S79" i="103"/>
  <c r="S78" i="103"/>
  <c r="Q78" i="103"/>
  <c r="S77" i="103"/>
  <c r="Q77" i="103"/>
  <c r="S76" i="103"/>
  <c r="Q76" i="103"/>
  <c r="S75" i="103"/>
  <c r="Q75" i="103"/>
  <c r="S74" i="103"/>
  <c r="Q74" i="103"/>
  <c r="S73" i="103"/>
  <c r="Q73" i="103"/>
  <c r="S72" i="103"/>
  <c r="Q72" i="103"/>
  <c r="S71" i="103"/>
  <c r="Q71" i="103"/>
  <c r="S70" i="103"/>
  <c r="Q70" i="103"/>
  <c r="S69" i="103"/>
  <c r="Q69" i="103"/>
  <c r="S68" i="103"/>
  <c r="Q68" i="103"/>
  <c r="S67" i="103"/>
  <c r="Q67" i="103"/>
  <c r="S66" i="103"/>
  <c r="Q66" i="103"/>
  <c r="S65" i="103"/>
  <c r="Q65" i="103"/>
  <c r="S64" i="103"/>
  <c r="Q64" i="103"/>
  <c r="S63" i="103"/>
  <c r="Q63" i="103"/>
  <c r="S62" i="103"/>
  <c r="Q62" i="103"/>
  <c r="S61" i="103"/>
  <c r="Q61" i="103"/>
  <c r="S60" i="103"/>
  <c r="Q60" i="103"/>
  <c r="S59" i="103"/>
  <c r="Q59" i="103"/>
  <c r="S58" i="103"/>
  <c r="T17" i="116"/>
  <c r="T18" i="116" s="1"/>
  <c r="T19" i="116" s="1"/>
  <c r="T20" i="116" s="1"/>
  <c r="T21" i="116" s="1"/>
  <c r="S26" i="103"/>
  <c r="S27" i="103"/>
  <c r="Q46" i="103"/>
  <c r="Q45" i="103"/>
  <c r="Q44" i="103"/>
  <c r="Q43" i="103"/>
  <c r="Q42" i="103"/>
  <c r="Q41" i="103"/>
  <c r="Q40" i="103"/>
  <c r="Q39" i="103"/>
  <c r="Q38" i="103"/>
  <c r="Q37" i="103"/>
  <c r="Q36" i="103"/>
  <c r="Q35" i="103"/>
  <c r="Q34" i="103"/>
  <c r="Q33" i="103"/>
  <c r="Q32" i="103"/>
  <c r="Q31" i="103"/>
  <c r="Q30" i="103"/>
  <c r="Q29" i="103"/>
  <c r="Q28" i="103"/>
  <c r="Q27" i="103"/>
  <c r="D47" i="116"/>
  <c r="B2" i="116"/>
  <c r="D5" i="131" s="1"/>
  <c r="B2" i="109"/>
  <c r="R62" i="97"/>
  <c r="C21" i="116" s="1"/>
  <c r="L62" i="97"/>
  <c r="E21" i="116" s="1"/>
  <c r="D46" i="116"/>
  <c r="B60" i="116"/>
  <c r="D49" i="116"/>
  <c r="C49" i="116"/>
  <c r="D48" i="116"/>
  <c r="C48" i="116"/>
  <c r="C47" i="116"/>
  <c r="C46" i="116"/>
  <c r="C45" i="116"/>
  <c r="D8" i="131"/>
  <c r="D7" i="131"/>
  <c r="D6" i="131"/>
  <c r="B11" i="116"/>
  <c r="B12" i="116" s="1"/>
  <c r="B13" i="116" s="1"/>
  <c r="B14" i="116" s="1"/>
  <c r="B15" i="116" s="1"/>
  <c r="B16" i="116" s="1"/>
  <c r="B17" i="116" s="1"/>
  <c r="B18" i="116" s="1"/>
  <c r="B19" i="116" s="1"/>
  <c r="B20" i="116" s="1"/>
  <c r="B21" i="116" s="1"/>
  <c r="R52" i="97"/>
  <c r="C21" i="136" s="1"/>
  <c r="L52" i="97"/>
  <c r="E21" i="136" s="1"/>
  <c r="R50" i="97"/>
  <c r="L50" i="97"/>
  <c r="C63" i="115"/>
  <c r="B3" i="115" s="1"/>
  <c r="B60" i="115"/>
  <c r="D49" i="115"/>
  <c r="C49" i="115"/>
  <c r="D48" i="115"/>
  <c r="C48" i="115"/>
  <c r="C47" i="115"/>
  <c r="D46" i="115"/>
  <c r="C46" i="115"/>
  <c r="C45" i="115"/>
  <c r="K19" i="115"/>
  <c r="AS9" i="131" s="1"/>
  <c r="K18" i="115"/>
  <c r="AS8" i="131" s="1"/>
  <c r="K17" i="115"/>
  <c r="AS7" i="131" s="1"/>
  <c r="K16" i="115"/>
  <c r="AS6" i="131" s="1"/>
  <c r="K15" i="115"/>
  <c r="K14" i="115"/>
  <c r="K13" i="115"/>
  <c r="K12" i="115"/>
  <c r="B11" i="115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2" i="115" s="1"/>
  <c r="B23" i="115" s="1"/>
  <c r="B24" i="115" s="1"/>
  <c r="B25" i="115" s="1"/>
  <c r="B26" i="115" s="1"/>
  <c r="B27" i="115" s="1"/>
  <c r="B28" i="115" s="1"/>
  <c r="B29" i="115" s="1"/>
  <c r="B30" i="115" s="1"/>
  <c r="B31" i="115" s="1"/>
  <c r="B32" i="115" s="1"/>
  <c r="B33" i="115" s="1"/>
  <c r="B34" i="115" s="1"/>
  <c r="B35" i="115" s="1"/>
  <c r="B36" i="115" s="1"/>
  <c r="B37" i="115" s="1"/>
  <c r="B2" i="115"/>
  <c r="D47" i="114"/>
  <c r="D46" i="114"/>
  <c r="B60" i="114"/>
  <c r="D49" i="114"/>
  <c r="C49" i="114"/>
  <c r="D48" i="114"/>
  <c r="C48" i="114"/>
  <c r="C47" i="114"/>
  <c r="C46" i="114"/>
  <c r="C45" i="114"/>
  <c r="AR9" i="131"/>
  <c r="AR8" i="131"/>
  <c r="AR7" i="131"/>
  <c r="AR6" i="131"/>
  <c r="B11" i="114"/>
  <c r="B12" i="114" s="1"/>
  <c r="B13" i="114" s="1"/>
  <c r="B14" i="114" s="1"/>
  <c r="B15" i="114" s="1"/>
  <c r="B16" i="114" s="1"/>
  <c r="B17" i="114" s="1"/>
  <c r="B18" i="114" s="1"/>
  <c r="B19" i="114" s="1"/>
  <c r="B20" i="114" s="1"/>
  <c r="AR5" i="131"/>
  <c r="R48" i="97"/>
  <c r="C20" i="115" s="1"/>
  <c r="L48" i="97"/>
  <c r="E20" i="115" s="1"/>
  <c r="E21" i="115" s="1"/>
  <c r="E22" i="115" s="1"/>
  <c r="E23" i="115" s="1"/>
  <c r="E24" i="115" s="1"/>
  <c r="E25" i="115" s="1"/>
  <c r="E26" i="115" s="1"/>
  <c r="E27" i="115" s="1"/>
  <c r="E28" i="115" s="1"/>
  <c r="E29" i="115" s="1"/>
  <c r="E30" i="115" s="1"/>
  <c r="E31" i="115" s="1"/>
  <c r="E32" i="115" s="1"/>
  <c r="E33" i="115" s="1"/>
  <c r="E34" i="115" s="1"/>
  <c r="E35" i="115" s="1"/>
  <c r="E36" i="115" s="1"/>
  <c r="E37" i="115" s="1"/>
  <c r="R46" i="97"/>
  <c r="C20" i="114" s="1"/>
  <c r="L46" i="97"/>
  <c r="E20" i="114" s="1"/>
  <c r="E21" i="114" s="1"/>
  <c r="E22" i="114" s="1"/>
  <c r="E23" i="114" s="1"/>
  <c r="E24" i="114" s="1"/>
  <c r="E25" i="114" s="1"/>
  <c r="E26" i="114" s="1"/>
  <c r="E27" i="114" s="1"/>
  <c r="E28" i="114" s="1"/>
  <c r="E29" i="114" s="1"/>
  <c r="E30" i="114" s="1"/>
  <c r="E31" i="114" s="1"/>
  <c r="E32" i="114" s="1"/>
  <c r="E33" i="114" s="1"/>
  <c r="E34" i="114" s="1"/>
  <c r="E35" i="114" s="1"/>
  <c r="E36" i="114" s="1"/>
  <c r="E37" i="114" s="1"/>
  <c r="C63" i="113"/>
  <c r="B3" i="113" s="1"/>
  <c r="B60" i="113"/>
  <c r="D49" i="113"/>
  <c r="C49" i="113"/>
  <c r="D48" i="113"/>
  <c r="C48" i="113"/>
  <c r="C47" i="113"/>
  <c r="D46" i="113"/>
  <c r="C46" i="113"/>
  <c r="C45" i="113"/>
  <c r="B24" i="113"/>
  <c r="B25" i="113" s="1"/>
  <c r="B26" i="113" s="1"/>
  <c r="B27" i="113" s="1"/>
  <c r="B28" i="113" s="1"/>
  <c r="B29" i="113" s="1"/>
  <c r="B30" i="113" s="1"/>
  <c r="B31" i="113" s="1"/>
  <c r="B32" i="113" s="1"/>
  <c r="B33" i="113" s="1"/>
  <c r="B34" i="113" s="1"/>
  <c r="B35" i="113" s="1"/>
  <c r="B36" i="113" s="1"/>
  <c r="B37" i="113" s="1"/>
  <c r="K19" i="113"/>
  <c r="AP9" i="131" s="1"/>
  <c r="K18" i="113"/>
  <c r="AP8" i="131" s="1"/>
  <c r="K17" i="113"/>
  <c r="AP7" i="131" s="1"/>
  <c r="K16" i="113"/>
  <c r="AP6" i="131" s="1"/>
  <c r="K15" i="113"/>
  <c r="K14" i="113"/>
  <c r="K13" i="113"/>
  <c r="K12" i="113"/>
  <c r="B11" i="113"/>
  <c r="B12" i="113" s="1"/>
  <c r="B13" i="113" s="1"/>
  <c r="B14" i="113" s="1"/>
  <c r="B15" i="113" s="1"/>
  <c r="B16" i="113" s="1"/>
  <c r="B17" i="113" s="1"/>
  <c r="B18" i="113" s="1"/>
  <c r="B19" i="113" s="1"/>
  <c r="B20" i="113" s="1"/>
  <c r="B21" i="113" s="1"/>
  <c r="B22" i="113" s="1"/>
  <c r="B23" i="113" s="1"/>
  <c r="B2" i="113"/>
  <c r="C63" i="111"/>
  <c r="D47" i="111" s="1"/>
  <c r="D47" i="112"/>
  <c r="R44" i="97"/>
  <c r="C20" i="113" s="1"/>
  <c r="D20" i="113" s="1"/>
  <c r="L44" i="97"/>
  <c r="E20" i="113" s="1"/>
  <c r="E21" i="113" s="1"/>
  <c r="E22" i="113" s="1"/>
  <c r="E23" i="113" s="1"/>
  <c r="E24" i="113" s="1"/>
  <c r="E25" i="113" s="1"/>
  <c r="E26" i="113" s="1"/>
  <c r="E27" i="113" s="1"/>
  <c r="E28" i="113" s="1"/>
  <c r="E29" i="113" s="1"/>
  <c r="E30" i="113" s="1"/>
  <c r="E31" i="113" s="1"/>
  <c r="E32" i="113" s="1"/>
  <c r="E33" i="113" s="1"/>
  <c r="E34" i="113" s="1"/>
  <c r="E35" i="113" s="1"/>
  <c r="E36" i="113" s="1"/>
  <c r="E37" i="113" s="1"/>
  <c r="R42" i="97"/>
  <c r="C20" i="112" s="1"/>
  <c r="L42" i="97"/>
  <c r="E20" i="112" s="1"/>
  <c r="E21" i="112" s="1"/>
  <c r="E22" i="112" s="1"/>
  <c r="E23" i="112" s="1"/>
  <c r="E24" i="112" s="1"/>
  <c r="E25" i="112" s="1"/>
  <c r="E26" i="112" s="1"/>
  <c r="E27" i="112" s="1"/>
  <c r="E28" i="112" s="1"/>
  <c r="E29" i="112" s="1"/>
  <c r="E30" i="112" s="1"/>
  <c r="E31" i="112" s="1"/>
  <c r="E32" i="112" s="1"/>
  <c r="E33" i="112" s="1"/>
  <c r="E34" i="112" s="1"/>
  <c r="E35" i="112" s="1"/>
  <c r="E36" i="112" s="1"/>
  <c r="E37" i="112" s="1"/>
  <c r="D46" i="112"/>
  <c r="B60" i="112"/>
  <c r="D49" i="112"/>
  <c r="C49" i="112"/>
  <c r="D48" i="112"/>
  <c r="C48" i="112"/>
  <c r="C47" i="112"/>
  <c r="C46" i="112"/>
  <c r="C45" i="112"/>
  <c r="AO9" i="131"/>
  <c r="AO8" i="131"/>
  <c r="AO7" i="131"/>
  <c r="AO6" i="131"/>
  <c r="B11" i="112"/>
  <c r="B12" i="112" s="1"/>
  <c r="B13" i="112" s="1"/>
  <c r="B14" i="112" s="1"/>
  <c r="B15" i="112" s="1"/>
  <c r="B16" i="112" s="1"/>
  <c r="B17" i="112" s="1"/>
  <c r="B18" i="112" s="1"/>
  <c r="B19" i="112" s="1"/>
  <c r="B20" i="112" s="1"/>
  <c r="AO5" i="131"/>
  <c r="R40" i="97"/>
  <c r="C20" i="111" s="1"/>
  <c r="D20" i="111" s="1"/>
  <c r="L40" i="97"/>
  <c r="E20" i="111" s="1"/>
  <c r="E21" i="111" s="1"/>
  <c r="E22" i="111" s="1"/>
  <c r="E23" i="111" s="1"/>
  <c r="E24" i="111" s="1"/>
  <c r="E25" i="111" s="1"/>
  <c r="E26" i="111" s="1"/>
  <c r="E27" i="111" s="1"/>
  <c r="E28" i="111" s="1"/>
  <c r="E29" i="111" s="1"/>
  <c r="E30" i="111" s="1"/>
  <c r="E31" i="111" s="1"/>
  <c r="E32" i="111" s="1"/>
  <c r="E33" i="111" s="1"/>
  <c r="E34" i="111" s="1"/>
  <c r="E35" i="111" s="1"/>
  <c r="E36" i="111" s="1"/>
  <c r="E37" i="111" s="1"/>
  <c r="B2" i="111"/>
  <c r="B2" i="104"/>
  <c r="B2" i="98"/>
  <c r="U5" i="131" s="1"/>
  <c r="W5" i="131"/>
  <c r="B2" i="105"/>
  <c r="X5" i="131" s="1"/>
  <c r="X30" i="131" s="1"/>
  <c r="Y30" i="131" s="1"/>
  <c r="B2" i="107"/>
  <c r="B2" i="110"/>
  <c r="B60" i="111"/>
  <c r="D49" i="111"/>
  <c r="C49" i="111"/>
  <c r="D48" i="111"/>
  <c r="C48" i="111"/>
  <c r="C47" i="111"/>
  <c r="D46" i="111"/>
  <c r="C46" i="111"/>
  <c r="C45" i="111"/>
  <c r="K19" i="111"/>
  <c r="AJ9" i="131" s="1"/>
  <c r="K18" i="111"/>
  <c r="AJ8" i="131" s="1"/>
  <c r="K17" i="111"/>
  <c r="AJ7" i="131" s="1"/>
  <c r="K16" i="111"/>
  <c r="AJ6" i="131" s="1"/>
  <c r="K15" i="111"/>
  <c r="K14" i="111"/>
  <c r="K13" i="111"/>
  <c r="B13" i="111"/>
  <c r="B14" i="111" s="1"/>
  <c r="B15" i="111" s="1"/>
  <c r="B16" i="111" s="1"/>
  <c r="B17" i="111" s="1"/>
  <c r="B18" i="111" s="1"/>
  <c r="B19" i="111" s="1"/>
  <c r="B20" i="111" s="1"/>
  <c r="B21" i="111" s="1"/>
  <c r="B22" i="111" s="1"/>
  <c r="B23" i="111" s="1"/>
  <c r="B24" i="111" s="1"/>
  <c r="B25" i="111" s="1"/>
  <c r="B26" i="111" s="1"/>
  <c r="B27" i="111" s="1"/>
  <c r="B28" i="111" s="1"/>
  <c r="B29" i="111" s="1"/>
  <c r="B30" i="111" s="1"/>
  <c r="B31" i="111" s="1"/>
  <c r="B32" i="111" s="1"/>
  <c r="B33" i="111" s="1"/>
  <c r="B34" i="111" s="1"/>
  <c r="B35" i="111" s="1"/>
  <c r="B36" i="111" s="1"/>
  <c r="B37" i="111" s="1"/>
  <c r="K12" i="111"/>
  <c r="B12" i="111"/>
  <c r="B11" i="111"/>
  <c r="AI9" i="131"/>
  <c r="AK9" i="131" s="1"/>
  <c r="R38" i="97"/>
  <c r="L38" i="97"/>
  <c r="D47" i="110"/>
  <c r="D46" i="110"/>
  <c r="B60" i="110"/>
  <c r="D49" i="110"/>
  <c r="C49" i="110"/>
  <c r="D48" i="110"/>
  <c r="C48" i="110"/>
  <c r="C47" i="110"/>
  <c r="C46" i="110"/>
  <c r="C45" i="110"/>
  <c r="AI8" i="131"/>
  <c r="AI7" i="131"/>
  <c r="AI6" i="131"/>
  <c r="B11" i="110"/>
  <c r="B12" i="110" s="1"/>
  <c r="B13" i="110" s="1"/>
  <c r="B14" i="110" s="1"/>
  <c r="B15" i="110" s="1"/>
  <c r="B16" i="110" s="1"/>
  <c r="B17" i="110" s="1"/>
  <c r="B18" i="110" s="1"/>
  <c r="B19" i="110" s="1"/>
  <c r="B3" i="109"/>
  <c r="C52" i="109" s="1"/>
  <c r="B9" i="109" s="1"/>
  <c r="D46" i="109"/>
  <c r="B60" i="109"/>
  <c r="D49" i="109"/>
  <c r="C49" i="109"/>
  <c r="D48" i="109"/>
  <c r="C48" i="109"/>
  <c r="C47" i="109"/>
  <c r="C46" i="109"/>
  <c r="C45" i="109"/>
  <c r="O8" i="131"/>
  <c r="O7" i="131"/>
  <c r="O6" i="131"/>
  <c r="B12" i="109"/>
  <c r="B13" i="109" s="1"/>
  <c r="B14" i="109" s="1"/>
  <c r="B15" i="109" s="1"/>
  <c r="B16" i="109" s="1"/>
  <c r="B17" i="109" s="1"/>
  <c r="B18" i="109" s="1"/>
  <c r="B19" i="109" s="1"/>
  <c r="B20" i="109" s="1"/>
  <c r="B21" i="109" s="1"/>
  <c r="B22" i="109" s="1"/>
  <c r="B23" i="109" s="1"/>
  <c r="B11" i="109"/>
  <c r="B2" i="108"/>
  <c r="C63" i="108"/>
  <c r="B3" i="108" s="1"/>
  <c r="C52" i="108" s="1"/>
  <c r="B9" i="108" s="1"/>
  <c r="D46" i="108"/>
  <c r="B60" i="108"/>
  <c r="D49" i="108"/>
  <c r="C49" i="108"/>
  <c r="D48" i="108"/>
  <c r="C48" i="108"/>
  <c r="C47" i="108"/>
  <c r="C46" i="108"/>
  <c r="C45" i="108"/>
  <c r="K19" i="108"/>
  <c r="AM9" i="131" s="1"/>
  <c r="K18" i="108"/>
  <c r="AM8" i="131" s="1"/>
  <c r="K17" i="108"/>
  <c r="AM7" i="131" s="1"/>
  <c r="K16" i="108"/>
  <c r="AM6" i="131" s="1"/>
  <c r="K15" i="108"/>
  <c r="K14" i="108"/>
  <c r="K13" i="108"/>
  <c r="K12" i="108"/>
  <c r="B11" i="108"/>
  <c r="B12" i="108" s="1"/>
  <c r="B13" i="108" s="1"/>
  <c r="B14" i="108" s="1"/>
  <c r="B15" i="108" s="1"/>
  <c r="B16" i="108" s="1"/>
  <c r="B17" i="108" s="1"/>
  <c r="B18" i="108" s="1"/>
  <c r="B19" i="108" s="1"/>
  <c r="B20" i="108" s="1"/>
  <c r="B21" i="108" s="1"/>
  <c r="B22" i="108" s="1"/>
  <c r="B23" i="108" s="1"/>
  <c r="B24" i="108" s="1"/>
  <c r="B25" i="108" s="1"/>
  <c r="B26" i="108" s="1"/>
  <c r="B27" i="108" s="1"/>
  <c r="B28" i="108" s="1"/>
  <c r="B29" i="108" s="1"/>
  <c r="B30" i="108" s="1"/>
  <c r="B31" i="108" s="1"/>
  <c r="B32" i="108" s="1"/>
  <c r="B33" i="108" s="1"/>
  <c r="B34" i="108" s="1"/>
  <c r="B35" i="108" s="1"/>
  <c r="B36" i="108" s="1"/>
  <c r="B37" i="108" s="1"/>
  <c r="AL5" i="131"/>
  <c r="Z5" i="131"/>
  <c r="C63" i="107"/>
  <c r="D47" i="107" s="1"/>
  <c r="D46" i="107"/>
  <c r="B60" i="107"/>
  <c r="D49" i="107"/>
  <c r="C49" i="107"/>
  <c r="D48" i="107"/>
  <c r="C48" i="107"/>
  <c r="C47" i="107"/>
  <c r="C46" i="107"/>
  <c r="C45" i="107"/>
  <c r="K18" i="107"/>
  <c r="AA8" i="131" s="1"/>
  <c r="K17" i="107"/>
  <c r="AA7" i="131" s="1"/>
  <c r="K16" i="107"/>
  <c r="AA6" i="131" s="1"/>
  <c r="K15" i="107"/>
  <c r="K14" i="107"/>
  <c r="K13" i="107"/>
  <c r="K12" i="107"/>
  <c r="B11" i="107"/>
  <c r="B12" i="107" s="1"/>
  <c r="B13" i="107" s="1"/>
  <c r="B14" i="107" s="1"/>
  <c r="B15" i="107" s="1"/>
  <c r="B16" i="107" s="1"/>
  <c r="B17" i="107" s="1"/>
  <c r="B18" i="107" s="1"/>
  <c r="B19" i="107" s="1"/>
  <c r="B20" i="107" s="1"/>
  <c r="B21" i="107" s="1"/>
  <c r="B22" i="107" s="1"/>
  <c r="B23" i="107" s="1"/>
  <c r="B24" i="107" s="1"/>
  <c r="B25" i="107" s="1"/>
  <c r="B26" i="107" s="1"/>
  <c r="B27" i="107" s="1"/>
  <c r="B28" i="107" s="1"/>
  <c r="B29" i="107" s="1"/>
  <c r="B30" i="107" s="1"/>
  <c r="B31" i="107" s="1"/>
  <c r="B32" i="107" s="1"/>
  <c r="B33" i="107" s="1"/>
  <c r="B34" i="107" s="1"/>
  <c r="B35" i="107" s="1"/>
  <c r="B36" i="107" s="1"/>
  <c r="B37" i="107" s="1"/>
  <c r="C63" i="105"/>
  <c r="F27" i="159" l="1"/>
  <c r="L26" i="159"/>
  <c r="G26" i="159"/>
  <c r="J26" i="159" s="1"/>
  <c r="K21" i="126"/>
  <c r="BB11" i="131" s="1"/>
  <c r="D24" i="123"/>
  <c r="G23" i="123"/>
  <c r="I23" i="123" s="1"/>
  <c r="J23" i="123" s="1"/>
  <c r="K16" i="131"/>
  <c r="G29" i="155"/>
  <c r="J29" i="155" s="1"/>
  <c r="F30" i="155"/>
  <c r="L29" i="155"/>
  <c r="F29" i="157"/>
  <c r="L28" i="157"/>
  <c r="L18" i="131" s="1"/>
  <c r="G28" i="157"/>
  <c r="J28" i="157" s="1"/>
  <c r="K28" i="157" s="1"/>
  <c r="F29" i="156"/>
  <c r="L28" i="156"/>
  <c r="K18" i="131" s="1"/>
  <c r="G28" i="156"/>
  <c r="J28" i="156" s="1"/>
  <c r="K28" i="156" s="1"/>
  <c r="K26" i="156"/>
  <c r="AT5" i="131"/>
  <c r="AR30" i="131"/>
  <c r="AO30" i="131"/>
  <c r="AQ5" i="131"/>
  <c r="AL30" i="131"/>
  <c r="AN5" i="131"/>
  <c r="B22" i="116"/>
  <c r="P21" i="116"/>
  <c r="D30" i="131"/>
  <c r="D34" i="131"/>
  <c r="B33" i="131"/>
  <c r="D33" i="131"/>
  <c r="D35" i="131"/>
  <c r="D44" i="131"/>
  <c r="B35" i="131"/>
  <c r="B45" i="131"/>
  <c r="B36" i="131"/>
  <c r="D51" i="131"/>
  <c r="C41" i="131"/>
  <c r="F41" i="131" s="1"/>
  <c r="B39" i="131"/>
  <c r="D42" i="131"/>
  <c r="B50" i="131"/>
  <c r="B40" i="131"/>
  <c r="B42" i="131"/>
  <c r="B43" i="131"/>
  <c r="B34" i="131"/>
  <c r="D41" i="131"/>
  <c r="D52" i="131"/>
  <c r="B53" i="131"/>
  <c r="D45" i="131"/>
  <c r="B44" i="131"/>
  <c r="B41" i="131"/>
  <c r="D36" i="131"/>
  <c r="D40" i="131"/>
  <c r="D43" i="131"/>
  <c r="B51" i="131"/>
  <c r="D50" i="131"/>
  <c r="B54" i="131"/>
  <c r="D53" i="131"/>
  <c r="B52" i="131"/>
  <c r="D39" i="131"/>
  <c r="C45" i="131"/>
  <c r="F45" i="131" s="1"/>
  <c r="D54" i="131"/>
  <c r="C53" i="131"/>
  <c r="F53" i="131" s="1"/>
  <c r="C52" i="131"/>
  <c r="F52" i="131" s="1"/>
  <c r="U30" i="131"/>
  <c r="V30" i="131" s="1"/>
  <c r="E23" i="120"/>
  <c r="E24" i="120" s="1"/>
  <c r="E25" i="120" s="1"/>
  <c r="E26" i="120" s="1"/>
  <c r="E27" i="120" s="1"/>
  <c r="E28" i="120" s="1"/>
  <c r="E29" i="120" s="1"/>
  <c r="E30" i="120" s="1"/>
  <c r="E31" i="120" s="1"/>
  <c r="E32" i="120" s="1"/>
  <c r="E33" i="120" s="1"/>
  <c r="E34" i="120" s="1"/>
  <c r="E35" i="120" s="1"/>
  <c r="E36" i="120" s="1"/>
  <c r="E37" i="120" s="1"/>
  <c r="C23" i="120"/>
  <c r="K22" i="123"/>
  <c r="BD12" i="131" s="1"/>
  <c r="C20" i="110"/>
  <c r="E20" i="110"/>
  <c r="G21" i="126"/>
  <c r="I21" i="126" s="1"/>
  <c r="J21" i="126" s="1"/>
  <c r="F22" i="126"/>
  <c r="F23" i="126" s="1"/>
  <c r="F24" i="126" s="1"/>
  <c r="F25" i="126" s="1"/>
  <c r="F26" i="126" s="1"/>
  <c r="F27" i="126" s="1"/>
  <c r="F28" i="126" s="1"/>
  <c r="F29" i="126" s="1"/>
  <c r="F30" i="126" s="1"/>
  <c r="F31" i="126" s="1"/>
  <c r="F32" i="126" s="1"/>
  <c r="F33" i="126" s="1"/>
  <c r="F34" i="126" s="1"/>
  <c r="F35" i="126" s="1"/>
  <c r="F36" i="126" s="1"/>
  <c r="F37" i="126" s="1"/>
  <c r="L21" i="148"/>
  <c r="Z30" i="131"/>
  <c r="AB5" i="131"/>
  <c r="W30" i="131"/>
  <c r="Y5" i="131"/>
  <c r="AT9" i="131"/>
  <c r="AQ7" i="131"/>
  <c r="AT6" i="131"/>
  <c r="AQ9" i="131"/>
  <c r="AK7" i="131"/>
  <c r="AK8" i="131"/>
  <c r="AQ6" i="131"/>
  <c r="AT7" i="131"/>
  <c r="D47" i="113"/>
  <c r="E21" i="135"/>
  <c r="E22" i="135" s="1"/>
  <c r="E23" i="135" s="1"/>
  <c r="E24" i="135" s="1"/>
  <c r="E25" i="135" s="1"/>
  <c r="E26" i="135" s="1"/>
  <c r="E27" i="135" s="1"/>
  <c r="E28" i="135" s="1"/>
  <c r="E29" i="135" s="1"/>
  <c r="E30" i="135" s="1"/>
  <c r="E31" i="135" s="1"/>
  <c r="E32" i="135" s="1"/>
  <c r="E33" i="135" s="1"/>
  <c r="E34" i="135" s="1"/>
  <c r="E35" i="135" s="1"/>
  <c r="E36" i="135" s="1"/>
  <c r="E37" i="135" s="1"/>
  <c r="G20" i="125"/>
  <c r="I20" i="125" s="1"/>
  <c r="J20" i="125" s="1"/>
  <c r="C21" i="135"/>
  <c r="D21" i="135" s="1"/>
  <c r="AQ8" i="131"/>
  <c r="AT8" i="131"/>
  <c r="AK6" i="131"/>
  <c r="C19" i="122"/>
  <c r="U19" i="122" s="1"/>
  <c r="E19" i="122"/>
  <c r="E20" i="122" s="1"/>
  <c r="E21" i="122" s="1"/>
  <c r="E22" i="122" s="1"/>
  <c r="E23" i="122" s="1"/>
  <c r="E24" i="122" s="1"/>
  <c r="E25" i="122" s="1"/>
  <c r="E26" i="122" s="1"/>
  <c r="E27" i="122" s="1"/>
  <c r="E28" i="122" s="1"/>
  <c r="E29" i="122" s="1"/>
  <c r="E30" i="122" s="1"/>
  <c r="E31" i="122" s="1"/>
  <c r="E32" i="122" s="1"/>
  <c r="E33" i="122" s="1"/>
  <c r="E34" i="122" s="1"/>
  <c r="E35" i="122" s="1"/>
  <c r="E36" i="122" s="1"/>
  <c r="E37" i="122" s="1"/>
  <c r="D21" i="125"/>
  <c r="D22" i="125" s="1"/>
  <c r="D23" i="125" s="1"/>
  <c r="D24" i="125" s="1"/>
  <c r="D25" i="125" s="1"/>
  <c r="D26" i="125" s="1"/>
  <c r="D27" i="125" s="1"/>
  <c r="D28" i="125" s="1"/>
  <c r="D29" i="125" s="1"/>
  <c r="D30" i="125" s="1"/>
  <c r="D31" i="125" s="1"/>
  <c r="D32" i="125" s="1"/>
  <c r="D33" i="125" s="1"/>
  <c r="D34" i="125" s="1"/>
  <c r="D35" i="125" s="1"/>
  <c r="D36" i="125" s="1"/>
  <c r="D37" i="125" s="1"/>
  <c r="Y21" i="135"/>
  <c r="D47" i="115"/>
  <c r="U21" i="135"/>
  <c r="E22" i="136"/>
  <c r="E23" i="136" s="1"/>
  <c r="E24" i="136" s="1"/>
  <c r="E25" i="136" s="1"/>
  <c r="E26" i="136" s="1"/>
  <c r="E27" i="136" s="1"/>
  <c r="E28" i="136" s="1"/>
  <c r="E29" i="136" s="1"/>
  <c r="E30" i="136" s="1"/>
  <c r="E31" i="136" s="1"/>
  <c r="E32" i="136" s="1"/>
  <c r="E33" i="136" s="1"/>
  <c r="E34" i="136" s="1"/>
  <c r="E35" i="136" s="1"/>
  <c r="E36" i="136" s="1"/>
  <c r="E37" i="136" s="1"/>
  <c r="X21" i="136"/>
  <c r="U21" i="136"/>
  <c r="D21" i="136"/>
  <c r="D47" i="108"/>
  <c r="K23" i="124"/>
  <c r="D24" i="124"/>
  <c r="K24" i="124" s="1"/>
  <c r="B21" i="114"/>
  <c r="D20" i="112"/>
  <c r="D21" i="112" s="1"/>
  <c r="O22" i="123"/>
  <c r="D23" i="119"/>
  <c r="J22" i="123"/>
  <c r="B21" i="112"/>
  <c r="B3" i="114"/>
  <c r="C52" i="114" s="1"/>
  <c r="B9" i="114" s="1"/>
  <c r="B20" i="110"/>
  <c r="B24" i="109"/>
  <c r="D47" i="109"/>
  <c r="B24" i="122"/>
  <c r="B24" i="117"/>
  <c r="D20" i="114"/>
  <c r="D21" i="116"/>
  <c r="D23" i="121"/>
  <c r="D24" i="121" s="1"/>
  <c r="L24" i="121" s="1"/>
  <c r="G22" i="124"/>
  <c r="I22" i="124" s="1"/>
  <c r="D20" i="110"/>
  <c r="D20" i="115"/>
  <c r="G20" i="115" s="1"/>
  <c r="I20" i="115" s="1"/>
  <c r="K22" i="124"/>
  <c r="B3" i="120"/>
  <c r="B24" i="120"/>
  <c r="D23" i="120"/>
  <c r="D24" i="120" s="1"/>
  <c r="B24" i="121"/>
  <c r="B3" i="121"/>
  <c r="C52" i="121" s="1"/>
  <c r="B9" i="121" s="1"/>
  <c r="B21" i="119"/>
  <c r="D23" i="126"/>
  <c r="O23" i="123"/>
  <c r="G24" i="123"/>
  <c r="I24" i="123" s="1"/>
  <c r="J24" i="123" s="1"/>
  <c r="D25" i="123"/>
  <c r="K24" i="123"/>
  <c r="BD14" i="131" s="1"/>
  <c r="U22" i="117"/>
  <c r="B3" i="122"/>
  <c r="C52" i="122" s="1"/>
  <c r="B9" i="122" s="1"/>
  <c r="T17" i="120"/>
  <c r="T18" i="120" s="1"/>
  <c r="T19" i="120" s="1"/>
  <c r="T20" i="120" s="1"/>
  <c r="T21" i="120" s="1"/>
  <c r="T22" i="120" s="1"/>
  <c r="T23" i="120" s="1"/>
  <c r="U23" i="120" s="1"/>
  <c r="T18" i="121"/>
  <c r="T19" i="121" s="1"/>
  <c r="T20" i="121" s="1"/>
  <c r="T21" i="121" s="1"/>
  <c r="T22" i="121" s="1"/>
  <c r="T23" i="121" s="1"/>
  <c r="U23" i="121" s="1"/>
  <c r="C52" i="120"/>
  <c r="B9" i="120" s="1"/>
  <c r="T23" i="119"/>
  <c r="U23" i="119" s="1"/>
  <c r="G12" i="131"/>
  <c r="G11" i="131"/>
  <c r="B3" i="119"/>
  <c r="C52" i="119" s="1"/>
  <c r="B9" i="119" s="1"/>
  <c r="E11" i="131"/>
  <c r="B3" i="117"/>
  <c r="C52" i="117" s="1"/>
  <c r="B9" i="117" s="1"/>
  <c r="E22" i="116"/>
  <c r="E23" i="116" s="1"/>
  <c r="E24" i="116" s="1"/>
  <c r="E25" i="116" s="1"/>
  <c r="E26" i="116" s="1"/>
  <c r="E27" i="116" s="1"/>
  <c r="E28" i="116" s="1"/>
  <c r="E29" i="116" s="1"/>
  <c r="E30" i="116" s="1"/>
  <c r="E31" i="116" s="1"/>
  <c r="E32" i="116" s="1"/>
  <c r="E33" i="116" s="1"/>
  <c r="E34" i="116" s="1"/>
  <c r="E35" i="116" s="1"/>
  <c r="E36" i="116" s="1"/>
  <c r="E37" i="116" s="1"/>
  <c r="B3" i="116"/>
  <c r="C52" i="116" s="1"/>
  <c r="B9" i="116" s="1"/>
  <c r="D9" i="131"/>
  <c r="C52" i="115"/>
  <c r="B9" i="115" s="1"/>
  <c r="K20" i="115"/>
  <c r="AS10" i="131" s="1"/>
  <c r="C52" i="113"/>
  <c r="B9" i="113" s="1"/>
  <c r="G20" i="113"/>
  <c r="I20" i="113" s="1"/>
  <c r="K20" i="113"/>
  <c r="AP10" i="131" s="1"/>
  <c r="D21" i="113"/>
  <c r="B3" i="111"/>
  <c r="C52" i="111" s="1"/>
  <c r="B9" i="111" s="1"/>
  <c r="B3" i="112"/>
  <c r="C52" i="112" s="1"/>
  <c r="B9" i="112" s="1"/>
  <c r="G20" i="111"/>
  <c r="I20" i="111" s="1"/>
  <c r="D21" i="111"/>
  <c r="D22" i="111" s="1"/>
  <c r="D23" i="111" s="1"/>
  <c r="K20" i="111"/>
  <c r="AJ10" i="131" s="1"/>
  <c r="E21" i="110"/>
  <c r="E22" i="110" s="1"/>
  <c r="E23" i="110" s="1"/>
  <c r="E24" i="110" s="1"/>
  <c r="E25" i="110" s="1"/>
  <c r="E26" i="110" s="1"/>
  <c r="E27" i="110" s="1"/>
  <c r="E28" i="110" s="1"/>
  <c r="E29" i="110" s="1"/>
  <c r="E30" i="110" s="1"/>
  <c r="E31" i="110" s="1"/>
  <c r="E32" i="110" s="1"/>
  <c r="E33" i="110" s="1"/>
  <c r="E34" i="110" s="1"/>
  <c r="E35" i="110" s="1"/>
  <c r="E36" i="110" s="1"/>
  <c r="E37" i="110" s="1"/>
  <c r="B3" i="110"/>
  <c r="C52" i="110" s="1"/>
  <c r="B9" i="110" s="1"/>
  <c r="B3" i="107"/>
  <c r="C52" i="107" s="1"/>
  <c r="B9" i="107" s="1"/>
  <c r="K26" i="159" l="1"/>
  <c r="N16" i="131"/>
  <c r="F28" i="159"/>
  <c r="L27" i="159"/>
  <c r="N17" i="131" s="1"/>
  <c r="G27" i="159"/>
  <c r="J27" i="159" s="1"/>
  <c r="K27" i="159" s="1"/>
  <c r="F30" i="157"/>
  <c r="L29" i="157"/>
  <c r="G29" i="157"/>
  <c r="J29" i="157" s="1"/>
  <c r="K29" i="155"/>
  <c r="F30" i="156"/>
  <c r="L29" i="156"/>
  <c r="K19" i="131" s="1"/>
  <c r="G29" i="156"/>
  <c r="J29" i="156" s="1"/>
  <c r="K29" i="156" s="1"/>
  <c r="F31" i="155"/>
  <c r="L30" i="155"/>
  <c r="G30" i="155"/>
  <c r="J30" i="155" s="1"/>
  <c r="K30" i="155" s="1"/>
  <c r="B23" i="116"/>
  <c r="P22" i="116"/>
  <c r="K22" i="125"/>
  <c r="B57" i="131"/>
  <c r="D57" i="131"/>
  <c r="E27" i="153"/>
  <c r="E28" i="153" s="1"/>
  <c r="E29" i="153" s="1"/>
  <c r="E30" i="153" s="1"/>
  <c r="E31" i="153" s="1"/>
  <c r="E32" i="153" s="1"/>
  <c r="E33" i="153" s="1"/>
  <c r="E34" i="153" s="1"/>
  <c r="E35" i="153" s="1"/>
  <c r="E36" i="153" s="1"/>
  <c r="E37" i="153" s="1"/>
  <c r="D62" i="131"/>
  <c r="F14" i="131"/>
  <c r="E21" i="150"/>
  <c r="E22" i="150" s="1"/>
  <c r="E23" i="150" s="1"/>
  <c r="E24" i="150" s="1"/>
  <c r="E25" i="150" s="1"/>
  <c r="E26" i="150" s="1"/>
  <c r="E27" i="150" s="1"/>
  <c r="E28" i="150" s="1"/>
  <c r="E29" i="150" s="1"/>
  <c r="E30" i="150" s="1"/>
  <c r="E31" i="150" s="1"/>
  <c r="E32" i="150" s="1"/>
  <c r="E33" i="150" s="1"/>
  <c r="E34" i="150" s="1"/>
  <c r="E35" i="150" s="1"/>
  <c r="E36" i="150" s="1"/>
  <c r="E37" i="150" s="1"/>
  <c r="L22" i="148"/>
  <c r="G22" i="126"/>
  <c r="I22" i="126" s="1"/>
  <c r="J22" i="126" s="1"/>
  <c r="K22" i="126"/>
  <c r="BB12" i="131" s="1"/>
  <c r="K23" i="125"/>
  <c r="B55" i="131"/>
  <c r="D60" i="131"/>
  <c r="B63" i="131"/>
  <c r="D65" i="131"/>
  <c r="B69" i="131"/>
  <c r="D71" i="131"/>
  <c r="D59" i="131"/>
  <c r="B64" i="131"/>
  <c r="B56" i="131"/>
  <c r="D72" i="131"/>
  <c r="D61" i="131"/>
  <c r="B71" i="131"/>
  <c r="D55" i="131"/>
  <c r="B62" i="131"/>
  <c r="D63" i="131"/>
  <c r="B72" i="131"/>
  <c r="B61" i="131"/>
  <c r="B65" i="131"/>
  <c r="B60" i="131"/>
  <c r="B59" i="131"/>
  <c r="B70" i="131"/>
  <c r="B58" i="131"/>
  <c r="D58" i="131"/>
  <c r="D73" i="131"/>
  <c r="B73" i="131"/>
  <c r="D70" i="131"/>
  <c r="D69" i="131"/>
  <c r="D56" i="131"/>
  <c r="D64" i="131"/>
  <c r="BC13" i="131"/>
  <c r="BC14" i="131"/>
  <c r="G21" i="125"/>
  <c r="I21" i="125" s="1"/>
  <c r="J21" i="125" s="1"/>
  <c r="G23" i="125"/>
  <c r="I23" i="125" s="1"/>
  <c r="J23" i="125" s="1"/>
  <c r="K21" i="125"/>
  <c r="BA11" i="131" s="1"/>
  <c r="G22" i="125"/>
  <c r="I22" i="125" s="1"/>
  <c r="J22" i="125" s="1"/>
  <c r="D19" i="122"/>
  <c r="E24" i="140"/>
  <c r="E25" i="140" s="1"/>
  <c r="E26" i="140" s="1"/>
  <c r="E27" i="140" s="1"/>
  <c r="E28" i="140" s="1"/>
  <c r="E29" i="140" s="1"/>
  <c r="E30" i="140" s="1"/>
  <c r="E31" i="140" s="1"/>
  <c r="E32" i="140" s="1"/>
  <c r="E33" i="140" s="1"/>
  <c r="E34" i="140" s="1"/>
  <c r="E35" i="140" s="1"/>
  <c r="E36" i="140" s="1"/>
  <c r="E37" i="140" s="1"/>
  <c r="BC12" i="131"/>
  <c r="BA12" i="131"/>
  <c r="E20" i="139"/>
  <c r="E21" i="139" s="1"/>
  <c r="E22" i="139" s="1"/>
  <c r="E23" i="139" s="1"/>
  <c r="E24" i="139" s="1"/>
  <c r="E25" i="139" s="1"/>
  <c r="E26" i="139" s="1"/>
  <c r="E27" i="139" s="1"/>
  <c r="E28" i="139" s="1"/>
  <c r="E29" i="139" s="1"/>
  <c r="E30" i="139" s="1"/>
  <c r="E31" i="139" s="1"/>
  <c r="E32" i="139" s="1"/>
  <c r="E33" i="139" s="1"/>
  <c r="E34" i="139" s="1"/>
  <c r="E35" i="139" s="1"/>
  <c r="E36" i="139" s="1"/>
  <c r="E37" i="139" s="1"/>
  <c r="Y19" i="139"/>
  <c r="D19" i="139"/>
  <c r="U19" i="139"/>
  <c r="G24" i="124"/>
  <c r="I24" i="124" s="1"/>
  <c r="J24" i="124" s="1"/>
  <c r="D25" i="124"/>
  <c r="G25" i="124" s="1"/>
  <c r="I25" i="124" s="1"/>
  <c r="J25" i="124" s="1"/>
  <c r="G21" i="135"/>
  <c r="J21" i="135" s="1"/>
  <c r="L21" i="135"/>
  <c r="AU11" i="131" s="1"/>
  <c r="D22" i="135"/>
  <c r="D22" i="136"/>
  <c r="G21" i="136"/>
  <c r="I21" i="136" s="1"/>
  <c r="K21" i="136"/>
  <c r="AV11" i="131" s="1"/>
  <c r="D25" i="121"/>
  <c r="G25" i="121" s="1"/>
  <c r="D21" i="115"/>
  <c r="G21" i="115" s="1"/>
  <c r="I21" i="115" s="1"/>
  <c r="J21" i="115" s="1"/>
  <c r="G23" i="121"/>
  <c r="J23" i="121" s="1"/>
  <c r="G24" i="121"/>
  <c r="J24" i="121" s="1"/>
  <c r="K24" i="121" s="1"/>
  <c r="L23" i="121"/>
  <c r="D21" i="114"/>
  <c r="D22" i="114" s="1"/>
  <c r="L23" i="120"/>
  <c r="H13" i="131" s="1"/>
  <c r="B22" i="114"/>
  <c r="J20" i="113"/>
  <c r="J22" i="124"/>
  <c r="J20" i="111"/>
  <c r="J20" i="115"/>
  <c r="B22" i="112"/>
  <c r="B21" i="110"/>
  <c r="B25" i="109"/>
  <c r="B25" i="122"/>
  <c r="B25" i="117"/>
  <c r="G23" i="120"/>
  <c r="J23" i="120" s="1"/>
  <c r="B25" i="120"/>
  <c r="B25" i="121"/>
  <c r="B22" i="119"/>
  <c r="K23" i="126"/>
  <c r="BB13" i="131" s="1"/>
  <c r="D24" i="126"/>
  <c r="G23" i="126"/>
  <c r="I23" i="126" s="1"/>
  <c r="J23" i="126" s="1"/>
  <c r="K24" i="125"/>
  <c r="BA14" i="131" s="1"/>
  <c r="G24" i="125"/>
  <c r="I24" i="125" s="1"/>
  <c r="J24" i="125" s="1"/>
  <c r="O24" i="123"/>
  <c r="D26" i="123"/>
  <c r="G25" i="123"/>
  <c r="I25" i="123" s="1"/>
  <c r="J25" i="123" s="1"/>
  <c r="K25" i="123"/>
  <c r="BD15" i="131" s="1"/>
  <c r="L19" i="122"/>
  <c r="C9" i="131" s="1"/>
  <c r="D20" i="122"/>
  <c r="G19" i="122"/>
  <c r="L24" i="120"/>
  <c r="D25" i="120"/>
  <c r="G24" i="120"/>
  <c r="D24" i="119"/>
  <c r="L23" i="119"/>
  <c r="G13" i="131" s="1"/>
  <c r="G23" i="119"/>
  <c r="D23" i="117"/>
  <c r="D22" i="113"/>
  <c r="G21" i="113"/>
  <c r="I21" i="113" s="1"/>
  <c r="J21" i="113" s="1"/>
  <c r="K21" i="113"/>
  <c r="AP11" i="131" s="1"/>
  <c r="K22" i="111"/>
  <c r="AJ12" i="131" s="1"/>
  <c r="G22" i="111"/>
  <c r="I22" i="111" s="1"/>
  <c r="J22" i="111" s="1"/>
  <c r="D22" i="112"/>
  <c r="G21" i="111"/>
  <c r="I21" i="111" s="1"/>
  <c r="J21" i="111" s="1"/>
  <c r="K21" i="111"/>
  <c r="AJ11" i="131" s="1"/>
  <c r="K23" i="111"/>
  <c r="AJ13" i="131" s="1"/>
  <c r="D24" i="111"/>
  <c r="G23" i="111"/>
  <c r="I23" i="111" s="1"/>
  <c r="J23" i="111" s="1"/>
  <c r="D21" i="110"/>
  <c r="F29" i="159" l="1"/>
  <c r="G28" i="159"/>
  <c r="J28" i="159" s="1"/>
  <c r="K28" i="159" s="1"/>
  <c r="L28" i="159"/>
  <c r="K21" i="115"/>
  <c r="AS11" i="131" s="1"/>
  <c r="K29" i="157"/>
  <c r="L19" i="131"/>
  <c r="F31" i="156"/>
  <c r="L30" i="156"/>
  <c r="G30" i="156"/>
  <c r="J30" i="156" s="1"/>
  <c r="K30" i="156" s="1"/>
  <c r="F31" i="157"/>
  <c r="L30" i="157"/>
  <c r="L20" i="131" s="1"/>
  <c r="G30" i="157"/>
  <c r="J30" i="157" s="1"/>
  <c r="K30" i="157" s="1"/>
  <c r="F32" i="155"/>
  <c r="L31" i="155"/>
  <c r="G31" i="155"/>
  <c r="J31" i="155" s="1"/>
  <c r="K31" i="155" s="1"/>
  <c r="P23" i="116"/>
  <c r="B24" i="116"/>
  <c r="F13" i="131"/>
  <c r="BA13" i="131"/>
  <c r="D21" i="150"/>
  <c r="L20" i="150"/>
  <c r="AC10" i="131" s="1"/>
  <c r="G20" i="150"/>
  <c r="J20" i="150" s="1"/>
  <c r="L23" i="148"/>
  <c r="AX11" i="131"/>
  <c r="AZ11" i="131" s="1"/>
  <c r="H14" i="131"/>
  <c r="AW11" i="131"/>
  <c r="D20" i="139"/>
  <c r="G19" i="139"/>
  <c r="J19" i="139" s="1"/>
  <c r="L19" i="139"/>
  <c r="B9" i="131" s="1"/>
  <c r="D26" i="124"/>
  <c r="K26" i="124" s="1"/>
  <c r="D22" i="115"/>
  <c r="D23" i="115" s="1"/>
  <c r="K25" i="124"/>
  <c r="D23" i="136"/>
  <c r="G22" i="136"/>
  <c r="I22" i="136" s="1"/>
  <c r="J22" i="136" s="1"/>
  <c r="K22" i="136"/>
  <c r="K21" i="135"/>
  <c r="L22" i="135"/>
  <c r="AU12" i="131" s="1"/>
  <c r="G22" i="135"/>
  <c r="J22" i="135" s="1"/>
  <c r="K22" i="135" s="1"/>
  <c r="D23" i="135"/>
  <c r="J21" i="136"/>
  <c r="D26" i="121"/>
  <c r="L26" i="121" s="1"/>
  <c r="L25" i="121"/>
  <c r="B23" i="114"/>
  <c r="J19" i="122"/>
  <c r="B23" i="112"/>
  <c r="B22" i="110"/>
  <c r="B26" i="109"/>
  <c r="K23" i="120"/>
  <c r="B26" i="122"/>
  <c r="B26" i="117"/>
  <c r="J24" i="120"/>
  <c r="K24" i="120" s="1"/>
  <c r="K23" i="121"/>
  <c r="J23" i="119"/>
  <c r="J25" i="121"/>
  <c r="B26" i="120"/>
  <c r="B26" i="121"/>
  <c r="B23" i="119"/>
  <c r="K24" i="126"/>
  <c r="D25" i="126"/>
  <c r="G24" i="126"/>
  <c r="I24" i="126" s="1"/>
  <c r="J24" i="126" s="1"/>
  <c r="K25" i="125"/>
  <c r="G25" i="125"/>
  <c r="I25" i="125" s="1"/>
  <c r="J25" i="125" s="1"/>
  <c r="O25" i="123"/>
  <c r="D27" i="123"/>
  <c r="G26" i="123"/>
  <c r="I26" i="123" s="1"/>
  <c r="J26" i="123" s="1"/>
  <c r="K26" i="123"/>
  <c r="BD16" i="131" s="1"/>
  <c r="L20" i="122"/>
  <c r="C10" i="131" s="1"/>
  <c r="G20" i="122"/>
  <c r="D21" i="122"/>
  <c r="G25" i="120"/>
  <c r="L25" i="120"/>
  <c r="H15" i="131" s="1"/>
  <c r="D26" i="120"/>
  <c r="L24" i="119"/>
  <c r="G24" i="119"/>
  <c r="D25" i="119"/>
  <c r="D24" i="117"/>
  <c r="D10" i="131"/>
  <c r="D22" i="116"/>
  <c r="D23" i="114"/>
  <c r="D23" i="113"/>
  <c r="G22" i="113"/>
  <c r="I22" i="113" s="1"/>
  <c r="J22" i="113" s="1"/>
  <c r="K22" i="113"/>
  <c r="AP12" i="131" s="1"/>
  <c r="D23" i="112"/>
  <c r="G24" i="111"/>
  <c r="I24" i="111" s="1"/>
  <c r="J24" i="111" s="1"/>
  <c r="K24" i="111"/>
  <c r="AJ14" i="131" s="1"/>
  <c r="D25" i="111"/>
  <c r="D22" i="110"/>
  <c r="N18" i="131" l="1"/>
  <c r="F30" i="159"/>
  <c r="L29" i="159"/>
  <c r="N19" i="131" s="1"/>
  <c r="G29" i="159"/>
  <c r="J29" i="159" s="1"/>
  <c r="K29" i="159" s="1"/>
  <c r="K20" i="131"/>
  <c r="G32" i="155"/>
  <c r="J32" i="155" s="1"/>
  <c r="K32" i="155" s="1"/>
  <c r="L32" i="155"/>
  <c r="F33" i="155"/>
  <c r="F32" i="157"/>
  <c r="L31" i="157"/>
  <c r="G31" i="157"/>
  <c r="J31" i="157" s="1"/>
  <c r="K31" i="157" s="1"/>
  <c r="F32" i="156"/>
  <c r="G31" i="156"/>
  <c r="J31" i="156" s="1"/>
  <c r="L31" i="156"/>
  <c r="K21" i="131" s="1"/>
  <c r="P24" i="116"/>
  <c r="B25" i="116"/>
  <c r="AE10" i="131"/>
  <c r="F16" i="131"/>
  <c r="F15" i="131"/>
  <c r="K20" i="150"/>
  <c r="D22" i="150"/>
  <c r="L21" i="150"/>
  <c r="AC11" i="131" s="1"/>
  <c r="AE11" i="131" s="1"/>
  <c r="G21" i="150"/>
  <c r="J21" i="150" s="1"/>
  <c r="K21" i="150" s="1"/>
  <c r="L24" i="148"/>
  <c r="D27" i="121"/>
  <c r="G27" i="121" s="1"/>
  <c r="BC16" i="131"/>
  <c r="D27" i="124"/>
  <c r="D28" i="124" s="1"/>
  <c r="G26" i="121"/>
  <c r="AX12" i="131"/>
  <c r="AZ12" i="131" s="1"/>
  <c r="BC15" i="131"/>
  <c r="G14" i="131"/>
  <c r="BB14" i="131"/>
  <c r="AV12" i="131"/>
  <c r="BA15" i="131"/>
  <c r="K22" i="115"/>
  <c r="K19" i="139"/>
  <c r="G22" i="115"/>
  <c r="I22" i="115" s="1"/>
  <c r="J22" i="115" s="1"/>
  <c r="G26" i="124"/>
  <c r="I26" i="124" s="1"/>
  <c r="J26" i="124" s="1"/>
  <c r="L20" i="139"/>
  <c r="B10" i="131" s="1"/>
  <c r="D21" i="139"/>
  <c r="G20" i="139"/>
  <c r="J20" i="139" s="1"/>
  <c r="K20" i="139" s="1"/>
  <c r="L23" i="135"/>
  <c r="AU13" i="131" s="1"/>
  <c r="G23" i="135"/>
  <c r="J23" i="135" s="1"/>
  <c r="D24" i="135"/>
  <c r="D24" i="136"/>
  <c r="G23" i="136"/>
  <c r="I23" i="136" s="1"/>
  <c r="K23" i="136"/>
  <c r="B24" i="114"/>
  <c r="K19" i="122"/>
  <c r="J20" i="122"/>
  <c r="B24" i="112"/>
  <c r="B23" i="110"/>
  <c r="B27" i="109"/>
  <c r="B27" i="122"/>
  <c r="B27" i="117"/>
  <c r="J26" i="121"/>
  <c r="K26" i="121" s="1"/>
  <c r="J24" i="119"/>
  <c r="J25" i="120"/>
  <c r="K25" i="120" s="1"/>
  <c r="K25" i="121"/>
  <c r="K23" i="119"/>
  <c r="B27" i="120"/>
  <c r="B27" i="121"/>
  <c r="B24" i="119"/>
  <c r="K25" i="126"/>
  <c r="D26" i="126"/>
  <c r="G25" i="126"/>
  <c r="I25" i="126" s="1"/>
  <c r="K26" i="125"/>
  <c r="G26" i="125"/>
  <c r="I26" i="125" s="1"/>
  <c r="J26" i="125" s="1"/>
  <c r="O26" i="123"/>
  <c r="K27" i="123"/>
  <c r="BD17" i="131" s="1"/>
  <c r="G27" i="123"/>
  <c r="I27" i="123" s="1"/>
  <c r="D28" i="123"/>
  <c r="G21" i="122"/>
  <c r="L21" i="122"/>
  <c r="C11" i="131" s="1"/>
  <c r="D22" i="122"/>
  <c r="L27" i="121"/>
  <c r="D27" i="120"/>
  <c r="G26" i="120"/>
  <c r="L26" i="120"/>
  <c r="H16" i="131" s="1"/>
  <c r="G25" i="119"/>
  <c r="L25" i="119"/>
  <c r="G15" i="131" s="1"/>
  <c r="D26" i="119"/>
  <c r="D25" i="117"/>
  <c r="D23" i="116"/>
  <c r="K23" i="115"/>
  <c r="G23" i="115"/>
  <c r="I23" i="115" s="1"/>
  <c r="J23" i="115" s="1"/>
  <c r="D24" i="115"/>
  <c r="D24" i="114"/>
  <c r="K23" i="113"/>
  <c r="AP13" i="131" s="1"/>
  <c r="D24" i="113"/>
  <c r="G23" i="113"/>
  <c r="I23" i="113" s="1"/>
  <c r="D24" i="112"/>
  <c r="D26" i="111"/>
  <c r="G25" i="111"/>
  <c r="I25" i="111" s="1"/>
  <c r="J25" i="111" s="1"/>
  <c r="K25" i="111"/>
  <c r="AJ15" i="131" s="1"/>
  <c r="D23" i="110"/>
  <c r="F31" i="159" l="1"/>
  <c r="G30" i="159"/>
  <c r="J30" i="159" s="1"/>
  <c r="L30" i="159"/>
  <c r="N20" i="131" s="1"/>
  <c r="F33" i="156"/>
  <c r="G32" i="156"/>
  <c r="J32" i="156" s="1"/>
  <c r="K32" i="156" s="1"/>
  <c r="L32" i="156"/>
  <c r="K22" i="131" s="1"/>
  <c r="G33" i="155"/>
  <c r="J33" i="155" s="1"/>
  <c r="F34" i="155"/>
  <c r="L33" i="155"/>
  <c r="AW12" i="131"/>
  <c r="L21" i="131"/>
  <c r="K31" i="156"/>
  <c r="F33" i="157"/>
  <c r="G32" i="157"/>
  <c r="J32" i="157" s="1"/>
  <c r="K32" i="157" s="1"/>
  <c r="L32" i="157"/>
  <c r="L22" i="131" s="1"/>
  <c r="P25" i="116"/>
  <c r="B26" i="116"/>
  <c r="D28" i="121"/>
  <c r="F17" i="131"/>
  <c r="G22" i="150"/>
  <c r="J22" i="150" s="1"/>
  <c r="K22" i="150" s="1"/>
  <c r="D23" i="150"/>
  <c r="L22" i="150"/>
  <c r="AC12" i="131" s="1"/>
  <c r="AE12" i="131" s="1"/>
  <c r="L25" i="148"/>
  <c r="G27" i="124"/>
  <c r="I27" i="124" s="1"/>
  <c r="J27" i="124" s="1"/>
  <c r="K27" i="124"/>
  <c r="L23" i="140"/>
  <c r="AX13" i="131" s="1"/>
  <c r="G23" i="140"/>
  <c r="J23" i="140" s="1"/>
  <c r="D24" i="140"/>
  <c r="BA16" i="131"/>
  <c r="BB15" i="131"/>
  <c r="AV13" i="131"/>
  <c r="AW13" i="131" s="1"/>
  <c r="AS13" i="131"/>
  <c r="AS12" i="131"/>
  <c r="G21" i="139"/>
  <c r="J21" i="139" s="1"/>
  <c r="D22" i="139"/>
  <c r="L21" i="139"/>
  <c r="B11" i="131" s="1"/>
  <c r="D25" i="136"/>
  <c r="G24" i="136"/>
  <c r="I24" i="136" s="1"/>
  <c r="J24" i="136" s="1"/>
  <c r="K24" i="136"/>
  <c r="AV14" i="131" s="1"/>
  <c r="D25" i="135"/>
  <c r="L24" i="135"/>
  <c r="AU14" i="131" s="1"/>
  <c r="G24" i="135"/>
  <c r="J24" i="135" s="1"/>
  <c r="K24" i="135" s="1"/>
  <c r="K23" i="135"/>
  <c r="J23" i="136"/>
  <c r="J26" i="120"/>
  <c r="K26" i="120" s="1"/>
  <c r="B25" i="114"/>
  <c r="J23" i="113"/>
  <c r="J27" i="123"/>
  <c r="J25" i="126"/>
  <c r="K20" i="122"/>
  <c r="J21" i="122"/>
  <c r="K21" i="122" s="1"/>
  <c r="B25" i="112"/>
  <c r="B24" i="110"/>
  <c r="B28" i="109"/>
  <c r="K24" i="119"/>
  <c r="B28" i="122"/>
  <c r="B28" i="117"/>
  <c r="J25" i="119"/>
  <c r="J27" i="121"/>
  <c r="K27" i="121" s="1"/>
  <c r="B28" i="120"/>
  <c r="B28" i="121"/>
  <c r="B25" i="119"/>
  <c r="K26" i="126"/>
  <c r="BB16" i="131" s="1"/>
  <c r="D27" i="126"/>
  <c r="G26" i="126"/>
  <c r="I26" i="126" s="1"/>
  <c r="J26" i="126" s="1"/>
  <c r="K27" i="125"/>
  <c r="G27" i="125"/>
  <c r="I27" i="125" s="1"/>
  <c r="J27" i="125" s="1"/>
  <c r="O27" i="123"/>
  <c r="G28" i="124"/>
  <c r="I28" i="124" s="1"/>
  <c r="J28" i="124" s="1"/>
  <c r="D29" i="124"/>
  <c r="K28" i="124"/>
  <c r="G28" i="123"/>
  <c r="I28" i="123" s="1"/>
  <c r="J28" i="123" s="1"/>
  <c r="D29" i="123"/>
  <c r="K28" i="123"/>
  <c r="BD18" i="131" s="1"/>
  <c r="G22" i="122"/>
  <c r="L22" i="122"/>
  <c r="C12" i="131" s="1"/>
  <c r="D23" i="122"/>
  <c r="L28" i="121"/>
  <c r="D29" i="121"/>
  <c r="G28" i="121"/>
  <c r="D28" i="120"/>
  <c r="G27" i="120"/>
  <c r="L27" i="120"/>
  <c r="D27" i="119"/>
  <c r="G26" i="119"/>
  <c r="L26" i="119"/>
  <c r="G16" i="131" s="1"/>
  <c r="D26" i="117"/>
  <c r="D24" i="116"/>
  <c r="G24" i="115"/>
  <c r="I24" i="115" s="1"/>
  <c r="J24" i="115" s="1"/>
  <c r="D25" i="115"/>
  <c r="K24" i="115"/>
  <c r="D25" i="114"/>
  <c r="G24" i="113"/>
  <c r="I24" i="113" s="1"/>
  <c r="J24" i="113" s="1"/>
  <c r="D25" i="113"/>
  <c r="K24" i="113"/>
  <c r="AP14" i="131" s="1"/>
  <c r="D25" i="112"/>
  <c r="D27" i="111"/>
  <c r="G26" i="111"/>
  <c r="I26" i="111" s="1"/>
  <c r="J26" i="111" s="1"/>
  <c r="K26" i="111"/>
  <c r="AJ16" i="131" s="1"/>
  <c r="D24" i="110"/>
  <c r="K30" i="159" l="1"/>
  <c r="F32" i="159"/>
  <c r="L31" i="159"/>
  <c r="G31" i="159"/>
  <c r="J31" i="159" s="1"/>
  <c r="K31" i="159" s="1"/>
  <c r="K33" i="155"/>
  <c r="F34" i="157"/>
  <c r="G33" i="157"/>
  <c r="J33" i="157" s="1"/>
  <c r="K33" i="157" s="1"/>
  <c r="L33" i="157"/>
  <c r="G34" i="155"/>
  <c r="J34" i="155" s="1"/>
  <c r="K34" i="155" s="1"/>
  <c r="F35" i="155"/>
  <c r="L34" i="155"/>
  <c r="F34" i="156"/>
  <c r="L33" i="156"/>
  <c r="G33" i="156"/>
  <c r="J33" i="156" s="1"/>
  <c r="P26" i="116"/>
  <c r="B27" i="116"/>
  <c r="D27" i="153"/>
  <c r="L26" i="153"/>
  <c r="I16" i="131" s="1"/>
  <c r="G26" i="153"/>
  <c r="J26" i="153" s="1"/>
  <c r="K26" i="153" s="1"/>
  <c r="F18" i="131"/>
  <c r="BC17" i="131"/>
  <c r="G23" i="150"/>
  <c r="J23" i="150" s="1"/>
  <c r="L23" i="150"/>
  <c r="AC13" i="131" s="1"/>
  <c r="AE13" i="131" s="1"/>
  <c r="D24" i="150"/>
  <c r="L26" i="148"/>
  <c r="G26" i="148"/>
  <c r="J26" i="148" s="1"/>
  <c r="AZ13" i="131"/>
  <c r="BC18" i="131"/>
  <c r="L24" i="140"/>
  <c r="AX14" i="131" s="1"/>
  <c r="AZ14" i="131" s="1"/>
  <c r="G24" i="140"/>
  <c r="J24" i="140" s="1"/>
  <c r="K24" i="140" s="1"/>
  <c r="D25" i="140"/>
  <c r="K23" i="140"/>
  <c r="BA17" i="131"/>
  <c r="AS14" i="131"/>
  <c r="H17" i="131"/>
  <c r="AW14" i="131"/>
  <c r="G22" i="139"/>
  <c r="J22" i="139" s="1"/>
  <c r="K22" i="139" s="1"/>
  <c r="D23" i="139"/>
  <c r="L22" i="139"/>
  <c r="B12" i="131" s="1"/>
  <c r="K21" i="139"/>
  <c r="L25" i="135"/>
  <c r="AU15" i="131" s="1"/>
  <c r="D26" i="135"/>
  <c r="G25" i="135"/>
  <c r="J25" i="135" s="1"/>
  <c r="D26" i="136"/>
  <c r="K25" i="136"/>
  <c r="G25" i="136"/>
  <c r="I25" i="136" s="1"/>
  <c r="B26" i="114"/>
  <c r="J22" i="122"/>
  <c r="K22" i="122" s="1"/>
  <c r="B26" i="112"/>
  <c r="B25" i="110"/>
  <c r="B29" i="109"/>
  <c r="K25" i="119"/>
  <c r="B29" i="122"/>
  <c r="B29" i="117"/>
  <c r="J27" i="120"/>
  <c r="J26" i="119"/>
  <c r="K26" i="119" s="1"/>
  <c r="J28" i="121"/>
  <c r="K28" i="121" s="1"/>
  <c r="B29" i="120"/>
  <c r="B29" i="121"/>
  <c r="B26" i="119"/>
  <c r="K27" i="126"/>
  <c r="D28" i="126"/>
  <c r="G27" i="126"/>
  <c r="I27" i="126" s="1"/>
  <c r="J27" i="126" s="1"/>
  <c r="K28" i="125"/>
  <c r="G28" i="125"/>
  <c r="I28" i="125" s="1"/>
  <c r="J28" i="125" s="1"/>
  <c r="O28" i="123"/>
  <c r="D30" i="124"/>
  <c r="G29" i="124"/>
  <c r="I29" i="124" s="1"/>
  <c r="J29" i="124" s="1"/>
  <c r="K29" i="124"/>
  <c r="D30" i="123"/>
  <c r="G29" i="123"/>
  <c r="I29" i="123" s="1"/>
  <c r="J29" i="123" s="1"/>
  <c r="K29" i="123"/>
  <c r="BD19" i="131" s="1"/>
  <c r="D24" i="122"/>
  <c r="G23" i="122"/>
  <c r="L23" i="122"/>
  <c r="G29" i="121"/>
  <c r="L29" i="121"/>
  <c r="D30" i="121"/>
  <c r="L28" i="120"/>
  <c r="D29" i="120"/>
  <c r="G28" i="120"/>
  <c r="D28" i="119"/>
  <c r="G27" i="119"/>
  <c r="L27" i="119"/>
  <c r="D27" i="117"/>
  <c r="D25" i="116"/>
  <c r="D26" i="115"/>
  <c r="G25" i="115"/>
  <c r="I25" i="115" s="1"/>
  <c r="J25" i="115" s="1"/>
  <c r="K25" i="115"/>
  <c r="D26" i="114"/>
  <c r="D26" i="113"/>
  <c r="G25" i="113"/>
  <c r="I25" i="113" s="1"/>
  <c r="J25" i="113" s="1"/>
  <c r="K25" i="113"/>
  <c r="AP15" i="131" s="1"/>
  <c r="D26" i="112"/>
  <c r="K27" i="111"/>
  <c r="AJ17" i="131" s="1"/>
  <c r="D28" i="111"/>
  <c r="G27" i="111"/>
  <c r="I27" i="111" s="1"/>
  <c r="J27" i="111" s="1"/>
  <c r="D25" i="110"/>
  <c r="N21" i="131" l="1"/>
  <c r="F33" i="159"/>
  <c r="L32" i="159"/>
  <c r="N22" i="131" s="1"/>
  <c r="G32" i="159"/>
  <c r="J32" i="159" s="1"/>
  <c r="K33" i="156"/>
  <c r="F36" i="155"/>
  <c r="L35" i="155"/>
  <c r="G35" i="155"/>
  <c r="J35" i="155" s="1"/>
  <c r="K35" i="155" s="1"/>
  <c r="K23" i="131"/>
  <c r="L23" i="131"/>
  <c r="F35" i="156"/>
  <c r="G34" i="156"/>
  <c r="J34" i="156" s="1"/>
  <c r="K34" i="156" s="1"/>
  <c r="L34" i="156"/>
  <c r="K24" i="131" s="1"/>
  <c r="F35" i="157"/>
  <c r="G34" i="157"/>
  <c r="J34" i="157" s="1"/>
  <c r="K34" i="157" s="1"/>
  <c r="L34" i="157"/>
  <c r="L24" i="131" s="1"/>
  <c r="P27" i="116"/>
  <c r="B28" i="116"/>
  <c r="D28" i="153"/>
  <c r="G27" i="153"/>
  <c r="J27" i="153" s="1"/>
  <c r="K27" i="153" s="1"/>
  <c r="L27" i="153"/>
  <c r="I17" i="131" s="1"/>
  <c r="F19" i="131"/>
  <c r="K23" i="150"/>
  <c r="D25" i="150"/>
  <c r="L24" i="150"/>
  <c r="AC14" i="131" s="1"/>
  <c r="AE14" i="131" s="1"/>
  <c r="G24" i="150"/>
  <c r="J24" i="150" s="1"/>
  <c r="K24" i="150" s="1"/>
  <c r="K26" i="148"/>
  <c r="F28" i="148"/>
  <c r="F29" i="148" s="1"/>
  <c r="F30" i="148" s="1"/>
  <c r="F31" i="148" s="1"/>
  <c r="F32" i="148" s="1"/>
  <c r="F33" i="148" s="1"/>
  <c r="F34" i="148" s="1"/>
  <c r="F35" i="148" s="1"/>
  <c r="F36" i="148" s="1"/>
  <c r="F37" i="148" s="1"/>
  <c r="L27" i="148"/>
  <c r="G27" i="148"/>
  <c r="J27" i="148" s="1"/>
  <c r="K27" i="148" s="1"/>
  <c r="BC19" i="131"/>
  <c r="L25" i="140"/>
  <c r="AX15" i="131" s="1"/>
  <c r="AZ15" i="131" s="1"/>
  <c r="D26" i="140"/>
  <c r="G25" i="140"/>
  <c r="J25" i="140" s="1"/>
  <c r="K25" i="140" s="1"/>
  <c r="H18" i="131"/>
  <c r="BB17" i="131"/>
  <c r="AV15" i="131"/>
  <c r="AS15" i="131"/>
  <c r="G17" i="131"/>
  <c r="BA18" i="131"/>
  <c r="L23" i="139"/>
  <c r="B13" i="131" s="1"/>
  <c r="G23" i="139"/>
  <c r="J23" i="139" s="1"/>
  <c r="D24" i="139"/>
  <c r="C13" i="131"/>
  <c r="D27" i="136"/>
  <c r="G26" i="136"/>
  <c r="I26" i="136" s="1"/>
  <c r="J26" i="136" s="1"/>
  <c r="K26" i="136"/>
  <c r="K25" i="135"/>
  <c r="L26" i="135"/>
  <c r="AU16" i="131" s="1"/>
  <c r="G26" i="135"/>
  <c r="J26" i="135" s="1"/>
  <c r="K26" i="135" s="1"/>
  <c r="D27" i="135"/>
  <c r="J25" i="136"/>
  <c r="B27" i="114"/>
  <c r="J23" i="122"/>
  <c r="K23" i="122" s="1"/>
  <c r="B27" i="112"/>
  <c r="B26" i="110"/>
  <c r="B30" i="109"/>
  <c r="K27" i="120"/>
  <c r="B30" i="122"/>
  <c r="B30" i="117"/>
  <c r="J29" i="121"/>
  <c r="K29" i="121" s="1"/>
  <c r="J28" i="120"/>
  <c r="K28" i="120" s="1"/>
  <c r="J27" i="119"/>
  <c r="K27" i="119" s="1"/>
  <c r="B30" i="120"/>
  <c r="B30" i="121"/>
  <c r="B27" i="119"/>
  <c r="K28" i="126"/>
  <c r="D29" i="126"/>
  <c r="G28" i="126"/>
  <c r="I28" i="126" s="1"/>
  <c r="J28" i="126" s="1"/>
  <c r="K29" i="125"/>
  <c r="G29" i="125"/>
  <c r="I29" i="125" s="1"/>
  <c r="J29" i="125" s="1"/>
  <c r="O29" i="123"/>
  <c r="K30" i="124"/>
  <c r="D31" i="124"/>
  <c r="G30" i="124"/>
  <c r="I30" i="124" s="1"/>
  <c r="J30" i="124" s="1"/>
  <c r="D31" i="123"/>
  <c r="G30" i="123"/>
  <c r="I30" i="123" s="1"/>
  <c r="J30" i="123" s="1"/>
  <c r="K30" i="123"/>
  <c r="BD20" i="131" s="1"/>
  <c r="D25" i="122"/>
  <c r="L24" i="122"/>
  <c r="G24" i="122"/>
  <c r="D31" i="121"/>
  <c r="G30" i="121"/>
  <c r="L30" i="121"/>
  <c r="G29" i="120"/>
  <c r="L29" i="120"/>
  <c r="D30" i="120"/>
  <c r="L28" i="119"/>
  <c r="G18" i="131" s="1"/>
  <c r="G28" i="119"/>
  <c r="D29" i="119"/>
  <c r="D28" i="117"/>
  <c r="D26" i="116"/>
  <c r="K26" i="115"/>
  <c r="D27" i="115"/>
  <c r="G26" i="115"/>
  <c r="I26" i="115" s="1"/>
  <c r="J26" i="115" s="1"/>
  <c r="D27" i="114"/>
  <c r="D27" i="113"/>
  <c r="G26" i="113"/>
  <c r="I26" i="113" s="1"/>
  <c r="J26" i="113" s="1"/>
  <c r="K26" i="113"/>
  <c r="AP16" i="131" s="1"/>
  <c r="D27" i="112"/>
  <c r="G28" i="111"/>
  <c r="I28" i="111" s="1"/>
  <c r="J28" i="111" s="1"/>
  <c r="K28" i="111"/>
  <c r="AJ18" i="131" s="1"/>
  <c r="D29" i="111"/>
  <c r="D26" i="110"/>
  <c r="F34" i="159" l="1"/>
  <c r="L33" i="159"/>
  <c r="N23" i="131" s="1"/>
  <c r="G33" i="159"/>
  <c r="J33" i="159" s="1"/>
  <c r="K33" i="159" s="1"/>
  <c r="K32" i="159"/>
  <c r="AW15" i="131"/>
  <c r="F36" i="157"/>
  <c r="G35" i="157"/>
  <c r="J35" i="157" s="1"/>
  <c r="K35" i="157" s="1"/>
  <c r="L35" i="157"/>
  <c r="L25" i="131" s="1"/>
  <c r="F36" i="156"/>
  <c r="L35" i="156"/>
  <c r="K25" i="131" s="1"/>
  <c r="G35" i="156"/>
  <c r="J35" i="156" s="1"/>
  <c r="K35" i="156" s="1"/>
  <c r="G36" i="155"/>
  <c r="J36" i="155" s="1"/>
  <c r="K36" i="155" s="1"/>
  <c r="F37" i="155"/>
  <c r="L36" i="155"/>
  <c r="P28" i="116"/>
  <c r="B29" i="116"/>
  <c r="D29" i="153"/>
  <c r="L28" i="153"/>
  <c r="I18" i="131" s="1"/>
  <c r="G28" i="153"/>
  <c r="J28" i="153" s="1"/>
  <c r="K28" i="153" s="1"/>
  <c r="F20" i="131"/>
  <c r="G25" i="150"/>
  <c r="J25" i="150" s="1"/>
  <c r="L25" i="150"/>
  <c r="AC15" i="131" s="1"/>
  <c r="AE15" i="131" s="1"/>
  <c r="D26" i="150"/>
  <c r="L28" i="148"/>
  <c r="G28" i="148"/>
  <c r="J28" i="148" s="1"/>
  <c r="BC20" i="131"/>
  <c r="L26" i="140"/>
  <c r="AX16" i="131" s="1"/>
  <c r="G26" i="140"/>
  <c r="J26" i="140" s="1"/>
  <c r="D27" i="140"/>
  <c r="AS16" i="131"/>
  <c r="BA19" i="131"/>
  <c r="AV16" i="131"/>
  <c r="AW16" i="131" s="1"/>
  <c r="H19" i="131"/>
  <c r="BB18" i="131"/>
  <c r="D25" i="139"/>
  <c r="L24" i="139"/>
  <c r="G24" i="139"/>
  <c r="J24" i="139" s="1"/>
  <c r="K24" i="139" s="1"/>
  <c r="K23" i="139"/>
  <c r="C14" i="131"/>
  <c r="D28" i="136"/>
  <c r="G27" i="136"/>
  <c r="I27" i="136" s="1"/>
  <c r="K27" i="136"/>
  <c r="D28" i="135"/>
  <c r="G27" i="135"/>
  <c r="J27" i="135" s="1"/>
  <c r="K27" i="135" s="1"/>
  <c r="L27" i="135"/>
  <c r="AU17" i="131" s="1"/>
  <c r="J29" i="120"/>
  <c r="K29" i="120" s="1"/>
  <c r="B28" i="114"/>
  <c r="J24" i="122"/>
  <c r="K24" i="122" s="1"/>
  <c r="B28" i="112"/>
  <c r="B27" i="110"/>
  <c r="B31" i="109"/>
  <c r="B31" i="122"/>
  <c r="B31" i="117"/>
  <c r="J30" i="121"/>
  <c r="K30" i="121" s="1"/>
  <c r="J28" i="119"/>
  <c r="K28" i="119" s="1"/>
  <c r="B31" i="120"/>
  <c r="B31" i="121"/>
  <c r="B28" i="119"/>
  <c r="K29" i="126"/>
  <c r="D30" i="126"/>
  <c r="G29" i="126"/>
  <c r="I29" i="126" s="1"/>
  <c r="J29" i="126" s="1"/>
  <c r="K30" i="125"/>
  <c r="G30" i="125"/>
  <c r="I30" i="125" s="1"/>
  <c r="J30" i="125" s="1"/>
  <c r="O30" i="123"/>
  <c r="K31" i="124"/>
  <c r="G31" i="124"/>
  <c r="I31" i="124" s="1"/>
  <c r="J31" i="124" s="1"/>
  <c r="D32" i="124"/>
  <c r="K31" i="123"/>
  <c r="BD21" i="131" s="1"/>
  <c r="G31" i="123"/>
  <c r="I31" i="123" s="1"/>
  <c r="J31" i="123" s="1"/>
  <c r="D32" i="123"/>
  <c r="L25" i="122"/>
  <c r="G25" i="122"/>
  <c r="D26" i="122"/>
  <c r="D32" i="121"/>
  <c r="G31" i="121"/>
  <c r="L31" i="121"/>
  <c r="D31" i="120"/>
  <c r="G30" i="120"/>
  <c r="L30" i="120"/>
  <c r="G29" i="119"/>
  <c r="L29" i="119"/>
  <c r="D30" i="119"/>
  <c r="D29" i="117"/>
  <c r="D27" i="116"/>
  <c r="K27" i="115"/>
  <c r="G27" i="115"/>
  <c r="I27" i="115" s="1"/>
  <c r="J27" i="115" s="1"/>
  <c r="D28" i="115"/>
  <c r="D28" i="114"/>
  <c r="K27" i="113"/>
  <c r="AP17" i="131" s="1"/>
  <c r="G27" i="113"/>
  <c r="I27" i="113" s="1"/>
  <c r="J27" i="113" s="1"/>
  <c r="D28" i="113"/>
  <c r="D28" i="112"/>
  <c r="D30" i="111"/>
  <c r="G29" i="111"/>
  <c r="I29" i="111" s="1"/>
  <c r="J29" i="111" s="1"/>
  <c r="K29" i="111"/>
  <c r="AJ19" i="131" s="1"/>
  <c r="D27" i="110"/>
  <c r="F35" i="159" l="1"/>
  <c r="G34" i="159"/>
  <c r="J34" i="159" s="1"/>
  <c r="K34" i="159" s="1"/>
  <c r="L34" i="159"/>
  <c r="N24" i="131" s="1"/>
  <c r="L37" i="155"/>
  <c r="L39" i="155" s="1"/>
  <c r="G37" i="155"/>
  <c r="J37" i="155" s="1"/>
  <c r="F37" i="157"/>
  <c r="L36" i="157"/>
  <c r="L26" i="131" s="1"/>
  <c r="L29" i="131" s="1"/>
  <c r="C40" i="131" s="1"/>
  <c r="F40" i="131" s="1"/>
  <c r="G36" i="157"/>
  <c r="J36" i="157" s="1"/>
  <c r="K36" i="157" s="1"/>
  <c r="F37" i="156"/>
  <c r="G36" i="156"/>
  <c r="J36" i="156" s="1"/>
  <c r="K36" i="156" s="1"/>
  <c r="L36" i="156"/>
  <c r="K26" i="131" s="1"/>
  <c r="K29" i="131" s="1"/>
  <c r="C44" i="131" s="1"/>
  <c r="F44" i="131" s="1"/>
  <c r="P29" i="116"/>
  <c r="B30" i="116"/>
  <c r="D30" i="153"/>
  <c r="L29" i="153"/>
  <c r="I19" i="131" s="1"/>
  <c r="G29" i="153"/>
  <c r="J29" i="153" s="1"/>
  <c r="K29" i="153" s="1"/>
  <c r="F21" i="131"/>
  <c r="D27" i="150"/>
  <c r="L26" i="150"/>
  <c r="AC16" i="131" s="1"/>
  <c r="AE16" i="131" s="1"/>
  <c r="G26" i="150"/>
  <c r="J26" i="150" s="1"/>
  <c r="K26" i="150" s="1"/>
  <c r="K25" i="150"/>
  <c r="K28" i="148"/>
  <c r="G29" i="148"/>
  <c r="J29" i="148" s="1"/>
  <c r="K29" i="148" s="1"/>
  <c r="L29" i="148"/>
  <c r="AZ16" i="131"/>
  <c r="BC21" i="131"/>
  <c r="D28" i="140"/>
  <c r="L27" i="140"/>
  <c r="AX17" i="131" s="1"/>
  <c r="AZ17" i="131" s="1"/>
  <c r="G27" i="140"/>
  <c r="J27" i="140" s="1"/>
  <c r="K27" i="140" s="1"/>
  <c r="K26" i="140"/>
  <c r="BA20" i="131"/>
  <c r="BB19" i="131"/>
  <c r="AS17" i="131"/>
  <c r="AV17" i="131"/>
  <c r="AW17" i="131" s="1"/>
  <c r="G19" i="131"/>
  <c r="H20" i="131"/>
  <c r="B14" i="131"/>
  <c r="G25" i="139"/>
  <c r="J25" i="139" s="1"/>
  <c r="K25" i="139" s="1"/>
  <c r="D26" i="139"/>
  <c r="L25" i="139"/>
  <c r="C15" i="131"/>
  <c r="J27" i="136"/>
  <c r="D29" i="136"/>
  <c r="G28" i="136"/>
  <c r="I28" i="136" s="1"/>
  <c r="J28" i="136" s="1"/>
  <c r="K28" i="136"/>
  <c r="G28" i="135"/>
  <c r="J28" i="135" s="1"/>
  <c r="K28" i="135" s="1"/>
  <c r="L28" i="135"/>
  <c r="AU18" i="131" s="1"/>
  <c r="D29" i="135"/>
  <c r="B29" i="114"/>
  <c r="J25" i="122"/>
  <c r="K25" i="122" s="1"/>
  <c r="B29" i="112"/>
  <c r="B28" i="110"/>
  <c r="B32" i="109"/>
  <c r="B32" i="122"/>
  <c r="B32" i="117"/>
  <c r="J30" i="120"/>
  <c r="J29" i="119"/>
  <c r="K29" i="119" s="1"/>
  <c r="J31" i="121"/>
  <c r="K31" i="121" s="1"/>
  <c r="B32" i="120"/>
  <c r="B32" i="121"/>
  <c r="B29" i="119"/>
  <c r="K30" i="126"/>
  <c r="D31" i="126"/>
  <c r="G30" i="126"/>
  <c r="I30" i="126" s="1"/>
  <c r="J30" i="126" s="1"/>
  <c r="K31" i="125"/>
  <c r="G31" i="125"/>
  <c r="I31" i="125" s="1"/>
  <c r="J31" i="125" s="1"/>
  <c r="O31" i="123"/>
  <c r="G32" i="124"/>
  <c r="I32" i="124" s="1"/>
  <c r="J32" i="124" s="1"/>
  <c r="D33" i="124"/>
  <c r="K32" i="124"/>
  <c r="G32" i="123"/>
  <c r="I32" i="123" s="1"/>
  <c r="J32" i="123" s="1"/>
  <c r="D33" i="123"/>
  <c r="K32" i="123"/>
  <c r="BD22" i="131" s="1"/>
  <c r="G26" i="122"/>
  <c r="L26" i="122"/>
  <c r="D27" i="122"/>
  <c r="L32" i="121"/>
  <c r="D33" i="121"/>
  <c r="G32" i="121"/>
  <c r="D32" i="120"/>
  <c r="G31" i="120"/>
  <c r="L31" i="120"/>
  <c r="D31" i="119"/>
  <c r="G30" i="119"/>
  <c r="L30" i="119"/>
  <c r="G20" i="131" s="1"/>
  <c r="D30" i="117"/>
  <c r="D28" i="116"/>
  <c r="G28" i="115"/>
  <c r="I28" i="115" s="1"/>
  <c r="J28" i="115" s="1"/>
  <c r="D29" i="115"/>
  <c r="K28" i="115"/>
  <c r="D29" i="114"/>
  <c r="G28" i="113"/>
  <c r="I28" i="113" s="1"/>
  <c r="J28" i="113" s="1"/>
  <c r="K28" i="113"/>
  <c r="AP18" i="131" s="1"/>
  <c r="D29" i="113"/>
  <c r="D29" i="112"/>
  <c r="D31" i="111"/>
  <c r="G30" i="111"/>
  <c r="I30" i="111" s="1"/>
  <c r="J30" i="111" s="1"/>
  <c r="K30" i="111"/>
  <c r="AJ20" i="131" s="1"/>
  <c r="D28" i="110"/>
  <c r="F36" i="159" l="1"/>
  <c r="G35" i="159"/>
  <c r="J35" i="159" s="1"/>
  <c r="K35" i="159" s="1"/>
  <c r="L35" i="159"/>
  <c r="N25" i="131" s="1"/>
  <c r="G37" i="156"/>
  <c r="J37" i="156" s="1"/>
  <c r="L37" i="156"/>
  <c r="L39" i="156" s="1"/>
  <c r="K37" i="155"/>
  <c r="K39" i="155" s="1"/>
  <c r="J39" i="155"/>
  <c r="G37" i="157"/>
  <c r="J37" i="157" s="1"/>
  <c r="L37" i="157"/>
  <c r="L39" i="157" s="1"/>
  <c r="P30" i="116"/>
  <c r="B31" i="116"/>
  <c r="B32" i="116" s="1"/>
  <c r="D31" i="153"/>
  <c r="L30" i="153"/>
  <c r="I20" i="131" s="1"/>
  <c r="G30" i="153"/>
  <c r="J30" i="153" s="1"/>
  <c r="K30" i="153" s="1"/>
  <c r="F22" i="131"/>
  <c r="G27" i="150"/>
  <c r="J27" i="150" s="1"/>
  <c r="K27" i="150" s="1"/>
  <c r="D28" i="150"/>
  <c r="L27" i="150"/>
  <c r="AC17" i="131" s="1"/>
  <c r="AE17" i="131" s="1"/>
  <c r="L30" i="148"/>
  <c r="G30" i="148"/>
  <c r="J30" i="148" s="1"/>
  <c r="K30" i="148" s="1"/>
  <c r="BC22" i="131"/>
  <c r="G28" i="140"/>
  <c r="J28" i="140" s="1"/>
  <c r="K28" i="140" s="1"/>
  <c r="D29" i="140"/>
  <c r="L28" i="140"/>
  <c r="AX18" i="131" s="1"/>
  <c r="AZ18" i="131" s="1"/>
  <c r="AS18" i="131"/>
  <c r="H21" i="131"/>
  <c r="B15" i="131"/>
  <c r="BB20" i="131"/>
  <c r="AV18" i="131"/>
  <c r="AW18" i="131" s="1"/>
  <c r="BA21" i="131"/>
  <c r="G26" i="139"/>
  <c r="J26" i="139" s="1"/>
  <c r="K26" i="139" s="1"/>
  <c r="D27" i="139"/>
  <c r="L26" i="139"/>
  <c r="C16" i="131"/>
  <c r="D30" i="136"/>
  <c r="G29" i="136"/>
  <c r="I29" i="136" s="1"/>
  <c r="J29" i="136" s="1"/>
  <c r="K29" i="136"/>
  <c r="L29" i="135"/>
  <c r="AU19" i="131" s="1"/>
  <c r="G29" i="135"/>
  <c r="J29" i="135" s="1"/>
  <c r="K29" i="135" s="1"/>
  <c r="D30" i="135"/>
  <c r="B30" i="114"/>
  <c r="B31" i="114" s="1"/>
  <c r="B32" i="114" s="1"/>
  <c r="B33" i="114" s="1"/>
  <c r="B34" i="114" s="1"/>
  <c r="B35" i="114" s="1"/>
  <c r="B36" i="114" s="1"/>
  <c r="B37" i="114" s="1"/>
  <c r="J26" i="122"/>
  <c r="K26" i="122" s="1"/>
  <c r="B30" i="112"/>
  <c r="B31" i="112" s="1"/>
  <c r="B32" i="112" s="1"/>
  <c r="B33" i="112" s="1"/>
  <c r="B34" i="112" s="1"/>
  <c r="B35" i="112" s="1"/>
  <c r="B36" i="112" s="1"/>
  <c r="B37" i="112" s="1"/>
  <c r="B29" i="110"/>
  <c r="B30" i="110" s="1"/>
  <c r="B31" i="110" s="1"/>
  <c r="B32" i="110" s="1"/>
  <c r="B33" i="110" s="1"/>
  <c r="B34" i="110" s="1"/>
  <c r="B35" i="110" s="1"/>
  <c r="B36" i="110" s="1"/>
  <c r="B37" i="110" s="1"/>
  <c r="B33" i="109"/>
  <c r="B34" i="109" s="1"/>
  <c r="B35" i="109" s="1"/>
  <c r="B36" i="109" s="1"/>
  <c r="B37" i="109" s="1"/>
  <c r="K30" i="120"/>
  <c r="B33" i="122"/>
  <c r="B34" i="122" s="1"/>
  <c r="B35" i="122" s="1"/>
  <c r="B36" i="122" s="1"/>
  <c r="B37" i="122" s="1"/>
  <c r="B33" i="116"/>
  <c r="B34" i="116" s="1"/>
  <c r="B35" i="116" s="1"/>
  <c r="B36" i="116" s="1"/>
  <c r="B37" i="116" s="1"/>
  <c r="B33" i="117"/>
  <c r="B34" i="117" s="1"/>
  <c r="B35" i="117" s="1"/>
  <c r="B36" i="117" s="1"/>
  <c r="B37" i="117" s="1"/>
  <c r="J31" i="120"/>
  <c r="K31" i="120" s="1"/>
  <c r="J30" i="119"/>
  <c r="K30" i="119" s="1"/>
  <c r="J32" i="121"/>
  <c r="K32" i="121" s="1"/>
  <c r="B33" i="120"/>
  <c r="B34" i="120" s="1"/>
  <c r="B35" i="120" s="1"/>
  <c r="B36" i="120" s="1"/>
  <c r="B37" i="120" s="1"/>
  <c r="B33" i="121"/>
  <c r="B34" i="121" s="1"/>
  <c r="B35" i="121" s="1"/>
  <c r="B36" i="121" s="1"/>
  <c r="B37" i="121" s="1"/>
  <c r="B30" i="119"/>
  <c r="B31" i="119" s="1"/>
  <c r="B32" i="119" s="1"/>
  <c r="B33" i="119" s="1"/>
  <c r="B34" i="119" s="1"/>
  <c r="B35" i="119" s="1"/>
  <c r="B36" i="119" s="1"/>
  <c r="B37" i="119" s="1"/>
  <c r="K31" i="126"/>
  <c r="D32" i="126"/>
  <c r="G31" i="126"/>
  <c r="I31" i="126" s="1"/>
  <c r="J31" i="126" s="1"/>
  <c r="K32" i="125"/>
  <c r="G32" i="125"/>
  <c r="I32" i="125" s="1"/>
  <c r="J32" i="125" s="1"/>
  <c r="O32" i="123"/>
  <c r="D34" i="124"/>
  <c r="G33" i="124"/>
  <c r="I33" i="124" s="1"/>
  <c r="J33" i="124" s="1"/>
  <c r="K33" i="124"/>
  <c r="D34" i="123"/>
  <c r="G33" i="123"/>
  <c r="I33" i="123" s="1"/>
  <c r="J33" i="123" s="1"/>
  <c r="K33" i="123"/>
  <c r="BD23" i="131" s="1"/>
  <c r="G27" i="122"/>
  <c r="D28" i="122"/>
  <c r="L27" i="122"/>
  <c r="G33" i="121"/>
  <c r="L33" i="121"/>
  <c r="D34" i="121"/>
  <c r="L32" i="120"/>
  <c r="D33" i="120"/>
  <c r="G32" i="120"/>
  <c r="D32" i="119"/>
  <c r="L31" i="119"/>
  <c r="G31" i="119"/>
  <c r="D31" i="117"/>
  <c r="D29" i="116"/>
  <c r="D30" i="115"/>
  <c r="G29" i="115"/>
  <c r="I29" i="115" s="1"/>
  <c r="J29" i="115" s="1"/>
  <c r="K29" i="115"/>
  <c r="D30" i="114"/>
  <c r="D30" i="113"/>
  <c r="G29" i="113"/>
  <c r="I29" i="113" s="1"/>
  <c r="J29" i="113" s="1"/>
  <c r="K29" i="113"/>
  <c r="AP19" i="131" s="1"/>
  <c r="D30" i="112"/>
  <c r="K31" i="111"/>
  <c r="AJ21" i="131" s="1"/>
  <c r="D32" i="111"/>
  <c r="G31" i="111"/>
  <c r="I31" i="111" s="1"/>
  <c r="J31" i="111" s="1"/>
  <c r="D29" i="110"/>
  <c r="F37" i="159" l="1"/>
  <c r="G36" i="159"/>
  <c r="J36" i="159" s="1"/>
  <c r="K36" i="159" s="1"/>
  <c r="L36" i="159"/>
  <c r="N26" i="131" s="1"/>
  <c r="N29" i="131" s="1"/>
  <c r="C34" i="131" s="1"/>
  <c r="F34" i="131" s="1"/>
  <c r="K37" i="157"/>
  <c r="K39" i="157" s="1"/>
  <c r="J39" i="157"/>
  <c r="K37" i="156"/>
  <c r="K39" i="156" s="1"/>
  <c r="J39" i="156"/>
  <c r="D32" i="153"/>
  <c r="L31" i="153"/>
  <c r="I21" i="131" s="1"/>
  <c r="G31" i="153"/>
  <c r="J31" i="153" s="1"/>
  <c r="K31" i="153" s="1"/>
  <c r="F23" i="131"/>
  <c r="L28" i="150"/>
  <c r="AC18" i="131" s="1"/>
  <c r="AE18" i="131" s="1"/>
  <c r="G28" i="150"/>
  <c r="J28" i="150" s="1"/>
  <c r="K28" i="150" s="1"/>
  <c r="D29" i="150"/>
  <c r="L31" i="148"/>
  <c r="G31" i="148"/>
  <c r="J31" i="148" s="1"/>
  <c r="K31" i="148" s="1"/>
  <c r="BC23" i="131"/>
  <c r="G29" i="140"/>
  <c r="J29" i="140" s="1"/>
  <c r="K29" i="140" s="1"/>
  <c r="D30" i="140"/>
  <c r="L29" i="140"/>
  <c r="AX19" i="131" s="1"/>
  <c r="AZ19" i="131" s="1"/>
  <c r="H22" i="131"/>
  <c r="BA22" i="131"/>
  <c r="BB21" i="131"/>
  <c r="AV19" i="131"/>
  <c r="AW19" i="131" s="1"/>
  <c r="G21" i="131"/>
  <c r="AS19" i="131"/>
  <c r="B16" i="131"/>
  <c r="G27" i="139"/>
  <c r="J27" i="139" s="1"/>
  <c r="K27" i="139" s="1"/>
  <c r="L27" i="139"/>
  <c r="D28" i="139"/>
  <c r="C17" i="131"/>
  <c r="G30" i="135"/>
  <c r="J30" i="135" s="1"/>
  <c r="K30" i="135" s="1"/>
  <c r="L30" i="135"/>
  <c r="AU20" i="131" s="1"/>
  <c r="D31" i="135"/>
  <c r="D31" i="136"/>
  <c r="G30" i="136"/>
  <c r="I30" i="136" s="1"/>
  <c r="J30" i="136" s="1"/>
  <c r="K30" i="136"/>
  <c r="J27" i="122"/>
  <c r="K27" i="122" s="1"/>
  <c r="J31" i="119"/>
  <c r="K31" i="119" s="1"/>
  <c r="J33" i="121"/>
  <c r="K33" i="121" s="1"/>
  <c r="J32" i="120"/>
  <c r="K32" i="120" s="1"/>
  <c r="K32" i="126"/>
  <c r="D33" i="126"/>
  <c r="G32" i="126"/>
  <c r="I32" i="126" s="1"/>
  <c r="J32" i="126" s="1"/>
  <c r="K33" i="125"/>
  <c r="G33" i="125"/>
  <c r="I33" i="125" s="1"/>
  <c r="J33" i="125" s="1"/>
  <c r="O33" i="123"/>
  <c r="K34" i="124"/>
  <c r="D35" i="124"/>
  <c r="G34" i="124"/>
  <c r="I34" i="124" s="1"/>
  <c r="J34" i="124" s="1"/>
  <c r="K34" i="123"/>
  <c r="BD24" i="131" s="1"/>
  <c r="D35" i="123"/>
  <c r="G34" i="123"/>
  <c r="I34" i="123" s="1"/>
  <c r="J34" i="123" s="1"/>
  <c r="G28" i="122"/>
  <c r="D29" i="122"/>
  <c r="L28" i="122"/>
  <c r="D35" i="121"/>
  <c r="G34" i="121"/>
  <c r="L34" i="121"/>
  <c r="G33" i="120"/>
  <c r="L33" i="120"/>
  <c r="D34" i="120"/>
  <c r="L32" i="119"/>
  <c r="D33" i="119"/>
  <c r="G32" i="119"/>
  <c r="D32" i="117"/>
  <c r="D30" i="116"/>
  <c r="K30" i="115"/>
  <c r="D31" i="115"/>
  <c r="G30" i="115"/>
  <c r="I30" i="115" s="1"/>
  <c r="J30" i="115" s="1"/>
  <c r="D31" i="114"/>
  <c r="D31" i="113"/>
  <c r="G30" i="113"/>
  <c r="I30" i="113" s="1"/>
  <c r="J30" i="113" s="1"/>
  <c r="K30" i="113"/>
  <c r="AP20" i="131" s="1"/>
  <c r="D31" i="112"/>
  <c r="G32" i="111"/>
  <c r="I32" i="111" s="1"/>
  <c r="J32" i="111" s="1"/>
  <c r="K32" i="111"/>
  <c r="AJ22" i="131" s="1"/>
  <c r="D33" i="111"/>
  <c r="D30" i="110"/>
  <c r="G37" i="159" l="1"/>
  <c r="J37" i="159" s="1"/>
  <c r="L37" i="159"/>
  <c r="L39" i="159" s="1"/>
  <c r="D33" i="153"/>
  <c r="G32" i="153"/>
  <c r="J32" i="153" s="1"/>
  <c r="K32" i="153" s="1"/>
  <c r="L32" i="153"/>
  <c r="I22" i="131" s="1"/>
  <c r="F24" i="131"/>
  <c r="L29" i="150"/>
  <c r="AC19" i="131" s="1"/>
  <c r="AE19" i="131" s="1"/>
  <c r="G29" i="150"/>
  <c r="J29" i="150" s="1"/>
  <c r="K29" i="150" s="1"/>
  <c r="D30" i="150"/>
  <c r="L32" i="148"/>
  <c r="G32" i="148"/>
  <c r="J32" i="148" s="1"/>
  <c r="K32" i="148" s="1"/>
  <c r="BC24" i="131"/>
  <c r="L30" i="140"/>
  <c r="AX20" i="131" s="1"/>
  <c r="AZ20" i="131" s="1"/>
  <c r="D31" i="140"/>
  <c r="G30" i="140"/>
  <c r="J30" i="140" s="1"/>
  <c r="K30" i="140" s="1"/>
  <c r="G22" i="131"/>
  <c r="AV20" i="131"/>
  <c r="AW20" i="131" s="1"/>
  <c r="H23" i="131"/>
  <c r="BA23" i="131"/>
  <c r="BB22" i="131"/>
  <c r="B17" i="131"/>
  <c r="AS20" i="131"/>
  <c r="G28" i="139"/>
  <c r="J28" i="139" s="1"/>
  <c r="K28" i="139" s="1"/>
  <c r="D29" i="139"/>
  <c r="L28" i="139"/>
  <c r="C18" i="131"/>
  <c r="L31" i="135"/>
  <c r="AU21" i="131" s="1"/>
  <c r="D32" i="135"/>
  <c r="G31" i="135"/>
  <c r="J31" i="135" s="1"/>
  <c r="K31" i="135" s="1"/>
  <c r="D32" i="136"/>
  <c r="G31" i="136"/>
  <c r="I31" i="136" s="1"/>
  <c r="J31" i="136" s="1"/>
  <c r="K31" i="136"/>
  <c r="J28" i="122"/>
  <c r="K28" i="122" s="1"/>
  <c r="J34" i="121"/>
  <c r="K34" i="121" s="1"/>
  <c r="J32" i="119"/>
  <c r="K32" i="119" s="1"/>
  <c r="J33" i="120"/>
  <c r="K33" i="120" s="1"/>
  <c r="K33" i="126"/>
  <c r="D34" i="126"/>
  <c r="G33" i="126"/>
  <c r="I33" i="126" s="1"/>
  <c r="J33" i="126" s="1"/>
  <c r="K34" i="125"/>
  <c r="G34" i="125"/>
  <c r="I34" i="125" s="1"/>
  <c r="J34" i="125" s="1"/>
  <c r="O34" i="123"/>
  <c r="K35" i="124"/>
  <c r="G35" i="124"/>
  <c r="I35" i="124" s="1"/>
  <c r="J35" i="124" s="1"/>
  <c r="D36" i="124"/>
  <c r="K35" i="123"/>
  <c r="BD25" i="131" s="1"/>
  <c r="G35" i="123"/>
  <c r="I35" i="123" s="1"/>
  <c r="J35" i="123" s="1"/>
  <c r="D36" i="123"/>
  <c r="D30" i="122"/>
  <c r="L29" i="122"/>
  <c r="G29" i="122"/>
  <c r="D36" i="121"/>
  <c r="G35" i="121"/>
  <c r="L35" i="121"/>
  <c r="D35" i="120"/>
  <c r="G34" i="120"/>
  <c r="L34" i="120"/>
  <c r="G33" i="119"/>
  <c r="L33" i="119"/>
  <c r="D34" i="119"/>
  <c r="D33" i="117"/>
  <c r="D31" i="116"/>
  <c r="K31" i="115"/>
  <c r="G31" i="115"/>
  <c r="I31" i="115" s="1"/>
  <c r="J31" i="115" s="1"/>
  <c r="D32" i="115"/>
  <c r="D32" i="114"/>
  <c r="K31" i="113"/>
  <c r="AP21" i="131" s="1"/>
  <c r="G31" i="113"/>
  <c r="I31" i="113" s="1"/>
  <c r="J31" i="113" s="1"/>
  <c r="D32" i="113"/>
  <c r="D32" i="112"/>
  <c r="D34" i="111"/>
  <c r="G33" i="111"/>
  <c r="I33" i="111" s="1"/>
  <c r="J33" i="111" s="1"/>
  <c r="K33" i="111"/>
  <c r="AJ23" i="131" s="1"/>
  <c r="D31" i="110"/>
  <c r="K37" i="159" l="1"/>
  <c r="K39" i="159" s="1"/>
  <c r="J39" i="159"/>
  <c r="D34" i="153"/>
  <c r="G33" i="153"/>
  <c r="J33" i="153" s="1"/>
  <c r="K33" i="153" s="1"/>
  <c r="L33" i="153"/>
  <c r="I23" i="131" s="1"/>
  <c r="F25" i="131"/>
  <c r="L30" i="150"/>
  <c r="AC20" i="131" s="1"/>
  <c r="AE20" i="131" s="1"/>
  <c r="D31" i="150"/>
  <c r="G30" i="150"/>
  <c r="J30" i="150" s="1"/>
  <c r="K30" i="150" s="1"/>
  <c r="L33" i="148"/>
  <c r="G33" i="148"/>
  <c r="J33" i="148" s="1"/>
  <c r="K33" i="148" s="1"/>
  <c r="BC25" i="131"/>
  <c r="D32" i="140"/>
  <c r="L31" i="140"/>
  <c r="AX21" i="131" s="1"/>
  <c r="AZ21" i="131" s="1"/>
  <c r="G31" i="140"/>
  <c r="J31" i="140" s="1"/>
  <c r="K31" i="140" s="1"/>
  <c r="AV21" i="131"/>
  <c r="AW21" i="131" s="1"/>
  <c r="BB23" i="131"/>
  <c r="B18" i="131"/>
  <c r="BA24" i="131"/>
  <c r="H24" i="131"/>
  <c r="AS21" i="131"/>
  <c r="G23" i="131"/>
  <c r="L29" i="139"/>
  <c r="G29" i="139"/>
  <c r="J29" i="139" s="1"/>
  <c r="K29" i="139" s="1"/>
  <c r="D30" i="139"/>
  <c r="C19" i="131"/>
  <c r="L32" i="135"/>
  <c r="AU22" i="131" s="1"/>
  <c r="D33" i="135"/>
  <c r="G32" i="135"/>
  <c r="J32" i="135" s="1"/>
  <c r="K32" i="135" s="1"/>
  <c r="D33" i="136"/>
  <c r="G32" i="136"/>
  <c r="I32" i="136" s="1"/>
  <c r="J32" i="136" s="1"/>
  <c r="K32" i="136"/>
  <c r="J29" i="122"/>
  <c r="K29" i="122" s="1"/>
  <c r="J35" i="121"/>
  <c r="K35" i="121" s="1"/>
  <c r="J34" i="120"/>
  <c r="K34" i="120" s="1"/>
  <c r="J33" i="119"/>
  <c r="K33" i="119" s="1"/>
  <c r="K34" i="126"/>
  <c r="D35" i="126"/>
  <c r="G34" i="126"/>
  <c r="I34" i="126" s="1"/>
  <c r="J34" i="126" s="1"/>
  <c r="K35" i="125"/>
  <c r="G35" i="125"/>
  <c r="I35" i="125" s="1"/>
  <c r="J35" i="125" s="1"/>
  <c r="O35" i="123"/>
  <c r="G36" i="124"/>
  <c r="I36" i="124" s="1"/>
  <c r="J36" i="124" s="1"/>
  <c r="D37" i="124"/>
  <c r="K36" i="124"/>
  <c r="G36" i="123"/>
  <c r="I36" i="123" s="1"/>
  <c r="J36" i="123" s="1"/>
  <c r="D37" i="123"/>
  <c r="K36" i="123"/>
  <c r="BD26" i="131" s="1"/>
  <c r="BD29" i="131" s="1"/>
  <c r="D31" i="122"/>
  <c r="G30" i="122"/>
  <c r="L30" i="122"/>
  <c r="L36" i="121"/>
  <c r="D37" i="121"/>
  <c r="G36" i="121"/>
  <c r="D36" i="120"/>
  <c r="G35" i="120"/>
  <c r="L35" i="120"/>
  <c r="D35" i="119"/>
  <c r="G34" i="119"/>
  <c r="L34" i="119"/>
  <c r="D34" i="117"/>
  <c r="D32" i="116"/>
  <c r="G32" i="115"/>
  <c r="I32" i="115" s="1"/>
  <c r="J32" i="115" s="1"/>
  <c r="D33" i="115"/>
  <c r="K32" i="115"/>
  <c r="D33" i="114"/>
  <c r="G32" i="113"/>
  <c r="I32" i="113" s="1"/>
  <c r="J32" i="113" s="1"/>
  <c r="K32" i="113"/>
  <c r="AP22" i="131" s="1"/>
  <c r="D33" i="113"/>
  <c r="D33" i="112"/>
  <c r="D35" i="111"/>
  <c r="G34" i="111"/>
  <c r="I34" i="111" s="1"/>
  <c r="J34" i="111" s="1"/>
  <c r="K34" i="111"/>
  <c r="AJ24" i="131" s="1"/>
  <c r="D32" i="110"/>
  <c r="D35" i="153" l="1"/>
  <c r="L34" i="153"/>
  <c r="I24" i="131" s="1"/>
  <c r="G34" i="153"/>
  <c r="J34" i="153" s="1"/>
  <c r="K34" i="153" s="1"/>
  <c r="F26" i="131"/>
  <c r="F29" i="131" s="1"/>
  <c r="G31" i="150"/>
  <c r="J31" i="150" s="1"/>
  <c r="K31" i="150" s="1"/>
  <c r="L31" i="150"/>
  <c r="AC21" i="131" s="1"/>
  <c r="AE21" i="131" s="1"/>
  <c r="D32" i="150"/>
  <c r="L34" i="148"/>
  <c r="G34" i="148"/>
  <c r="J34" i="148" s="1"/>
  <c r="K34" i="148" s="1"/>
  <c r="BC26" i="131"/>
  <c r="BC29" i="131" s="1"/>
  <c r="D33" i="140"/>
  <c r="G32" i="140"/>
  <c r="J32" i="140" s="1"/>
  <c r="K32" i="140" s="1"/>
  <c r="L32" i="140"/>
  <c r="AX22" i="131" s="1"/>
  <c r="AZ22" i="131" s="1"/>
  <c r="AS22" i="131"/>
  <c r="BB24" i="131"/>
  <c r="G24" i="131"/>
  <c r="BA25" i="131"/>
  <c r="H25" i="131"/>
  <c r="B19" i="131"/>
  <c r="AV22" i="131"/>
  <c r="AW22" i="131" s="1"/>
  <c r="D31" i="139"/>
  <c r="G30" i="139"/>
  <c r="J30" i="139" s="1"/>
  <c r="K30" i="139" s="1"/>
  <c r="L30" i="139"/>
  <c r="C20" i="131"/>
  <c r="L33" i="135"/>
  <c r="AU23" i="131" s="1"/>
  <c r="D34" i="135"/>
  <c r="G33" i="135"/>
  <c r="J33" i="135" s="1"/>
  <c r="K33" i="135" s="1"/>
  <c r="D34" i="136"/>
  <c r="G33" i="136"/>
  <c r="I33" i="136" s="1"/>
  <c r="J33" i="136" s="1"/>
  <c r="K33" i="136"/>
  <c r="J30" i="122"/>
  <c r="K30" i="122" s="1"/>
  <c r="J35" i="120"/>
  <c r="K35" i="120" s="1"/>
  <c r="J34" i="119"/>
  <c r="K34" i="119" s="1"/>
  <c r="J36" i="121"/>
  <c r="K36" i="121" s="1"/>
  <c r="K35" i="126"/>
  <c r="D36" i="126"/>
  <c r="G35" i="126"/>
  <c r="I35" i="126" s="1"/>
  <c r="J35" i="126" s="1"/>
  <c r="K36" i="125"/>
  <c r="G36" i="125"/>
  <c r="I36" i="125" s="1"/>
  <c r="J36" i="125" s="1"/>
  <c r="O36" i="123"/>
  <c r="G37" i="124"/>
  <c r="I37" i="124" s="1"/>
  <c r="K37" i="124"/>
  <c r="G37" i="123"/>
  <c r="I37" i="123" s="1"/>
  <c r="K37" i="123"/>
  <c r="D32" i="122"/>
  <c r="G31" i="122"/>
  <c r="L31" i="122"/>
  <c r="G37" i="121"/>
  <c r="L37" i="121"/>
  <c r="L36" i="120"/>
  <c r="H26" i="131" s="1"/>
  <c r="H29" i="131" s="1"/>
  <c r="D37" i="120"/>
  <c r="G36" i="120"/>
  <c r="D36" i="119"/>
  <c r="G35" i="119"/>
  <c r="L35" i="119"/>
  <c r="D35" i="117"/>
  <c r="D33" i="116"/>
  <c r="D34" i="115"/>
  <c r="G33" i="115"/>
  <c r="I33" i="115" s="1"/>
  <c r="J33" i="115" s="1"/>
  <c r="K33" i="115"/>
  <c r="D34" i="114"/>
  <c r="D34" i="113"/>
  <c r="G33" i="113"/>
  <c r="I33" i="113" s="1"/>
  <c r="J33" i="113" s="1"/>
  <c r="K33" i="113"/>
  <c r="AP23" i="131" s="1"/>
  <c r="D34" i="112"/>
  <c r="K35" i="111"/>
  <c r="AJ25" i="131" s="1"/>
  <c r="D36" i="111"/>
  <c r="G35" i="111"/>
  <c r="I35" i="111" s="1"/>
  <c r="J35" i="111" s="1"/>
  <c r="D33" i="110"/>
  <c r="D36" i="153" l="1"/>
  <c r="G35" i="153"/>
  <c r="J35" i="153" s="1"/>
  <c r="K35" i="153" s="1"/>
  <c r="L35" i="153"/>
  <c r="I25" i="131" s="1"/>
  <c r="C39" i="131"/>
  <c r="F39" i="131" s="1"/>
  <c r="G32" i="150"/>
  <c r="J32" i="150" s="1"/>
  <c r="K32" i="150" s="1"/>
  <c r="L32" i="150"/>
  <c r="AC22" i="131" s="1"/>
  <c r="AE22" i="131" s="1"/>
  <c r="D33" i="150"/>
  <c r="G35" i="148"/>
  <c r="J35" i="148" s="1"/>
  <c r="K35" i="148" s="1"/>
  <c r="L35" i="148"/>
  <c r="C72" i="131"/>
  <c r="G33" i="140"/>
  <c r="J33" i="140" s="1"/>
  <c r="K33" i="140" s="1"/>
  <c r="L33" i="140"/>
  <c r="AX23" i="131" s="1"/>
  <c r="AZ23" i="131" s="1"/>
  <c r="D34" i="140"/>
  <c r="AS23" i="131"/>
  <c r="K39" i="123"/>
  <c r="C71" i="131"/>
  <c r="G25" i="131"/>
  <c r="AV23" i="131"/>
  <c r="AW23" i="131" s="1"/>
  <c r="B20" i="131"/>
  <c r="K39" i="125"/>
  <c r="BA26" i="131"/>
  <c r="BA29" i="131" s="1"/>
  <c r="BB25" i="131"/>
  <c r="G31" i="139"/>
  <c r="J31" i="139" s="1"/>
  <c r="K31" i="139" s="1"/>
  <c r="L31" i="139"/>
  <c r="D32" i="139"/>
  <c r="C21" i="131"/>
  <c r="L39" i="121"/>
  <c r="D35" i="135"/>
  <c r="G34" i="135"/>
  <c r="J34" i="135" s="1"/>
  <c r="K34" i="135" s="1"/>
  <c r="L34" i="135"/>
  <c r="AU24" i="131" s="1"/>
  <c r="G34" i="136"/>
  <c r="I34" i="136" s="1"/>
  <c r="J34" i="136" s="1"/>
  <c r="K34" i="136"/>
  <c r="D35" i="136"/>
  <c r="K39" i="124"/>
  <c r="J37" i="124"/>
  <c r="J39" i="124" s="1"/>
  <c r="I39" i="124"/>
  <c r="J31" i="122"/>
  <c r="K31" i="122" s="1"/>
  <c r="J37" i="123"/>
  <c r="J39" i="123" s="1"/>
  <c r="I39" i="123"/>
  <c r="J35" i="119"/>
  <c r="K35" i="119" s="1"/>
  <c r="P37" i="121"/>
  <c r="J36" i="120"/>
  <c r="K36" i="120" s="1"/>
  <c r="J37" i="121"/>
  <c r="J39" i="121" s="1"/>
  <c r="K36" i="126"/>
  <c r="BB26" i="131" s="1"/>
  <c r="BB29" i="131" s="1"/>
  <c r="D37" i="126"/>
  <c r="G36" i="126"/>
  <c r="I36" i="126" s="1"/>
  <c r="J36" i="126" s="1"/>
  <c r="K37" i="125"/>
  <c r="G37" i="125"/>
  <c r="I37" i="125" s="1"/>
  <c r="O37" i="123"/>
  <c r="D33" i="122"/>
  <c r="G32" i="122"/>
  <c r="L32" i="122"/>
  <c r="G37" i="120"/>
  <c r="J37" i="120" s="1"/>
  <c r="L37" i="120"/>
  <c r="L36" i="119"/>
  <c r="G26" i="131" s="1"/>
  <c r="D37" i="119"/>
  <c r="G36" i="119"/>
  <c r="D36" i="117"/>
  <c r="D34" i="116"/>
  <c r="K34" i="115"/>
  <c r="D35" i="115"/>
  <c r="G34" i="115"/>
  <c r="I34" i="115" s="1"/>
  <c r="J34" i="115" s="1"/>
  <c r="D35" i="114"/>
  <c r="K34" i="113"/>
  <c r="AP24" i="131" s="1"/>
  <c r="D35" i="113"/>
  <c r="G34" i="113"/>
  <c r="I34" i="113" s="1"/>
  <c r="J34" i="113" s="1"/>
  <c r="D35" i="112"/>
  <c r="G36" i="111"/>
  <c r="I36" i="111" s="1"/>
  <c r="J36" i="111" s="1"/>
  <c r="K36" i="111"/>
  <c r="AJ26" i="131" s="1"/>
  <c r="AJ29" i="131" s="1"/>
  <c r="D37" i="111"/>
  <c r="D34" i="110"/>
  <c r="G29" i="131" l="1"/>
  <c r="D37" i="153"/>
  <c r="G36" i="153"/>
  <c r="J36" i="153" s="1"/>
  <c r="K36" i="153" s="1"/>
  <c r="L36" i="153"/>
  <c r="I26" i="131" s="1"/>
  <c r="I29" i="131" s="1"/>
  <c r="D34" i="150"/>
  <c r="L33" i="150"/>
  <c r="AC23" i="131" s="1"/>
  <c r="AE23" i="131" s="1"/>
  <c r="G33" i="150"/>
  <c r="J33" i="150" s="1"/>
  <c r="K33" i="150" s="1"/>
  <c r="G36" i="148"/>
  <c r="J36" i="148" s="1"/>
  <c r="K36" i="148" s="1"/>
  <c r="L36" i="148"/>
  <c r="L34" i="140"/>
  <c r="AX24" i="131" s="1"/>
  <c r="AZ24" i="131" s="1"/>
  <c r="D35" i="140"/>
  <c r="G34" i="140"/>
  <c r="J34" i="140" s="1"/>
  <c r="K34" i="140" s="1"/>
  <c r="AV24" i="131"/>
  <c r="AW24" i="131" s="1"/>
  <c r="AS24" i="131"/>
  <c r="B21" i="131"/>
  <c r="L39" i="120"/>
  <c r="C33" i="131"/>
  <c r="F33" i="131" s="1"/>
  <c r="C69" i="131"/>
  <c r="G32" i="139"/>
  <c r="J32" i="139" s="1"/>
  <c r="K32" i="139" s="1"/>
  <c r="D33" i="139"/>
  <c r="L32" i="139"/>
  <c r="C22" i="131"/>
  <c r="D36" i="136"/>
  <c r="K35" i="136"/>
  <c r="G35" i="136"/>
  <c r="I35" i="136" s="1"/>
  <c r="J35" i="136" s="1"/>
  <c r="L35" i="135"/>
  <c r="AU25" i="131" s="1"/>
  <c r="D36" i="135"/>
  <c r="G35" i="135"/>
  <c r="J35" i="135" s="1"/>
  <c r="K35" i="135" s="1"/>
  <c r="J32" i="122"/>
  <c r="K32" i="122" s="1"/>
  <c r="J37" i="125"/>
  <c r="J39" i="125" s="1"/>
  <c r="I39" i="125"/>
  <c r="J39" i="120"/>
  <c r="K37" i="121"/>
  <c r="K39" i="121" s="1"/>
  <c r="J36" i="119"/>
  <c r="K36" i="119" s="1"/>
  <c r="K37" i="120"/>
  <c r="K39" i="120" s="1"/>
  <c r="K37" i="126"/>
  <c r="C70" i="131" s="1"/>
  <c r="G37" i="126"/>
  <c r="I37" i="126" s="1"/>
  <c r="G33" i="122"/>
  <c r="D34" i="122"/>
  <c r="L33" i="122"/>
  <c r="G37" i="119"/>
  <c r="L37" i="119"/>
  <c r="D37" i="117"/>
  <c r="D35" i="116"/>
  <c r="K35" i="115"/>
  <c r="G35" i="115"/>
  <c r="I35" i="115" s="1"/>
  <c r="J35" i="115" s="1"/>
  <c r="D36" i="115"/>
  <c r="D36" i="114"/>
  <c r="K35" i="113"/>
  <c r="AP25" i="131" s="1"/>
  <c r="D36" i="113"/>
  <c r="G35" i="113"/>
  <c r="I35" i="113" s="1"/>
  <c r="J35" i="113" s="1"/>
  <c r="D36" i="112"/>
  <c r="G37" i="111"/>
  <c r="I37" i="111" s="1"/>
  <c r="K37" i="111"/>
  <c r="D35" i="110"/>
  <c r="G37" i="153" l="1"/>
  <c r="J37" i="153" s="1"/>
  <c r="L37" i="153"/>
  <c r="C43" i="131" s="1"/>
  <c r="F43" i="131" s="1"/>
  <c r="G34" i="150"/>
  <c r="J34" i="150" s="1"/>
  <c r="K34" i="150" s="1"/>
  <c r="L34" i="150"/>
  <c r="AC24" i="131" s="1"/>
  <c r="AE24" i="131" s="1"/>
  <c r="D35" i="150"/>
  <c r="L37" i="148"/>
  <c r="L39" i="148" s="1"/>
  <c r="G37" i="148"/>
  <c r="J37" i="148" s="1"/>
  <c r="D36" i="140"/>
  <c r="L35" i="140"/>
  <c r="AX25" i="131" s="1"/>
  <c r="AZ25" i="131" s="1"/>
  <c r="G35" i="140"/>
  <c r="J35" i="140" s="1"/>
  <c r="K35" i="140" s="1"/>
  <c r="AS25" i="131"/>
  <c r="AV25" i="131"/>
  <c r="AW25" i="131" s="1"/>
  <c r="B22" i="131"/>
  <c r="K39" i="111"/>
  <c r="L39" i="119"/>
  <c r="C36" i="131"/>
  <c r="F36" i="131" s="1"/>
  <c r="G33" i="139"/>
  <c r="J33" i="139" s="1"/>
  <c r="K33" i="139" s="1"/>
  <c r="L33" i="139"/>
  <c r="D34" i="139"/>
  <c r="C23" i="131"/>
  <c r="L36" i="135"/>
  <c r="AU26" i="131" s="1"/>
  <c r="AU29" i="131" s="1"/>
  <c r="D37" i="135"/>
  <c r="G36" i="135"/>
  <c r="J36" i="135" s="1"/>
  <c r="K36" i="135" s="1"/>
  <c r="D37" i="136"/>
  <c r="G36" i="136"/>
  <c r="I36" i="136" s="1"/>
  <c r="J36" i="136" s="1"/>
  <c r="K36" i="136"/>
  <c r="AV26" i="131" s="1"/>
  <c r="J37" i="111"/>
  <c r="J39" i="111" s="1"/>
  <c r="I39" i="111"/>
  <c r="J37" i="126"/>
  <c r="J39" i="126" s="1"/>
  <c r="I39" i="126"/>
  <c r="J33" i="122"/>
  <c r="K33" i="122" s="1"/>
  <c r="K39" i="126"/>
  <c r="J37" i="119"/>
  <c r="J39" i="119" s="1"/>
  <c r="L34" i="122"/>
  <c r="G34" i="122"/>
  <c r="D35" i="122"/>
  <c r="D36" i="116"/>
  <c r="G36" i="115"/>
  <c r="I36" i="115" s="1"/>
  <c r="J36" i="115" s="1"/>
  <c r="D37" i="115"/>
  <c r="K36" i="115"/>
  <c r="AS26" i="131" s="1"/>
  <c r="AS29" i="131" s="1"/>
  <c r="D37" i="114"/>
  <c r="G36" i="113"/>
  <c r="I36" i="113" s="1"/>
  <c r="J36" i="113" s="1"/>
  <c r="D37" i="113"/>
  <c r="K36" i="113"/>
  <c r="AP26" i="131" s="1"/>
  <c r="AP29" i="131" s="1"/>
  <c r="D37" i="112"/>
  <c r="D36" i="110"/>
  <c r="AV29" i="131" l="1"/>
  <c r="L39" i="153"/>
  <c r="K37" i="153"/>
  <c r="K39" i="153" s="1"/>
  <c r="J39" i="153"/>
  <c r="D36" i="150"/>
  <c r="G35" i="150"/>
  <c r="J35" i="150" s="1"/>
  <c r="K35" i="150" s="1"/>
  <c r="L35" i="150"/>
  <c r="AC25" i="131" s="1"/>
  <c r="AE25" i="131" s="1"/>
  <c r="K37" i="148"/>
  <c r="K39" i="148" s="1"/>
  <c r="J39" i="148"/>
  <c r="G36" i="140"/>
  <c r="J36" i="140" s="1"/>
  <c r="K36" i="140" s="1"/>
  <c r="L36" i="140"/>
  <c r="AX26" i="131" s="1"/>
  <c r="D37" i="140"/>
  <c r="AW26" i="131"/>
  <c r="AW29" i="131" s="1"/>
  <c r="B23" i="131"/>
  <c r="G34" i="139"/>
  <c r="J34" i="139" s="1"/>
  <c r="K34" i="139" s="1"/>
  <c r="L34" i="139"/>
  <c r="D35" i="139"/>
  <c r="C24" i="131"/>
  <c r="G37" i="136"/>
  <c r="I37" i="136" s="1"/>
  <c r="K37" i="136"/>
  <c r="K39" i="136"/>
  <c r="G37" i="135"/>
  <c r="J37" i="135" s="1"/>
  <c r="L37" i="135"/>
  <c r="J34" i="122"/>
  <c r="K34" i="122" s="1"/>
  <c r="K37" i="119"/>
  <c r="K39" i="119" s="1"/>
  <c r="K39" i="115"/>
  <c r="L35" i="122"/>
  <c r="G35" i="122"/>
  <c r="D36" i="122"/>
  <c r="D37" i="116"/>
  <c r="G37" i="115"/>
  <c r="I37" i="115" s="1"/>
  <c r="K37" i="115"/>
  <c r="G37" i="113"/>
  <c r="I37" i="113" s="1"/>
  <c r="K37" i="113"/>
  <c r="D37" i="110"/>
  <c r="AZ26" i="131" l="1"/>
  <c r="AZ29" i="131" s="1"/>
  <c r="AX29" i="131"/>
  <c r="D37" i="150"/>
  <c r="G36" i="150"/>
  <c r="J36" i="150" s="1"/>
  <c r="K36" i="150" s="1"/>
  <c r="L36" i="150"/>
  <c r="AC26" i="131" s="1"/>
  <c r="G37" i="140"/>
  <c r="J37" i="140" s="1"/>
  <c r="L37" i="140"/>
  <c r="B24" i="131"/>
  <c r="L39" i="135"/>
  <c r="K39" i="113"/>
  <c r="G35" i="139"/>
  <c r="J35" i="139" s="1"/>
  <c r="K35" i="139" s="1"/>
  <c r="L35" i="139"/>
  <c r="D36" i="139"/>
  <c r="C25" i="131"/>
  <c r="K37" i="135"/>
  <c r="K39" i="135" s="1"/>
  <c r="J39" i="135"/>
  <c r="J37" i="136"/>
  <c r="J39" i="136" s="1"/>
  <c r="I39" i="136"/>
  <c r="J35" i="122"/>
  <c r="K35" i="122" s="1"/>
  <c r="J37" i="113"/>
  <c r="J39" i="113" s="1"/>
  <c r="I39" i="113"/>
  <c r="J37" i="115"/>
  <c r="J39" i="115" s="1"/>
  <c r="I39" i="115"/>
  <c r="G36" i="122"/>
  <c r="L36" i="122"/>
  <c r="C26" i="131" s="1"/>
  <c r="C29" i="131" s="1"/>
  <c r="D37" i="122"/>
  <c r="S16" i="122"/>
  <c r="S16" i="116"/>
  <c r="AE26" i="131" l="1"/>
  <c r="AE29" i="131" s="1"/>
  <c r="AC29" i="131"/>
  <c r="G37" i="150"/>
  <c r="J37" i="150" s="1"/>
  <c r="L37" i="150"/>
  <c r="L39" i="140"/>
  <c r="K37" i="140"/>
  <c r="K39" i="140" s="1"/>
  <c r="J39" i="140"/>
  <c r="B25" i="131"/>
  <c r="G36" i="139"/>
  <c r="J36" i="139" s="1"/>
  <c r="K36" i="139" s="1"/>
  <c r="D37" i="139"/>
  <c r="L36" i="139"/>
  <c r="J36" i="122"/>
  <c r="K36" i="122" s="1"/>
  <c r="S16" i="121"/>
  <c r="S16" i="119"/>
  <c r="S16" i="120"/>
  <c r="G37" i="122"/>
  <c r="L37" i="122"/>
  <c r="C37" i="131" s="1"/>
  <c r="F37" i="131" s="1"/>
  <c r="L39" i="150" l="1"/>
  <c r="K37" i="150"/>
  <c r="K39" i="150" s="1"/>
  <c r="J39" i="150"/>
  <c r="C65" i="131"/>
  <c r="F65" i="131" s="1"/>
  <c r="C56" i="131"/>
  <c r="F56" i="131" s="1"/>
  <c r="B26" i="131"/>
  <c r="B29" i="131" s="1"/>
  <c r="G37" i="139"/>
  <c r="J37" i="139" s="1"/>
  <c r="L37" i="139"/>
  <c r="P37" i="122"/>
  <c r="L39" i="122"/>
  <c r="J37" i="122"/>
  <c r="J39" i="122" s="1"/>
  <c r="X17" i="122"/>
  <c r="X18" i="122" s="1"/>
  <c r="X19" i="122" s="1"/>
  <c r="Y19" i="122" s="1"/>
  <c r="X17" i="116"/>
  <c r="X18" i="116" s="1"/>
  <c r="X19" i="116" s="1"/>
  <c r="X20" i="116" s="1"/>
  <c r="X21" i="116" s="1"/>
  <c r="Y21" i="116" s="1"/>
  <c r="C57" i="131" l="1"/>
  <c r="F57" i="131" s="1"/>
  <c r="L39" i="139"/>
  <c r="K37" i="139"/>
  <c r="K39" i="139" s="1"/>
  <c r="J39" i="139"/>
  <c r="K37" i="122"/>
  <c r="K39" i="122" s="1"/>
  <c r="X17" i="121"/>
  <c r="X18" i="121" s="1"/>
  <c r="X19" i="121" s="1"/>
  <c r="X20" i="121" s="1"/>
  <c r="X21" i="121" s="1"/>
  <c r="X22" i="121" s="1"/>
  <c r="X23" i="121" s="1"/>
  <c r="Y23" i="121" s="1"/>
  <c r="X17" i="119"/>
  <c r="X18" i="119" s="1"/>
  <c r="X19" i="119" s="1"/>
  <c r="X20" i="119" s="1"/>
  <c r="X21" i="119" s="1"/>
  <c r="X22" i="119" s="1"/>
  <c r="X23" i="119" s="1"/>
  <c r="Y23" i="119" s="1"/>
  <c r="X17" i="120"/>
  <c r="X18" i="120" s="1"/>
  <c r="X19" i="120" s="1"/>
  <c r="X20" i="120" s="1"/>
  <c r="X21" i="120" s="1"/>
  <c r="X22" i="120" s="1"/>
  <c r="X23" i="120" s="1"/>
  <c r="Y23" i="120" s="1"/>
  <c r="S16" i="101" l="1"/>
  <c r="S16" i="109"/>
  <c r="S16" i="114"/>
  <c r="S16" i="117"/>
  <c r="S16" i="100" l="1"/>
  <c r="S16" i="112"/>
  <c r="S16" i="110"/>
  <c r="R16" i="124"/>
  <c r="R16" i="126"/>
  <c r="R16" i="125"/>
  <c r="R16" i="123"/>
  <c r="R16" i="115"/>
  <c r="R16" i="111"/>
  <c r="R16" i="105"/>
  <c r="R16" i="113"/>
  <c r="R16" i="108"/>
  <c r="R16" i="107"/>
  <c r="X17" i="117" l="1"/>
  <c r="X18" i="117" s="1"/>
  <c r="X19" i="117" s="1"/>
  <c r="X20" i="117" s="1"/>
  <c r="X21" i="117" s="1"/>
  <c r="X22" i="117" s="1"/>
  <c r="Y22" i="117" s="1"/>
  <c r="X17" i="114"/>
  <c r="X18" i="114" s="1"/>
  <c r="X19" i="114" s="1"/>
  <c r="X20" i="114" s="1"/>
  <c r="Y20" i="114" s="1"/>
  <c r="X17" i="109"/>
  <c r="X18" i="109" s="1"/>
  <c r="X19" i="109" s="1"/>
  <c r="X17" i="101"/>
  <c r="X18" i="101" s="1"/>
  <c r="X19" i="101" s="1"/>
  <c r="X20" i="101" s="1"/>
  <c r="X17" i="110" l="1"/>
  <c r="X18" i="110" s="1"/>
  <c r="X19" i="110" s="1"/>
  <c r="X20" i="110" s="1"/>
  <c r="Y20" i="110" s="1"/>
  <c r="X17" i="112"/>
  <c r="X18" i="112" s="1"/>
  <c r="X19" i="112" s="1"/>
  <c r="X20" i="112" s="1"/>
  <c r="Y20" i="112" s="1"/>
  <c r="W17" i="125"/>
  <c r="W18" i="125" s="1"/>
  <c r="W19" i="125" s="1"/>
  <c r="W20" i="125" s="1"/>
  <c r="X20" i="125" s="1"/>
  <c r="W17" i="124"/>
  <c r="W18" i="124" s="1"/>
  <c r="W19" i="124" s="1"/>
  <c r="W20" i="124" s="1"/>
  <c r="W21" i="124" s="1"/>
  <c r="W22" i="124" s="1"/>
  <c r="X22" i="124" s="1"/>
  <c r="W17" i="123"/>
  <c r="W18" i="123" s="1"/>
  <c r="W19" i="123" s="1"/>
  <c r="W20" i="123" s="1"/>
  <c r="W21" i="123" s="1"/>
  <c r="W22" i="123" s="1"/>
  <c r="X22" i="123" s="1"/>
  <c r="W17" i="126"/>
  <c r="W18" i="126" s="1"/>
  <c r="W19" i="126" s="1"/>
  <c r="W20" i="126" s="1"/>
  <c r="W21" i="126" s="1"/>
  <c r="X21" i="126" s="1"/>
  <c r="W17" i="105"/>
  <c r="W18" i="105" s="1"/>
  <c r="W19" i="105" s="1"/>
  <c r="W17" i="115"/>
  <c r="W18" i="115" s="1"/>
  <c r="W19" i="115" s="1"/>
  <c r="W20" i="115" s="1"/>
  <c r="X20" i="115" s="1"/>
  <c r="W17" i="108"/>
  <c r="W18" i="108" s="1"/>
  <c r="W19" i="108" s="1"/>
  <c r="W20" i="108" s="1"/>
  <c r="W17" i="106"/>
  <c r="W18" i="106" s="1"/>
  <c r="W19" i="106" s="1"/>
  <c r="W20" i="106" s="1"/>
  <c r="W21" i="106" s="1"/>
  <c r="W22" i="106" s="1"/>
  <c r="W23" i="106" s="1"/>
  <c r="W17" i="113"/>
  <c r="W18" i="113" s="1"/>
  <c r="W19" i="113" s="1"/>
  <c r="W20" i="113" s="1"/>
  <c r="X20" i="113" s="1"/>
  <c r="W17" i="107"/>
  <c r="W18" i="107" s="1"/>
  <c r="W19" i="107" s="1"/>
  <c r="W17" i="111"/>
  <c r="W18" i="111" s="1"/>
  <c r="W19" i="111" s="1"/>
  <c r="W20" i="111" s="1"/>
  <c r="X20" i="111" s="1"/>
  <c r="X17" i="100"/>
  <c r="X18" i="100" s="1"/>
  <c r="X19" i="100" s="1"/>
  <c r="C63" i="98" l="1"/>
  <c r="C63" i="106"/>
  <c r="R16" i="106"/>
  <c r="D47" i="106" l="1"/>
  <c r="B60" i="106"/>
  <c r="D49" i="106"/>
  <c r="C49" i="106"/>
  <c r="D48" i="106"/>
  <c r="C48" i="106"/>
  <c r="C47" i="106"/>
  <c r="D46" i="106"/>
  <c r="C46" i="106"/>
  <c r="C45" i="106"/>
  <c r="B11" i="106"/>
  <c r="B12" i="106" s="1"/>
  <c r="B13" i="106" s="1"/>
  <c r="B14" i="106" s="1"/>
  <c r="B15" i="106" s="1"/>
  <c r="B16" i="106" s="1"/>
  <c r="B17" i="106" s="1"/>
  <c r="B18" i="106" s="1"/>
  <c r="B19" i="106" s="1"/>
  <c r="B20" i="106" s="1"/>
  <c r="B21" i="106" s="1"/>
  <c r="B22" i="106" s="1"/>
  <c r="B23" i="106" s="1"/>
  <c r="B24" i="106" s="1"/>
  <c r="B25" i="106" s="1"/>
  <c r="B26" i="106" s="1"/>
  <c r="B27" i="106" s="1"/>
  <c r="B28" i="106" s="1"/>
  <c r="B29" i="106" s="1"/>
  <c r="B30" i="106" s="1"/>
  <c r="B31" i="106" s="1"/>
  <c r="B32" i="106" s="1"/>
  <c r="B33" i="106" s="1"/>
  <c r="B34" i="106" s="1"/>
  <c r="B35" i="106" s="1"/>
  <c r="B36" i="106" s="1"/>
  <c r="B37" i="106" s="1"/>
  <c r="B3" i="106"/>
  <c r="C52" i="106" s="1"/>
  <c r="B9" i="106" s="1"/>
  <c r="R90" i="97"/>
  <c r="C23" i="106" s="1"/>
  <c r="L90" i="97"/>
  <c r="E23" i="106" s="1"/>
  <c r="X23" i="106" s="1"/>
  <c r="E24" i="106" l="1"/>
  <c r="E25" i="106" s="1"/>
  <c r="E26" i="106" s="1"/>
  <c r="E27" i="106" s="1"/>
  <c r="E28" i="106" s="1"/>
  <c r="E29" i="106" s="1"/>
  <c r="E30" i="106" s="1"/>
  <c r="E31" i="106" s="1"/>
  <c r="E32" i="106" s="1"/>
  <c r="E33" i="106" s="1"/>
  <c r="E34" i="106" s="1"/>
  <c r="E35" i="106" s="1"/>
  <c r="E36" i="106" s="1"/>
  <c r="E37" i="106" s="1"/>
  <c r="D23" i="106"/>
  <c r="S55" i="103"/>
  <c r="S54" i="103"/>
  <c r="S53" i="103"/>
  <c r="S52" i="103"/>
  <c r="S51" i="103"/>
  <c r="S50" i="103"/>
  <c r="S49" i="103"/>
  <c r="S48" i="103"/>
  <c r="S47" i="103"/>
  <c r="S46" i="103"/>
  <c r="S45" i="103"/>
  <c r="S44" i="103"/>
  <c r="S43" i="103"/>
  <c r="S42" i="103"/>
  <c r="S41" i="103"/>
  <c r="S40" i="103"/>
  <c r="S39" i="103"/>
  <c r="S38" i="103"/>
  <c r="S37" i="103"/>
  <c r="S36" i="103"/>
  <c r="S35" i="103"/>
  <c r="S34" i="103"/>
  <c r="S33" i="103"/>
  <c r="S32" i="103"/>
  <c r="S31" i="103"/>
  <c r="S30" i="103"/>
  <c r="S29" i="103"/>
  <c r="S28" i="103"/>
  <c r="D47" i="105" l="1"/>
  <c r="B60" i="105"/>
  <c r="D49" i="105"/>
  <c r="C49" i="105"/>
  <c r="D48" i="105"/>
  <c r="C48" i="105"/>
  <c r="C47" i="105"/>
  <c r="D46" i="105"/>
  <c r="C46" i="105"/>
  <c r="C45" i="105"/>
  <c r="K18" i="105"/>
  <c r="X8" i="131" s="1"/>
  <c r="K17" i="105"/>
  <c r="X7" i="131" s="1"/>
  <c r="K16" i="105"/>
  <c r="X6" i="131" s="1"/>
  <c r="K15" i="105"/>
  <c r="K14" i="105"/>
  <c r="K13" i="105"/>
  <c r="B13" i="105"/>
  <c r="B14" i="105" s="1"/>
  <c r="B15" i="105" s="1"/>
  <c r="B16" i="105" s="1"/>
  <c r="B17" i="105" s="1"/>
  <c r="B18" i="105" s="1"/>
  <c r="B19" i="105" s="1"/>
  <c r="B20" i="105" s="1"/>
  <c r="B21" i="105" s="1"/>
  <c r="B22" i="105" s="1"/>
  <c r="B23" i="105" s="1"/>
  <c r="B24" i="105" s="1"/>
  <c r="B25" i="105" s="1"/>
  <c r="B26" i="105" s="1"/>
  <c r="B27" i="105" s="1"/>
  <c r="B28" i="105" s="1"/>
  <c r="B29" i="105" s="1"/>
  <c r="B30" i="105" s="1"/>
  <c r="B31" i="105" s="1"/>
  <c r="B32" i="105" s="1"/>
  <c r="B33" i="105" s="1"/>
  <c r="B34" i="105" s="1"/>
  <c r="B35" i="105" s="1"/>
  <c r="B36" i="105" s="1"/>
  <c r="B37" i="105" s="1"/>
  <c r="K12" i="105"/>
  <c r="B11" i="105"/>
  <c r="B12" i="105" s="1"/>
  <c r="W17" i="98"/>
  <c r="W18" i="98" s="1"/>
  <c r="W19" i="98" s="1"/>
  <c r="X17" i="104"/>
  <c r="X18" i="104" s="1"/>
  <c r="X19" i="104" s="1"/>
  <c r="D47" i="104"/>
  <c r="D46" i="104"/>
  <c r="B60" i="104"/>
  <c r="D49" i="104"/>
  <c r="C49" i="104"/>
  <c r="D48" i="104"/>
  <c r="C48" i="104"/>
  <c r="C47" i="104"/>
  <c r="C46" i="104"/>
  <c r="C45" i="104"/>
  <c r="L18" i="104"/>
  <c r="T8" i="131" s="1"/>
  <c r="L17" i="104"/>
  <c r="T7" i="131" s="1"/>
  <c r="L16" i="104"/>
  <c r="T6" i="131" s="1"/>
  <c r="L15" i="104"/>
  <c r="L14" i="104"/>
  <c r="L13" i="104"/>
  <c r="L12" i="104"/>
  <c r="B11" i="104"/>
  <c r="B12" i="104" s="1"/>
  <c r="B13" i="104" s="1"/>
  <c r="B14" i="104" s="1"/>
  <c r="B15" i="104" s="1"/>
  <c r="B16" i="104" s="1"/>
  <c r="B17" i="104" s="1"/>
  <c r="B18" i="104" s="1"/>
  <c r="B19" i="104" s="1"/>
  <c r="S16" i="99"/>
  <c r="AJ22" i="103"/>
  <c r="AJ21" i="103"/>
  <c r="AJ20" i="103"/>
  <c r="AJ19" i="103"/>
  <c r="AJ18" i="103"/>
  <c r="AJ17" i="103"/>
  <c r="AJ16" i="103"/>
  <c r="AJ15" i="103"/>
  <c r="AJ14" i="103"/>
  <c r="AJ13" i="103"/>
  <c r="AJ12" i="103"/>
  <c r="AJ11" i="103"/>
  <c r="AJ10" i="103"/>
  <c r="AJ9" i="103"/>
  <c r="AJ8" i="103"/>
  <c r="AJ7" i="103"/>
  <c r="AJ6" i="103"/>
  <c r="AJ5" i="103"/>
  <c r="AJ4" i="103"/>
  <c r="AJ3" i="103"/>
  <c r="Q6" i="103"/>
  <c r="Q7" i="103"/>
  <c r="Q8" i="103"/>
  <c r="Q9" i="103"/>
  <c r="Q10" i="103"/>
  <c r="Q11" i="103"/>
  <c r="Q12" i="103"/>
  <c r="Q13" i="103"/>
  <c r="Q14" i="103"/>
  <c r="Q15" i="103"/>
  <c r="Q16" i="103"/>
  <c r="Q17" i="103"/>
  <c r="Q18" i="103"/>
  <c r="Q19" i="103"/>
  <c r="Q20" i="103"/>
  <c r="Q21" i="103"/>
  <c r="Q22" i="103"/>
  <c r="Q5" i="103"/>
  <c r="Q4" i="103"/>
  <c r="Q3" i="103"/>
  <c r="S17" i="98"/>
  <c r="S18" i="98" s="1"/>
  <c r="R3" i="103"/>
  <c r="R4" i="103"/>
  <c r="R5" i="103"/>
  <c r="R6" i="103"/>
  <c r="R7" i="103"/>
  <c r="R8" i="103"/>
  <c r="R9" i="103"/>
  <c r="R10" i="103"/>
  <c r="R11" i="103"/>
  <c r="R12" i="103"/>
  <c r="R13" i="103"/>
  <c r="R14" i="103"/>
  <c r="R15" i="103"/>
  <c r="R16" i="103"/>
  <c r="R17" i="103"/>
  <c r="R18" i="103"/>
  <c r="R19" i="103"/>
  <c r="R20" i="103"/>
  <c r="R21" i="103"/>
  <c r="R22" i="103"/>
  <c r="R2" i="103"/>
  <c r="B20" i="104" l="1"/>
  <c r="S19" i="98"/>
  <c r="T17" i="104"/>
  <c r="T18" i="104" s="1"/>
  <c r="T19" i="104" s="1"/>
  <c r="T17" i="100"/>
  <c r="T18" i="100" s="1"/>
  <c r="T19" i="100" s="1"/>
  <c r="T17" i="101"/>
  <c r="T18" i="101" s="1"/>
  <c r="T19" i="101" s="1"/>
  <c r="T20" i="101" s="1"/>
  <c r="T17" i="109"/>
  <c r="T18" i="109" s="1"/>
  <c r="T19" i="109" s="1"/>
  <c r="T17" i="112"/>
  <c r="T18" i="112" s="1"/>
  <c r="T19" i="112" s="1"/>
  <c r="T20" i="112" s="1"/>
  <c r="U20" i="112" s="1"/>
  <c r="T17" i="110"/>
  <c r="T18" i="110" s="1"/>
  <c r="T19" i="110" s="1"/>
  <c r="T20" i="110" s="1"/>
  <c r="U20" i="110" s="1"/>
  <c r="T17" i="114"/>
  <c r="T18" i="114" s="1"/>
  <c r="T19" i="114" s="1"/>
  <c r="T20" i="114" s="1"/>
  <c r="U20" i="114" s="1"/>
  <c r="S17" i="105"/>
  <c r="S18" i="105" s="1"/>
  <c r="S19" i="105" s="1"/>
  <c r="S17" i="106"/>
  <c r="S18" i="106" s="1"/>
  <c r="S19" i="106" s="1"/>
  <c r="S20" i="106" s="1"/>
  <c r="S21" i="106" s="1"/>
  <c r="S22" i="106" s="1"/>
  <c r="S23" i="106" s="1"/>
  <c r="T23" i="106" s="1"/>
  <c r="S17" i="107"/>
  <c r="S18" i="107" s="1"/>
  <c r="S19" i="107" s="1"/>
  <c r="S17" i="113"/>
  <c r="S18" i="113" s="1"/>
  <c r="S19" i="113" s="1"/>
  <c r="S20" i="113" s="1"/>
  <c r="U20" i="113" s="1"/>
  <c r="S17" i="115"/>
  <c r="S18" i="115" s="1"/>
  <c r="S19" i="115" s="1"/>
  <c r="S20" i="115" s="1"/>
  <c r="U20" i="115" s="1"/>
  <c r="S17" i="108"/>
  <c r="S18" i="108" s="1"/>
  <c r="S19" i="108" s="1"/>
  <c r="S20" i="108" s="1"/>
  <c r="S17" i="111"/>
  <c r="S18" i="111" s="1"/>
  <c r="S19" i="111" s="1"/>
  <c r="S20" i="111" s="1"/>
  <c r="U20" i="111" s="1"/>
  <c r="B3" i="105"/>
  <c r="C52" i="105" s="1"/>
  <c r="B9" i="105" s="1"/>
  <c r="R16" i="98"/>
  <c r="T17" i="99"/>
  <c r="T18" i="99" s="1"/>
  <c r="T19" i="99" s="1"/>
  <c r="S16" i="104"/>
  <c r="B3" i="104"/>
  <c r="C52" i="104" s="1"/>
  <c r="B9" i="104" s="1"/>
  <c r="R36" i="97"/>
  <c r="C20" i="134" s="1"/>
  <c r="L36" i="97"/>
  <c r="E20" i="134" s="1"/>
  <c r="R34" i="97"/>
  <c r="C20" i="133" s="1"/>
  <c r="L34" i="97"/>
  <c r="E20" i="133" s="1"/>
  <c r="D47" i="101"/>
  <c r="D47" i="100"/>
  <c r="D47" i="99"/>
  <c r="R32" i="97"/>
  <c r="C20" i="108" s="1"/>
  <c r="L32" i="97"/>
  <c r="E20" i="108" s="1"/>
  <c r="L4" i="97"/>
  <c r="L18" i="97"/>
  <c r="E19" i="104" s="1"/>
  <c r="E20" i="104" s="1"/>
  <c r="E21" i="104" s="1"/>
  <c r="E22" i="104" s="1"/>
  <c r="E23" i="104" s="1"/>
  <c r="E24" i="104" s="1"/>
  <c r="E25" i="104" s="1"/>
  <c r="E26" i="104" s="1"/>
  <c r="E27" i="104" s="1"/>
  <c r="E28" i="104" s="1"/>
  <c r="E29" i="104" s="1"/>
  <c r="E30" i="104" s="1"/>
  <c r="E31" i="104" s="1"/>
  <c r="E32" i="104" s="1"/>
  <c r="E33" i="104" s="1"/>
  <c r="E34" i="104" s="1"/>
  <c r="E35" i="104" s="1"/>
  <c r="E36" i="104" s="1"/>
  <c r="E37" i="104" s="1"/>
  <c r="L20" i="97"/>
  <c r="E19" i="98" s="1"/>
  <c r="L22" i="97"/>
  <c r="E19" i="99" s="1"/>
  <c r="L24" i="97"/>
  <c r="E19" i="105" s="1"/>
  <c r="L26" i="97"/>
  <c r="E19" i="100" s="1"/>
  <c r="Y19" i="100" s="1"/>
  <c r="L28" i="97"/>
  <c r="E19" i="107" s="1"/>
  <c r="L30" i="97"/>
  <c r="E20" i="101" s="1"/>
  <c r="Y20" i="101" s="1"/>
  <c r="R30" i="97"/>
  <c r="C20" i="101" s="1"/>
  <c r="D20" i="101"/>
  <c r="B60" i="101"/>
  <c r="D49" i="101"/>
  <c r="C49" i="101"/>
  <c r="D48" i="101"/>
  <c r="C48" i="101"/>
  <c r="C47" i="101"/>
  <c r="C46" i="101"/>
  <c r="C45" i="101"/>
  <c r="L18" i="101"/>
  <c r="AL8" i="131" s="1"/>
  <c r="AN8" i="131" s="1"/>
  <c r="L17" i="101"/>
  <c r="AL7" i="131" s="1"/>
  <c r="AN7" i="131" s="1"/>
  <c r="L16" i="101"/>
  <c r="AL6" i="131" s="1"/>
  <c r="AN6" i="131" s="1"/>
  <c r="L15" i="101"/>
  <c r="L14" i="101"/>
  <c r="L13" i="101"/>
  <c r="L12" i="101"/>
  <c r="B11" i="101"/>
  <c r="B12" i="101" s="1"/>
  <c r="B13" i="101" s="1"/>
  <c r="B14" i="101" s="1"/>
  <c r="B15" i="101" s="1"/>
  <c r="B16" i="101" s="1"/>
  <c r="B17" i="101" s="1"/>
  <c r="B18" i="101" s="1"/>
  <c r="B19" i="101" s="1"/>
  <c r="B20" i="101" s="1"/>
  <c r="B21" i="101" s="1"/>
  <c r="B22" i="101" s="1"/>
  <c r="B23" i="101" s="1"/>
  <c r="R28" i="97"/>
  <c r="C19" i="107" s="1"/>
  <c r="R26" i="97"/>
  <c r="C19" i="100" s="1"/>
  <c r="D46" i="100"/>
  <c r="B60" i="100"/>
  <c r="D49" i="100"/>
  <c r="C49" i="100"/>
  <c r="D48" i="100"/>
  <c r="C48" i="100"/>
  <c r="C47" i="100"/>
  <c r="C46" i="100"/>
  <c r="C45" i="100"/>
  <c r="L18" i="100"/>
  <c r="Z8" i="131" s="1"/>
  <c r="AB8" i="131" s="1"/>
  <c r="L17" i="100"/>
  <c r="Z7" i="131" s="1"/>
  <c r="AB7" i="131" s="1"/>
  <c r="L16" i="100"/>
  <c r="Z6" i="131" s="1"/>
  <c r="AB6" i="131" s="1"/>
  <c r="L15" i="100"/>
  <c r="L14" i="100"/>
  <c r="L13" i="100"/>
  <c r="L12" i="100"/>
  <c r="B11" i="100"/>
  <c r="B12" i="100" s="1"/>
  <c r="B13" i="100" s="1"/>
  <c r="B14" i="100" s="1"/>
  <c r="B15" i="100" s="1"/>
  <c r="B16" i="100" s="1"/>
  <c r="B17" i="100" s="1"/>
  <c r="B18" i="100" s="1"/>
  <c r="B19" i="100" s="1"/>
  <c r="X17" i="99"/>
  <c r="X18" i="99" s="1"/>
  <c r="X19" i="99" s="1"/>
  <c r="R24" i="97"/>
  <c r="C19" i="105" s="1"/>
  <c r="D46" i="99"/>
  <c r="B60" i="99"/>
  <c r="D49" i="99"/>
  <c r="C49" i="99"/>
  <c r="D48" i="99"/>
  <c r="C48" i="99"/>
  <c r="C47" i="99"/>
  <c r="C46" i="99"/>
  <c r="C45" i="99"/>
  <c r="L18" i="99"/>
  <c r="W8" i="131" s="1"/>
  <c r="Y8" i="131" s="1"/>
  <c r="L17" i="99"/>
  <c r="W7" i="131" s="1"/>
  <c r="Y7" i="131" s="1"/>
  <c r="L16" i="99"/>
  <c r="W6" i="131" s="1"/>
  <c r="Y6" i="131" s="1"/>
  <c r="L15" i="99"/>
  <c r="L14" i="99"/>
  <c r="L13" i="99"/>
  <c r="L12" i="99"/>
  <c r="B11" i="99"/>
  <c r="B12" i="99" s="1"/>
  <c r="B13" i="99" s="1"/>
  <c r="B14" i="99" s="1"/>
  <c r="B15" i="99" s="1"/>
  <c r="B16" i="99" s="1"/>
  <c r="B17" i="99" s="1"/>
  <c r="B18" i="99" s="1"/>
  <c r="B19" i="99" s="1"/>
  <c r="R20" i="97"/>
  <c r="C19" i="98" s="1"/>
  <c r="R22" i="97"/>
  <c r="C19" i="99" s="1"/>
  <c r="E29" i="149" l="1"/>
  <c r="E30" i="149" s="1"/>
  <c r="E31" i="149" s="1"/>
  <c r="E32" i="149" s="1"/>
  <c r="E33" i="149" s="1"/>
  <c r="E34" i="149" s="1"/>
  <c r="E35" i="149" s="1"/>
  <c r="E36" i="149" s="1"/>
  <c r="E37" i="149" s="1"/>
  <c r="E20" i="147"/>
  <c r="E21" i="147" s="1"/>
  <c r="E22" i="147" s="1"/>
  <c r="E23" i="147" s="1"/>
  <c r="E24" i="147" s="1"/>
  <c r="E25" i="147" s="1"/>
  <c r="E26" i="147" s="1"/>
  <c r="E27" i="147" s="1"/>
  <c r="E28" i="147" s="1"/>
  <c r="E29" i="147" s="1"/>
  <c r="E30" i="147" s="1"/>
  <c r="E31" i="147" s="1"/>
  <c r="E32" i="147" s="1"/>
  <c r="E33" i="147" s="1"/>
  <c r="E34" i="147" s="1"/>
  <c r="E35" i="147" s="1"/>
  <c r="E36" i="147" s="1"/>
  <c r="E37" i="147" s="1"/>
  <c r="U20" i="134"/>
  <c r="D20" i="134"/>
  <c r="D21" i="134" s="1"/>
  <c r="D22" i="134" s="1"/>
  <c r="D23" i="134" s="1"/>
  <c r="D24" i="134" s="1"/>
  <c r="D25" i="134" s="1"/>
  <c r="D26" i="134" s="1"/>
  <c r="D27" i="134" s="1"/>
  <c r="D28" i="134" s="1"/>
  <c r="D29" i="134" s="1"/>
  <c r="D30" i="134" s="1"/>
  <c r="D31" i="134" s="1"/>
  <c r="D32" i="134" s="1"/>
  <c r="D33" i="134" s="1"/>
  <c r="D34" i="134" s="1"/>
  <c r="D35" i="134" s="1"/>
  <c r="D36" i="134" s="1"/>
  <c r="D37" i="134" s="1"/>
  <c r="X20" i="134"/>
  <c r="E21" i="134"/>
  <c r="E21" i="133"/>
  <c r="E22" i="133" s="1"/>
  <c r="E23" i="133" s="1"/>
  <c r="E24" i="133" s="1"/>
  <c r="E25" i="133" s="1"/>
  <c r="E26" i="133" s="1"/>
  <c r="E27" i="133" s="1"/>
  <c r="E28" i="133" s="1"/>
  <c r="E29" i="133" s="1"/>
  <c r="E30" i="133" s="1"/>
  <c r="E31" i="133" s="1"/>
  <c r="E32" i="133" s="1"/>
  <c r="E33" i="133" s="1"/>
  <c r="E34" i="133" s="1"/>
  <c r="E35" i="133" s="1"/>
  <c r="E36" i="133" s="1"/>
  <c r="E37" i="133" s="1"/>
  <c r="Y20" i="133"/>
  <c r="D20" i="133"/>
  <c r="U20" i="133"/>
  <c r="E19" i="109"/>
  <c r="Y19" i="109" s="1"/>
  <c r="B24" i="101"/>
  <c r="B20" i="100"/>
  <c r="B20" i="99"/>
  <c r="B21" i="104"/>
  <c r="D46" i="101"/>
  <c r="U19" i="98"/>
  <c r="U19" i="100"/>
  <c r="U20" i="101"/>
  <c r="U19" i="105"/>
  <c r="D19" i="105"/>
  <c r="D20" i="108"/>
  <c r="U20" i="108"/>
  <c r="X19" i="105"/>
  <c r="E20" i="105"/>
  <c r="E21" i="105" s="1"/>
  <c r="E22" i="105" s="1"/>
  <c r="E23" i="105" s="1"/>
  <c r="E24" i="105" s="1"/>
  <c r="E25" i="105" s="1"/>
  <c r="E26" i="105" s="1"/>
  <c r="E27" i="105" s="1"/>
  <c r="E28" i="105" s="1"/>
  <c r="E29" i="105" s="1"/>
  <c r="E30" i="105" s="1"/>
  <c r="E31" i="105" s="1"/>
  <c r="E32" i="105" s="1"/>
  <c r="E33" i="105" s="1"/>
  <c r="E34" i="105" s="1"/>
  <c r="E35" i="105" s="1"/>
  <c r="E36" i="105" s="1"/>
  <c r="E37" i="105" s="1"/>
  <c r="E20" i="107"/>
  <c r="E21" i="107" s="1"/>
  <c r="E22" i="107" s="1"/>
  <c r="E23" i="107" s="1"/>
  <c r="E24" i="107" s="1"/>
  <c r="E25" i="107" s="1"/>
  <c r="E26" i="107" s="1"/>
  <c r="E27" i="107" s="1"/>
  <c r="E28" i="107" s="1"/>
  <c r="E29" i="107" s="1"/>
  <c r="E30" i="107" s="1"/>
  <c r="E31" i="107" s="1"/>
  <c r="E32" i="107" s="1"/>
  <c r="E33" i="107" s="1"/>
  <c r="E34" i="107" s="1"/>
  <c r="E35" i="107" s="1"/>
  <c r="E36" i="107" s="1"/>
  <c r="E37" i="107" s="1"/>
  <c r="X19" i="107"/>
  <c r="D19" i="107"/>
  <c r="U19" i="107"/>
  <c r="E21" i="108"/>
  <c r="E22" i="108" s="1"/>
  <c r="E23" i="108" s="1"/>
  <c r="E24" i="108" s="1"/>
  <c r="E25" i="108" s="1"/>
  <c r="E26" i="108" s="1"/>
  <c r="E27" i="108" s="1"/>
  <c r="E28" i="108" s="1"/>
  <c r="E29" i="108" s="1"/>
  <c r="E30" i="108" s="1"/>
  <c r="E31" i="108" s="1"/>
  <c r="E32" i="108" s="1"/>
  <c r="E33" i="108" s="1"/>
  <c r="E34" i="108" s="1"/>
  <c r="E35" i="108" s="1"/>
  <c r="E36" i="108" s="1"/>
  <c r="E37" i="108" s="1"/>
  <c r="X20" i="108"/>
  <c r="U19" i="99"/>
  <c r="Y19" i="104"/>
  <c r="G23" i="106"/>
  <c r="D24" i="106"/>
  <c r="K23" i="106"/>
  <c r="BE13" i="131" s="1"/>
  <c r="E21" i="101"/>
  <c r="E22" i="101" s="1"/>
  <c r="E23" i="101" s="1"/>
  <c r="E24" i="101" s="1"/>
  <c r="E25" i="101" s="1"/>
  <c r="E26" i="101" s="1"/>
  <c r="E27" i="101" s="1"/>
  <c r="E28" i="101" s="1"/>
  <c r="E29" i="101" s="1"/>
  <c r="E30" i="101" s="1"/>
  <c r="E31" i="101" s="1"/>
  <c r="E32" i="101" s="1"/>
  <c r="E33" i="101" s="1"/>
  <c r="E34" i="101" s="1"/>
  <c r="E35" i="101" s="1"/>
  <c r="E36" i="101" s="1"/>
  <c r="E37" i="101" s="1"/>
  <c r="B3" i="101"/>
  <c r="C52" i="101" s="1"/>
  <c r="B9" i="101" s="1"/>
  <c r="E20" i="100"/>
  <c r="E21" i="100" s="1"/>
  <c r="E22" i="100" s="1"/>
  <c r="E23" i="100" s="1"/>
  <c r="E24" i="100" s="1"/>
  <c r="E25" i="100" s="1"/>
  <c r="E26" i="100" s="1"/>
  <c r="E27" i="100" s="1"/>
  <c r="E28" i="100" s="1"/>
  <c r="E29" i="100" s="1"/>
  <c r="E30" i="100" s="1"/>
  <c r="E31" i="100" s="1"/>
  <c r="E32" i="100" s="1"/>
  <c r="E33" i="100" s="1"/>
  <c r="E34" i="100" s="1"/>
  <c r="E35" i="100" s="1"/>
  <c r="E36" i="100" s="1"/>
  <c r="E37" i="100" s="1"/>
  <c r="D19" i="100"/>
  <c r="L19" i="100" s="1"/>
  <c r="Z9" i="131" s="1"/>
  <c r="Y19" i="99"/>
  <c r="D19" i="99"/>
  <c r="D20" i="99" s="1"/>
  <c r="E20" i="99"/>
  <c r="E21" i="99" s="1"/>
  <c r="E22" i="99" s="1"/>
  <c r="E23" i="99" s="1"/>
  <c r="E24" i="99" s="1"/>
  <c r="E25" i="99" s="1"/>
  <c r="E26" i="99" s="1"/>
  <c r="E27" i="99" s="1"/>
  <c r="E28" i="99" s="1"/>
  <c r="E29" i="99" s="1"/>
  <c r="E30" i="99" s="1"/>
  <c r="E31" i="99" s="1"/>
  <c r="E32" i="99" s="1"/>
  <c r="E33" i="99" s="1"/>
  <c r="E34" i="99" s="1"/>
  <c r="E35" i="99" s="1"/>
  <c r="E36" i="99" s="1"/>
  <c r="E37" i="99" s="1"/>
  <c r="B3" i="100"/>
  <c r="C52" i="100" s="1"/>
  <c r="B9" i="100" s="1"/>
  <c r="B3" i="99"/>
  <c r="C52" i="99" s="1"/>
  <c r="B9" i="99" s="1"/>
  <c r="R18" i="97"/>
  <c r="C19" i="104" s="1"/>
  <c r="K20" i="134" l="1"/>
  <c r="AG10" i="131" s="1"/>
  <c r="G20" i="134"/>
  <c r="I20" i="134" s="1"/>
  <c r="J20" i="134" s="1"/>
  <c r="D21" i="133"/>
  <c r="L20" i="133"/>
  <c r="AF10" i="131" s="1"/>
  <c r="G20" i="133"/>
  <c r="J20" i="133" s="1"/>
  <c r="E22" i="134"/>
  <c r="K21" i="134"/>
  <c r="AG11" i="131" s="1"/>
  <c r="G21" i="134"/>
  <c r="I21" i="134" s="1"/>
  <c r="J21" i="134" s="1"/>
  <c r="E20" i="109"/>
  <c r="E21" i="109" s="1"/>
  <c r="E22" i="109" s="1"/>
  <c r="E23" i="109" s="1"/>
  <c r="E24" i="109" s="1"/>
  <c r="E25" i="109" s="1"/>
  <c r="E26" i="109" s="1"/>
  <c r="E27" i="109" s="1"/>
  <c r="E28" i="109" s="1"/>
  <c r="E29" i="109" s="1"/>
  <c r="E30" i="109" s="1"/>
  <c r="E31" i="109" s="1"/>
  <c r="E32" i="109" s="1"/>
  <c r="E33" i="109" s="1"/>
  <c r="E34" i="109" s="1"/>
  <c r="E35" i="109" s="1"/>
  <c r="E36" i="109" s="1"/>
  <c r="E37" i="109" s="1"/>
  <c r="E23" i="132"/>
  <c r="E24" i="132" s="1"/>
  <c r="E25" i="132" s="1"/>
  <c r="E26" i="132" s="1"/>
  <c r="E27" i="132" s="1"/>
  <c r="E28" i="132" s="1"/>
  <c r="E29" i="132" s="1"/>
  <c r="E30" i="132" s="1"/>
  <c r="E31" i="132" s="1"/>
  <c r="E32" i="132" s="1"/>
  <c r="E33" i="132" s="1"/>
  <c r="E34" i="132" s="1"/>
  <c r="E35" i="132" s="1"/>
  <c r="E36" i="132" s="1"/>
  <c r="E37" i="132" s="1"/>
  <c r="B25" i="101"/>
  <c r="B21" i="100"/>
  <c r="B21" i="99"/>
  <c r="B22" i="104"/>
  <c r="U21" i="116"/>
  <c r="D19" i="104"/>
  <c r="U19" i="104"/>
  <c r="K19" i="107"/>
  <c r="AA9" i="131" s="1"/>
  <c r="G19" i="107"/>
  <c r="I19" i="107" s="1"/>
  <c r="D20" i="107"/>
  <c r="G20" i="108"/>
  <c r="I20" i="108" s="1"/>
  <c r="D21" i="108"/>
  <c r="K20" i="108"/>
  <c r="K19" i="105"/>
  <c r="X9" i="131" s="1"/>
  <c r="D20" i="105"/>
  <c r="G19" i="105"/>
  <c r="I19" i="105" s="1"/>
  <c r="D20" i="100"/>
  <c r="D21" i="100" s="1"/>
  <c r="I23" i="106"/>
  <c r="L19" i="99"/>
  <c r="W9" i="131" s="1"/>
  <c r="D25" i="106"/>
  <c r="K24" i="106"/>
  <c r="G24" i="106"/>
  <c r="G19" i="100"/>
  <c r="J19" i="100" s="1"/>
  <c r="L19" i="101"/>
  <c r="AL9" i="131" s="1"/>
  <c r="AN9" i="131" s="1"/>
  <c r="L20" i="101"/>
  <c r="D21" i="101"/>
  <c r="G20" i="101"/>
  <c r="J20" i="101" s="1"/>
  <c r="G19" i="99"/>
  <c r="J19" i="99" s="1"/>
  <c r="L20" i="99"/>
  <c r="W10" i="131" s="1"/>
  <c r="D21" i="99"/>
  <c r="G20" i="99"/>
  <c r="R4" i="97"/>
  <c r="D47" i="98"/>
  <c r="D19" i="98"/>
  <c r="B60" i="98"/>
  <c r="D49" i="98"/>
  <c r="C49" i="98"/>
  <c r="D48" i="98"/>
  <c r="C48" i="98"/>
  <c r="C47" i="98"/>
  <c r="C46" i="98"/>
  <c r="C45" i="98"/>
  <c r="E20" i="98"/>
  <c r="E21" i="98" s="1"/>
  <c r="E22" i="98" s="1"/>
  <c r="E23" i="98" s="1"/>
  <c r="E24" i="98" s="1"/>
  <c r="E25" i="98" s="1"/>
  <c r="E26" i="98" s="1"/>
  <c r="E27" i="98" s="1"/>
  <c r="E28" i="98" s="1"/>
  <c r="E29" i="98" s="1"/>
  <c r="E30" i="98" s="1"/>
  <c r="E31" i="98" s="1"/>
  <c r="E32" i="98" s="1"/>
  <c r="E33" i="98" s="1"/>
  <c r="E34" i="98" s="1"/>
  <c r="E35" i="98" s="1"/>
  <c r="E36" i="98" s="1"/>
  <c r="E37" i="98" s="1"/>
  <c r="K18" i="98"/>
  <c r="U8" i="131" s="1"/>
  <c r="V8" i="131" s="1"/>
  <c r="X19" i="98"/>
  <c r="K17" i="98"/>
  <c r="U7" i="131" s="1"/>
  <c r="V7" i="131" s="1"/>
  <c r="K16" i="98"/>
  <c r="U6" i="131" s="1"/>
  <c r="V6" i="131" s="1"/>
  <c r="K15" i="98"/>
  <c r="K14" i="98"/>
  <c r="K13" i="98"/>
  <c r="K12" i="98"/>
  <c r="B11" i="98"/>
  <c r="B12" i="98" s="1"/>
  <c r="B13" i="98" s="1"/>
  <c r="B14" i="98" s="1"/>
  <c r="B15" i="98" s="1"/>
  <c r="B16" i="98" s="1"/>
  <c r="B17" i="98" s="1"/>
  <c r="B18" i="98" s="1"/>
  <c r="B19" i="98" s="1"/>
  <c r="B20" i="98" s="1"/>
  <c r="B21" i="98" s="1"/>
  <c r="B22" i="98" s="1"/>
  <c r="B23" i="98" s="1"/>
  <c r="B24" i="98" s="1"/>
  <c r="B25" i="98" s="1"/>
  <c r="B26" i="98" s="1"/>
  <c r="B27" i="98" s="1"/>
  <c r="B28" i="98" s="1"/>
  <c r="B29" i="98" s="1"/>
  <c r="B30" i="98" s="1"/>
  <c r="B31" i="98" s="1"/>
  <c r="B32" i="98" s="1"/>
  <c r="B33" i="98" s="1"/>
  <c r="B34" i="98" s="1"/>
  <c r="B35" i="98" s="1"/>
  <c r="B36" i="98" s="1"/>
  <c r="B37" i="98" s="1"/>
  <c r="AB9" i="131" l="1"/>
  <c r="D19" i="147"/>
  <c r="AL10" i="131"/>
  <c r="Y9" i="131"/>
  <c r="BE14" i="131"/>
  <c r="AM10" i="131"/>
  <c r="AH10" i="131"/>
  <c r="K20" i="133"/>
  <c r="E23" i="134"/>
  <c r="K22" i="134"/>
  <c r="AG12" i="131" s="1"/>
  <c r="G22" i="134"/>
  <c r="I22" i="134" s="1"/>
  <c r="L21" i="133"/>
  <c r="AF11" i="131" s="1"/>
  <c r="AH11" i="131" s="1"/>
  <c r="G21" i="133"/>
  <c r="J21" i="133" s="1"/>
  <c r="K21" i="133" s="1"/>
  <c r="D22" i="133"/>
  <c r="C19" i="109"/>
  <c r="D19" i="109" s="1"/>
  <c r="J20" i="108"/>
  <c r="J23" i="106"/>
  <c r="J19" i="107"/>
  <c r="J20" i="99"/>
  <c r="K20" i="99" s="1"/>
  <c r="J19" i="105"/>
  <c r="B26" i="101"/>
  <c r="B22" i="100"/>
  <c r="K19" i="100"/>
  <c r="K19" i="99"/>
  <c r="B22" i="99"/>
  <c r="B23" i="104"/>
  <c r="K20" i="101"/>
  <c r="O20" i="108"/>
  <c r="D21" i="105"/>
  <c r="K20" i="105"/>
  <c r="G20" i="105"/>
  <c r="I20" i="105" s="1"/>
  <c r="J20" i="105" s="1"/>
  <c r="G21" i="108"/>
  <c r="I21" i="108" s="1"/>
  <c r="J21" i="108" s="1"/>
  <c r="D22" i="108"/>
  <c r="K21" i="108"/>
  <c r="G20" i="107"/>
  <c r="I20" i="107" s="1"/>
  <c r="J20" i="107" s="1"/>
  <c r="K20" i="107"/>
  <c r="D21" i="107"/>
  <c r="D20" i="104"/>
  <c r="L19" i="104"/>
  <c r="T9" i="131" s="1"/>
  <c r="G19" i="104"/>
  <c r="J19" i="104" s="1"/>
  <c r="G20" i="100"/>
  <c r="L20" i="100"/>
  <c r="Z10" i="131" s="1"/>
  <c r="I24" i="106"/>
  <c r="J24" i="106" s="1"/>
  <c r="K25" i="106"/>
  <c r="D26" i="106"/>
  <c r="G25" i="106"/>
  <c r="D46" i="98"/>
  <c r="G21" i="101"/>
  <c r="L21" i="101"/>
  <c r="D22" i="101"/>
  <c r="G21" i="100"/>
  <c r="L21" i="100"/>
  <c r="Z11" i="131" s="1"/>
  <c r="D22" i="100"/>
  <c r="G21" i="99"/>
  <c r="L21" i="99"/>
  <c r="W11" i="131" s="1"/>
  <c r="D22" i="99"/>
  <c r="D20" i="98"/>
  <c r="G19" i="98"/>
  <c r="I19" i="98" s="1"/>
  <c r="K19" i="98"/>
  <c r="U9" i="131" s="1"/>
  <c r="B3" i="98"/>
  <c r="C52" i="98" s="1"/>
  <c r="B9" i="98" s="1"/>
  <c r="L19" i="149" l="1"/>
  <c r="D20" i="147"/>
  <c r="L19" i="147"/>
  <c r="P9" i="131" s="1"/>
  <c r="G19" i="147"/>
  <c r="J19" i="147" s="1"/>
  <c r="V9" i="131"/>
  <c r="O20" i="105"/>
  <c r="X10" i="131"/>
  <c r="AM11" i="131"/>
  <c r="AL11" i="131"/>
  <c r="BE15" i="131"/>
  <c r="AA10" i="131"/>
  <c r="AN10" i="131"/>
  <c r="E24" i="134"/>
  <c r="G23" i="134"/>
  <c r="I23" i="134" s="1"/>
  <c r="J23" i="134" s="1"/>
  <c r="K23" i="134"/>
  <c r="AG13" i="131" s="1"/>
  <c r="D23" i="133"/>
  <c r="L22" i="133"/>
  <c r="AF12" i="131" s="1"/>
  <c r="AH12" i="131" s="1"/>
  <c r="G22" i="133"/>
  <c r="J22" i="133" s="1"/>
  <c r="J22" i="134"/>
  <c r="U19" i="109"/>
  <c r="J21" i="101"/>
  <c r="K21" i="101" s="1"/>
  <c r="J21" i="100"/>
  <c r="K21" i="100" s="1"/>
  <c r="J19" i="98"/>
  <c r="J21" i="99"/>
  <c r="K21" i="99" s="1"/>
  <c r="J20" i="100"/>
  <c r="K20" i="100" s="1"/>
  <c r="B27" i="101"/>
  <c r="B23" i="100"/>
  <c r="B23" i="99"/>
  <c r="K19" i="104"/>
  <c r="B24" i="104"/>
  <c r="O21" i="108"/>
  <c r="G20" i="104"/>
  <c r="D21" i="104"/>
  <c r="L20" i="104"/>
  <c r="L19" i="109"/>
  <c r="O9" i="131" s="1"/>
  <c r="D20" i="109"/>
  <c r="G19" i="109"/>
  <c r="J19" i="109" s="1"/>
  <c r="K21" i="107"/>
  <c r="G21" i="107"/>
  <c r="I21" i="107" s="1"/>
  <c r="J21" i="107" s="1"/>
  <c r="D22" i="107"/>
  <c r="G22" i="108"/>
  <c r="I22" i="108" s="1"/>
  <c r="J22" i="108" s="1"/>
  <c r="K22" i="108"/>
  <c r="D23" i="108"/>
  <c r="K21" i="105"/>
  <c r="G21" i="105"/>
  <c r="I21" i="105" s="1"/>
  <c r="D22" i="105"/>
  <c r="I25" i="106"/>
  <c r="J25" i="106" s="1"/>
  <c r="K26" i="106"/>
  <c r="D27" i="106"/>
  <c r="G26" i="106"/>
  <c r="D23" i="101"/>
  <c r="G22" i="101"/>
  <c r="L22" i="101"/>
  <c r="D23" i="100"/>
  <c r="G22" i="100"/>
  <c r="J22" i="100" s="1"/>
  <c r="L22" i="100"/>
  <c r="Z12" i="131" s="1"/>
  <c r="D23" i="99"/>
  <c r="G22" i="99"/>
  <c r="L22" i="99"/>
  <c r="W12" i="131" s="1"/>
  <c r="K20" i="98"/>
  <c r="D21" i="98"/>
  <c r="G20" i="98"/>
  <c r="I20" i="98" s="1"/>
  <c r="J20" i="98" s="1"/>
  <c r="AB10" i="131" l="1"/>
  <c r="L20" i="149"/>
  <c r="K19" i="147"/>
  <c r="G20" i="147"/>
  <c r="J20" i="147" s="1"/>
  <c r="K20" i="147" s="1"/>
  <c r="L20" i="147"/>
  <c r="D21" i="147"/>
  <c r="O21" i="105"/>
  <c r="X11" i="131"/>
  <c r="Y11" i="131" s="1"/>
  <c r="AN11" i="131"/>
  <c r="Y10" i="131"/>
  <c r="AM12" i="131"/>
  <c r="AA11" i="131"/>
  <c r="AB11" i="131" s="1"/>
  <c r="T10" i="131"/>
  <c r="U10" i="131"/>
  <c r="BE16" i="131"/>
  <c r="AL12" i="131"/>
  <c r="K22" i="133"/>
  <c r="E25" i="134"/>
  <c r="G24" i="134"/>
  <c r="I24" i="134" s="1"/>
  <c r="J24" i="134" s="1"/>
  <c r="K24" i="134"/>
  <c r="AG14" i="131" s="1"/>
  <c r="G23" i="133"/>
  <c r="J23" i="133" s="1"/>
  <c r="K23" i="133" s="1"/>
  <c r="D24" i="133"/>
  <c r="L23" i="133"/>
  <c r="AF13" i="131" s="1"/>
  <c r="S9" i="131"/>
  <c r="J21" i="105"/>
  <c r="J20" i="104"/>
  <c r="K20" i="104" s="1"/>
  <c r="J22" i="101"/>
  <c r="K22" i="101" s="1"/>
  <c r="J22" i="99"/>
  <c r="K22" i="99" s="1"/>
  <c r="B28" i="101"/>
  <c r="B24" i="100"/>
  <c r="K22" i="100"/>
  <c r="B24" i="99"/>
  <c r="B25" i="104"/>
  <c r="K19" i="109"/>
  <c r="O22" i="108"/>
  <c r="D23" i="105"/>
  <c r="K22" i="105"/>
  <c r="X12" i="131" s="1"/>
  <c r="Y12" i="131" s="1"/>
  <c r="G22" i="105"/>
  <c r="I22" i="105" s="1"/>
  <c r="J22" i="105" s="1"/>
  <c r="G22" i="107"/>
  <c r="I22" i="107" s="1"/>
  <c r="J22" i="107" s="1"/>
  <c r="K22" i="107"/>
  <c r="AA12" i="131" s="1"/>
  <c r="AB12" i="131" s="1"/>
  <c r="D23" i="107"/>
  <c r="G23" i="108"/>
  <c r="I23" i="108" s="1"/>
  <c r="J23" i="108" s="1"/>
  <c r="D24" i="108"/>
  <c r="K23" i="108"/>
  <c r="D22" i="104"/>
  <c r="G21" i="104"/>
  <c r="L21" i="104"/>
  <c r="L20" i="109"/>
  <c r="G20" i="109"/>
  <c r="D21" i="109"/>
  <c r="I26" i="106"/>
  <c r="J26" i="106" s="1"/>
  <c r="K27" i="106"/>
  <c r="G27" i="106"/>
  <c r="D28" i="106"/>
  <c r="D24" i="101"/>
  <c r="G23" i="101"/>
  <c r="L23" i="101"/>
  <c r="D24" i="100"/>
  <c r="G23" i="100"/>
  <c r="L23" i="100"/>
  <c r="Z13" i="131" s="1"/>
  <c r="D24" i="99"/>
  <c r="G23" i="99"/>
  <c r="J23" i="99" s="1"/>
  <c r="L23" i="99"/>
  <c r="W13" i="131" s="1"/>
  <c r="G21" i="98"/>
  <c r="I21" i="98" s="1"/>
  <c r="J21" i="98" s="1"/>
  <c r="K21" i="98"/>
  <c r="D22" i="98"/>
  <c r="L21" i="149" l="1"/>
  <c r="P10" i="131"/>
  <c r="G21" i="147"/>
  <c r="J21" i="147" s="1"/>
  <c r="K21" i="147" s="1"/>
  <c r="L21" i="147"/>
  <c r="P11" i="131" s="1"/>
  <c r="D22" i="147"/>
  <c r="V10" i="131"/>
  <c r="AN12" i="131"/>
  <c r="AH13" i="131"/>
  <c r="U11" i="131"/>
  <c r="AL13" i="131"/>
  <c r="BE17" i="131"/>
  <c r="O10" i="131"/>
  <c r="AM13" i="131"/>
  <c r="T11" i="131"/>
  <c r="E26" i="134"/>
  <c r="K25" i="134"/>
  <c r="AG15" i="131" s="1"/>
  <c r="G25" i="134"/>
  <c r="I25" i="134" s="1"/>
  <c r="L24" i="133"/>
  <c r="AF14" i="131" s="1"/>
  <c r="AH14" i="131" s="1"/>
  <c r="G24" i="133"/>
  <c r="J24" i="133" s="1"/>
  <c r="K24" i="133" s="1"/>
  <c r="D25" i="133"/>
  <c r="S10" i="131"/>
  <c r="J23" i="100"/>
  <c r="K23" i="100" s="1"/>
  <c r="J20" i="109"/>
  <c r="K20" i="109" s="1"/>
  <c r="J21" i="104"/>
  <c r="K21" i="104" s="1"/>
  <c r="J23" i="101"/>
  <c r="K23" i="101" s="1"/>
  <c r="B29" i="101"/>
  <c r="B25" i="100"/>
  <c r="K23" i="99"/>
  <c r="B25" i="99"/>
  <c r="B26" i="104"/>
  <c r="O22" i="105"/>
  <c r="O23" i="108"/>
  <c r="G23" i="107"/>
  <c r="I23" i="107" s="1"/>
  <c r="J23" i="107" s="1"/>
  <c r="D24" i="107"/>
  <c r="K23" i="107"/>
  <c r="AA13" i="131" s="1"/>
  <c r="AB13" i="131" s="1"/>
  <c r="D25" i="108"/>
  <c r="G24" i="108"/>
  <c r="I24" i="108" s="1"/>
  <c r="J24" i="108" s="1"/>
  <c r="K24" i="108"/>
  <c r="D22" i="109"/>
  <c r="L21" i="109"/>
  <c r="O11" i="131" s="1"/>
  <c r="G21" i="109"/>
  <c r="D23" i="104"/>
  <c r="G22" i="104"/>
  <c r="L22" i="104"/>
  <c r="T12" i="131" s="1"/>
  <c r="K23" i="105"/>
  <c r="D24" i="105"/>
  <c r="G23" i="105"/>
  <c r="I23" i="105" s="1"/>
  <c r="I27" i="106"/>
  <c r="J27" i="106" s="1"/>
  <c r="K28" i="106"/>
  <c r="D29" i="106"/>
  <c r="G28" i="106"/>
  <c r="L24" i="101"/>
  <c r="G24" i="101"/>
  <c r="D25" i="101"/>
  <c r="L24" i="100"/>
  <c r="Z14" i="131" s="1"/>
  <c r="D25" i="100"/>
  <c r="G24" i="100"/>
  <c r="L24" i="99"/>
  <c r="W14" i="131" s="1"/>
  <c r="D25" i="99"/>
  <c r="G24" i="99"/>
  <c r="D23" i="98"/>
  <c r="K22" i="98"/>
  <c r="G22" i="98"/>
  <c r="I22" i="98" s="1"/>
  <c r="J22" i="98" s="1"/>
  <c r="L22" i="149" l="1"/>
  <c r="V11" i="131"/>
  <c r="D23" i="147"/>
  <c r="L22" i="147"/>
  <c r="G22" i="147"/>
  <c r="J22" i="147" s="1"/>
  <c r="K22" i="147" s="1"/>
  <c r="O23" i="105"/>
  <c r="X13" i="131"/>
  <c r="BE18" i="131"/>
  <c r="AL14" i="131"/>
  <c r="U12" i="131"/>
  <c r="V12" i="131" s="1"/>
  <c r="AM14" i="131"/>
  <c r="AN13" i="131"/>
  <c r="L25" i="133"/>
  <c r="AF15" i="131" s="1"/>
  <c r="AH15" i="131" s="1"/>
  <c r="G25" i="133"/>
  <c r="J25" i="133" s="1"/>
  <c r="D26" i="133"/>
  <c r="J25" i="134"/>
  <c r="E27" i="134"/>
  <c r="G26" i="134"/>
  <c r="I26" i="134" s="1"/>
  <c r="J26" i="134" s="1"/>
  <c r="K26" i="134"/>
  <c r="AG16" i="131" s="1"/>
  <c r="S11" i="131"/>
  <c r="J22" i="104"/>
  <c r="K22" i="104" s="1"/>
  <c r="J23" i="105"/>
  <c r="J21" i="109"/>
  <c r="K21" i="109" s="1"/>
  <c r="J24" i="100"/>
  <c r="K24" i="100" s="1"/>
  <c r="J24" i="101"/>
  <c r="K24" i="101" s="1"/>
  <c r="J24" i="99"/>
  <c r="K24" i="99" s="1"/>
  <c r="B30" i="101"/>
  <c r="B26" i="100"/>
  <c r="B26" i="99"/>
  <c r="B27" i="104"/>
  <c r="O24" i="108"/>
  <c r="D25" i="105"/>
  <c r="G24" i="105"/>
  <c r="I24" i="105" s="1"/>
  <c r="J24" i="105" s="1"/>
  <c r="K24" i="105"/>
  <c r="L23" i="104"/>
  <c r="T13" i="131" s="1"/>
  <c r="D24" i="104"/>
  <c r="G23" i="104"/>
  <c r="G24" i="107"/>
  <c r="I24" i="107" s="1"/>
  <c r="J24" i="107" s="1"/>
  <c r="K24" i="107"/>
  <c r="D25" i="107"/>
  <c r="K25" i="108"/>
  <c r="D26" i="108"/>
  <c r="G25" i="108"/>
  <c r="I25" i="108" s="1"/>
  <c r="J25" i="108" s="1"/>
  <c r="G22" i="109"/>
  <c r="L22" i="109"/>
  <c r="D23" i="109"/>
  <c r="I28" i="106"/>
  <c r="J28" i="106" s="1"/>
  <c r="K29" i="106"/>
  <c r="G29" i="106"/>
  <c r="D30" i="106"/>
  <c r="G25" i="101"/>
  <c r="L25" i="101"/>
  <c r="D26" i="101"/>
  <c r="G25" i="100"/>
  <c r="L25" i="100"/>
  <c r="Z15" i="131" s="1"/>
  <c r="D26" i="100"/>
  <c r="G25" i="99"/>
  <c r="L25" i="99"/>
  <c r="W15" i="131" s="1"/>
  <c r="D26" i="99"/>
  <c r="D24" i="98"/>
  <c r="G23" i="98"/>
  <c r="I23" i="98" s="1"/>
  <c r="J23" i="98" s="1"/>
  <c r="K23" i="98"/>
  <c r="L23" i="149" l="1"/>
  <c r="P12" i="131"/>
  <c r="D24" i="147"/>
  <c r="L23" i="147"/>
  <c r="P13" i="131" s="1"/>
  <c r="G23" i="147"/>
  <c r="J23" i="147" s="1"/>
  <c r="AM15" i="131"/>
  <c r="AN14" i="131"/>
  <c r="Y13" i="131"/>
  <c r="BE19" i="131"/>
  <c r="O12" i="131"/>
  <c r="AA14" i="131"/>
  <c r="AL15" i="131"/>
  <c r="U13" i="131"/>
  <c r="V13" i="131" s="1"/>
  <c r="O24" i="105"/>
  <c r="X14" i="131"/>
  <c r="Y14" i="131" s="1"/>
  <c r="D27" i="133"/>
  <c r="L26" i="133"/>
  <c r="AF16" i="131" s="1"/>
  <c r="AH16" i="131" s="1"/>
  <c r="G26" i="133"/>
  <c r="J26" i="133" s="1"/>
  <c r="K26" i="133" s="1"/>
  <c r="E28" i="134"/>
  <c r="G27" i="134"/>
  <c r="I27" i="134" s="1"/>
  <c r="J27" i="134" s="1"/>
  <c r="K27" i="134"/>
  <c r="AG17" i="131" s="1"/>
  <c r="K25" i="133"/>
  <c r="D23" i="132"/>
  <c r="G22" i="132"/>
  <c r="J22" i="132" s="1"/>
  <c r="L22" i="132"/>
  <c r="J22" i="109"/>
  <c r="K22" i="109" s="1"/>
  <c r="J25" i="100"/>
  <c r="K25" i="100" s="1"/>
  <c r="J25" i="101"/>
  <c r="K25" i="101" s="1"/>
  <c r="J25" i="99"/>
  <c r="K25" i="99" s="1"/>
  <c r="J23" i="104"/>
  <c r="K23" i="104" s="1"/>
  <c r="B31" i="101"/>
  <c r="B27" i="100"/>
  <c r="B27" i="99"/>
  <c r="B28" i="104"/>
  <c r="O25" i="108"/>
  <c r="G26" i="108"/>
  <c r="I26" i="108" s="1"/>
  <c r="J26" i="108" s="1"/>
  <c r="K26" i="108"/>
  <c r="D27" i="108"/>
  <c r="L23" i="109"/>
  <c r="D24" i="109"/>
  <c r="G23" i="109"/>
  <c r="K25" i="107"/>
  <c r="D26" i="107"/>
  <c r="G25" i="107"/>
  <c r="I25" i="107" s="1"/>
  <c r="J25" i="107" s="1"/>
  <c r="D25" i="104"/>
  <c r="L24" i="104"/>
  <c r="G24" i="104"/>
  <c r="J24" i="104" s="1"/>
  <c r="K25" i="105"/>
  <c r="D26" i="105"/>
  <c r="G25" i="105"/>
  <c r="I25" i="105" s="1"/>
  <c r="I29" i="106"/>
  <c r="J29" i="106" s="1"/>
  <c r="G30" i="106"/>
  <c r="K30" i="106"/>
  <c r="D31" i="106"/>
  <c r="D27" i="101"/>
  <c r="G26" i="101"/>
  <c r="L26" i="101"/>
  <c r="D27" i="100"/>
  <c r="G26" i="100"/>
  <c r="L26" i="100"/>
  <c r="Z16" i="131" s="1"/>
  <c r="D27" i="99"/>
  <c r="G26" i="99"/>
  <c r="L26" i="99"/>
  <c r="W16" i="131" s="1"/>
  <c r="K24" i="98"/>
  <c r="D25" i="98"/>
  <c r="G24" i="98"/>
  <c r="I24" i="98" s="1"/>
  <c r="J24" i="98" s="1"/>
  <c r="AB14" i="131" l="1"/>
  <c r="L24" i="149"/>
  <c r="K23" i="147"/>
  <c r="D25" i="147"/>
  <c r="L24" i="147"/>
  <c r="G24" i="147"/>
  <c r="J24" i="147" s="1"/>
  <c r="K24" i="147" s="1"/>
  <c r="J26" i="99"/>
  <c r="K26" i="99" s="1"/>
  <c r="AN15" i="131"/>
  <c r="O25" i="105"/>
  <c r="X15" i="131"/>
  <c r="Y15" i="131" s="1"/>
  <c r="O13" i="131"/>
  <c r="S12" i="131"/>
  <c r="U14" i="131"/>
  <c r="T14" i="131"/>
  <c r="AA15" i="131"/>
  <c r="AB15" i="131" s="1"/>
  <c r="AL16" i="131"/>
  <c r="BE20" i="131"/>
  <c r="AM16" i="131"/>
  <c r="E29" i="134"/>
  <c r="K28" i="134"/>
  <c r="AG18" i="131" s="1"/>
  <c r="G28" i="134"/>
  <c r="I28" i="134" s="1"/>
  <c r="J28" i="134" s="1"/>
  <c r="D28" i="133"/>
  <c r="G27" i="133"/>
  <c r="J27" i="133" s="1"/>
  <c r="L27" i="133"/>
  <c r="AF17" i="131" s="1"/>
  <c r="AH17" i="131" s="1"/>
  <c r="K22" i="132"/>
  <c r="G23" i="132"/>
  <c r="J23" i="132" s="1"/>
  <c r="K23" i="132" s="1"/>
  <c r="D24" i="132"/>
  <c r="L23" i="132"/>
  <c r="J26" i="101"/>
  <c r="K26" i="101" s="1"/>
  <c r="J26" i="100"/>
  <c r="K26" i="100" s="1"/>
  <c r="J25" i="105"/>
  <c r="J23" i="109"/>
  <c r="K23" i="109" s="1"/>
  <c r="B32" i="101"/>
  <c r="B28" i="100"/>
  <c r="B28" i="99"/>
  <c r="K24" i="104"/>
  <c r="B29" i="104"/>
  <c r="B30" i="104" s="1"/>
  <c r="B31" i="104" s="1"/>
  <c r="B32" i="104" s="1"/>
  <c r="B33" i="104" s="1"/>
  <c r="B34" i="104" s="1"/>
  <c r="B35" i="104" s="1"/>
  <c r="B36" i="104" s="1"/>
  <c r="B37" i="104" s="1"/>
  <c r="O26" i="108"/>
  <c r="D27" i="107"/>
  <c r="K26" i="107"/>
  <c r="G26" i="107"/>
  <c r="I26" i="107" s="1"/>
  <c r="J26" i="107" s="1"/>
  <c r="D28" i="108"/>
  <c r="K27" i="108"/>
  <c r="G27" i="108"/>
  <c r="I27" i="108" s="1"/>
  <c r="J27" i="108" s="1"/>
  <c r="G26" i="105"/>
  <c r="I26" i="105" s="1"/>
  <c r="J26" i="105" s="1"/>
  <c r="K26" i="105"/>
  <c r="D27" i="105"/>
  <c r="D26" i="104"/>
  <c r="G25" i="104"/>
  <c r="L25" i="104"/>
  <c r="D25" i="109"/>
  <c r="L24" i="109"/>
  <c r="G24" i="109"/>
  <c r="I30" i="106"/>
  <c r="J30" i="106" s="1"/>
  <c r="G31" i="106"/>
  <c r="K31" i="106"/>
  <c r="D32" i="106"/>
  <c r="L27" i="101"/>
  <c r="D28" i="101"/>
  <c r="G27" i="101"/>
  <c r="D28" i="100"/>
  <c r="G27" i="100"/>
  <c r="L27" i="100"/>
  <c r="Z17" i="131" s="1"/>
  <c r="D28" i="99"/>
  <c r="G27" i="99"/>
  <c r="L27" i="99"/>
  <c r="G25" i="98"/>
  <c r="I25" i="98" s="1"/>
  <c r="J25" i="98" s="1"/>
  <c r="K25" i="98"/>
  <c r="D26" i="98"/>
  <c r="L25" i="149" l="1"/>
  <c r="P14" i="131"/>
  <c r="V14" i="131"/>
  <c r="D26" i="147"/>
  <c r="L25" i="147"/>
  <c r="P15" i="131" s="1"/>
  <c r="G25" i="147"/>
  <c r="J25" i="147" s="1"/>
  <c r="K25" i="147" s="1"/>
  <c r="AL17" i="131"/>
  <c r="S13" i="131"/>
  <c r="O26" i="105"/>
  <c r="X16" i="131"/>
  <c r="Y16" i="131" s="1"/>
  <c r="W17" i="131"/>
  <c r="BE21" i="131"/>
  <c r="O14" i="131"/>
  <c r="AA16" i="131"/>
  <c r="AB16" i="131" s="1"/>
  <c r="T15" i="131"/>
  <c r="U15" i="131"/>
  <c r="AM17" i="131"/>
  <c r="AN16" i="131"/>
  <c r="D29" i="133"/>
  <c r="L28" i="133"/>
  <c r="AF18" i="131" s="1"/>
  <c r="AH18" i="131" s="1"/>
  <c r="G28" i="133"/>
  <c r="J28" i="133" s="1"/>
  <c r="K28" i="133" s="1"/>
  <c r="K27" i="133"/>
  <c r="E30" i="134"/>
  <c r="K29" i="134"/>
  <c r="AG19" i="131" s="1"/>
  <c r="G29" i="134"/>
  <c r="I29" i="134" s="1"/>
  <c r="J29" i="134" s="1"/>
  <c r="D25" i="132"/>
  <c r="L24" i="132"/>
  <c r="S14" i="131" s="1"/>
  <c r="G24" i="132"/>
  <c r="J24" i="132" s="1"/>
  <c r="K24" i="132" s="1"/>
  <c r="J27" i="100"/>
  <c r="K27" i="100" s="1"/>
  <c r="J24" i="109"/>
  <c r="K24" i="109" s="1"/>
  <c r="J27" i="101"/>
  <c r="K27" i="101" s="1"/>
  <c r="J27" i="99"/>
  <c r="K27" i="99" s="1"/>
  <c r="J25" i="104"/>
  <c r="K25" i="104" s="1"/>
  <c r="B33" i="101"/>
  <c r="B34" i="101" s="1"/>
  <c r="B35" i="101" s="1"/>
  <c r="B36" i="101" s="1"/>
  <c r="B37" i="101" s="1"/>
  <c r="B29" i="100"/>
  <c r="B30" i="100" s="1"/>
  <c r="B31" i="100" s="1"/>
  <c r="B32" i="100" s="1"/>
  <c r="B33" i="100" s="1"/>
  <c r="B34" i="100" s="1"/>
  <c r="B35" i="100" s="1"/>
  <c r="B36" i="100" s="1"/>
  <c r="B37" i="100" s="1"/>
  <c r="B29" i="99"/>
  <c r="B30" i="99" s="1"/>
  <c r="B31" i="99" s="1"/>
  <c r="B32" i="99" s="1"/>
  <c r="B33" i="99" s="1"/>
  <c r="B34" i="99" s="1"/>
  <c r="B35" i="99" s="1"/>
  <c r="B36" i="99" s="1"/>
  <c r="B37" i="99" s="1"/>
  <c r="O27" i="108"/>
  <c r="D29" i="108"/>
  <c r="K28" i="108"/>
  <c r="G28" i="108"/>
  <c r="I28" i="108" s="1"/>
  <c r="J28" i="108" s="1"/>
  <c r="L26" i="104"/>
  <c r="D27" i="104"/>
  <c r="G26" i="104"/>
  <c r="D26" i="109"/>
  <c r="L25" i="109"/>
  <c r="G25" i="109"/>
  <c r="G27" i="105"/>
  <c r="I27" i="105" s="1"/>
  <c r="J27" i="105" s="1"/>
  <c r="K27" i="105"/>
  <c r="D28" i="105"/>
  <c r="D28" i="107"/>
  <c r="G27" i="107"/>
  <c r="I27" i="107" s="1"/>
  <c r="J27" i="107" s="1"/>
  <c r="K27" i="107"/>
  <c r="I31" i="106"/>
  <c r="J31" i="106" s="1"/>
  <c r="D33" i="106"/>
  <c r="G32" i="106"/>
  <c r="K32" i="106"/>
  <c r="L28" i="101"/>
  <c r="D29" i="101"/>
  <c r="G28" i="101"/>
  <c r="L28" i="100"/>
  <c r="Z18" i="131" s="1"/>
  <c r="D29" i="100"/>
  <c r="G28" i="100"/>
  <c r="L28" i="99"/>
  <c r="W18" i="131" s="1"/>
  <c r="D29" i="99"/>
  <c r="G28" i="99"/>
  <c r="D27" i="98"/>
  <c r="K26" i="98"/>
  <c r="G26" i="98"/>
  <c r="I26" i="98" s="1"/>
  <c r="J26" i="98" s="1"/>
  <c r="L26" i="149" l="1"/>
  <c r="G26" i="147"/>
  <c r="J26" i="147" s="1"/>
  <c r="K26" i="147" s="1"/>
  <c r="D27" i="147"/>
  <c r="L26" i="147"/>
  <c r="V15" i="131"/>
  <c r="AL18" i="131"/>
  <c r="O15" i="131"/>
  <c r="T16" i="131"/>
  <c r="BE22" i="131"/>
  <c r="AA17" i="131"/>
  <c r="AB17" i="131" s="1"/>
  <c r="O27" i="105"/>
  <c r="X17" i="131"/>
  <c r="Y17" i="131" s="1"/>
  <c r="U16" i="131"/>
  <c r="AM18" i="131"/>
  <c r="AN17" i="131"/>
  <c r="E31" i="134"/>
  <c r="K30" i="134"/>
  <c r="AG20" i="131" s="1"/>
  <c r="G30" i="134"/>
  <c r="I30" i="134" s="1"/>
  <c r="J30" i="134" s="1"/>
  <c r="G29" i="133"/>
  <c r="J29" i="133" s="1"/>
  <c r="K29" i="133" s="1"/>
  <c r="L29" i="133"/>
  <c r="AF19" i="131" s="1"/>
  <c r="AH19" i="131" s="1"/>
  <c r="D30" i="133"/>
  <c r="L25" i="132"/>
  <c r="G25" i="132"/>
  <c r="J25" i="132" s="1"/>
  <c r="D26" i="132"/>
  <c r="J26" i="104"/>
  <c r="K26" i="104" s="1"/>
  <c r="J28" i="101"/>
  <c r="K28" i="101" s="1"/>
  <c r="J25" i="109"/>
  <c r="K25" i="109" s="1"/>
  <c r="J28" i="100"/>
  <c r="K28" i="100" s="1"/>
  <c r="J28" i="99"/>
  <c r="K28" i="99" s="1"/>
  <c r="O28" i="108"/>
  <c r="L26" i="109"/>
  <c r="D27" i="109"/>
  <c r="G26" i="109"/>
  <c r="D29" i="105"/>
  <c r="G28" i="105"/>
  <c r="I28" i="105" s="1"/>
  <c r="J28" i="105" s="1"/>
  <c r="K28" i="105"/>
  <c r="D29" i="107"/>
  <c r="G28" i="107"/>
  <c r="I28" i="107" s="1"/>
  <c r="J28" i="107" s="1"/>
  <c r="K28" i="107"/>
  <c r="G27" i="104"/>
  <c r="D28" i="104"/>
  <c r="L27" i="104"/>
  <c r="K29" i="108"/>
  <c r="D30" i="108"/>
  <c r="G29" i="108"/>
  <c r="I29" i="108" s="1"/>
  <c r="J29" i="108" s="1"/>
  <c r="I32" i="106"/>
  <c r="J32" i="106" s="1"/>
  <c r="K33" i="106"/>
  <c r="D34" i="106"/>
  <c r="G33" i="106"/>
  <c r="G29" i="101"/>
  <c r="D30" i="101"/>
  <c r="L29" i="101"/>
  <c r="G29" i="100"/>
  <c r="L29" i="100"/>
  <c r="Z19" i="131" s="1"/>
  <c r="D30" i="100"/>
  <c r="G29" i="99"/>
  <c r="L29" i="99"/>
  <c r="W19" i="131" s="1"/>
  <c r="D30" i="99"/>
  <c r="D28" i="98"/>
  <c r="G27" i="98"/>
  <c r="I27" i="98" s="1"/>
  <c r="J27" i="98" s="1"/>
  <c r="K27" i="98"/>
  <c r="L27" i="149" l="1"/>
  <c r="P16" i="131"/>
  <c r="G27" i="147"/>
  <c r="J27" i="147" s="1"/>
  <c r="K27" i="147" s="1"/>
  <c r="D28" i="147"/>
  <c r="L27" i="147"/>
  <c r="V16" i="131"/>
  <c r="S15" i="131"/>
  <c r="AL19" i="131"/>
  <c r="O28" i="105"/>
  <c r="X18" i="131"/>
  <c r="Y18" i="131" s="1"/>
  <c r="BE23" i="131"/>
  <c r="O16" i="131"/>
  <c r="AM19" i="131"/>
  <c r="T17" i="131"/>
  <c r="AN18" i="131"/>
  <c r="AA18" i="131"/>
  <c r="AB18" i="131" s="1"/>
  <c r="U17" i="131"/>
  <c r="G30" i="133"/>
  <c r="J30" i="133" s="1"/>
  <c r="K30" i="133" s="1"/>
  <c r="L30" i="133"/>
  <c r="AF20" i="131" s="1"/>
  <c r="AH20" i="131" s="1"/>
  <c r="D31" i="133"/>
  <c r="E32" i="134"/>
  <c r="G31" i="134"/>
  <c r="I31" i="134" s="1"/>
  <c r="J31" i="134" s="1"/>
  <c r="K31" i="134"/>
  <c r="AG21" i="131" s="1"/>
  <c r="K25" i="132"/>
  <c r="G26" i="132"/>
  <c r="J26" i="132" s="1"/>
  <c r="K26" i="132" s="1"/>
  <c r="D27" i="132"/>
  <c r="L26" i="132"/>
  <c r="J26" i="109"/>
  <c r="K26" i="109" s="1"/>
  <c r="J29" i="100"/>
  <c r="K29" i="100" s="1"/>
  <c r="J27" i="104"/>
  <c r="K27" i="104" s="1"/>
  <c r="J29" i="99"/>
  <c r="K29" i="99" s="1"/>
  <c r="J29" i="101"/>
  <c r="K29" i="101" s="1"/>
  <c r="O29" i="108"/>
  <c r="G29" i="107"/>
  <c r="I29" i="107" s="1"/>
  <c r="J29" i="107" s="1"/>
  <c r="K29" i="107"/>
  <c r="D30" i="107"/>
  <c r="D29" i="104"/>
  <c r="L28" i="104"/>
  <c r="G28" i="104"/>
  <c r="D28" i="109"/>
  <c r="L27" i="109"/>
  <c r="G27" i="109"/>
  <c r="K29" i="105"/>
  <c r="D30" i="105"/>
  <c r="G29" i="105"/>
  <c r="I29" i="105" s="1"/>
  <c r="J29" i="105" s="1"/>
  <c r="G30" i="108"/>
  <c r="I30" i="108" s="1"/>
  <c r="J30" i="108" s="1"/>
  <c r="K30" i="108"/>
  <c r="D31" i="108"/>
  <c r="I33" i="106"/>
  <c r="J33" i="106" s="1"/>
  <c r="G34" i="106"/>
  <c r="K34" i="106"/>
  <c r="D35" i="106"/>
  <c r="D31" i="101"/>
  <c r="G30" i="101"/>
  <c r="L30" i="101"/>
  <c r="D31" i="100"/>
  <c r="G30" i="100"/>
  <c r="L30" i="100"/>
  <c r="Z20" i="131" s="1"/>
  <c r="D31" i="99"/>
  <c r="G30" i="99"/>
  <c r="L30" i="99"/>
  <c r="W20" i="131" s="1"/>
  <c r="K28" i="98"/>
  <c r="D29" i="98"/>
  <c r="G28" i="98"/>
  <c r="I28" i="98" s="1"/>
  <c r="J28" i="98" s="1"/>
  <c r="L28" i="149" l="1"/>
  <c r="G28" i="149"/>
  <c r="J28" i="149" s="1"/>
  <c r="K28" i="149" s="1"/>
  <c r="D29" i="149"/>
  <c r="P17" i="131"/>
  <c r="G28" i="147"/>
  <c r="J28" i="147" s="1"/>
  <c r="K28" i="147" s="1"/>
  <c r="D29" i="147"/>
  <c r="L28" i="147"/>
  <c r="V17" i="131"/>
  <c r="AN19" i="131"/>
  <c r="AL20" i="131"/>
  <c r="O29" i="105"/>
  <c r="X19" i="131"/>
  <c r="Y19" i="131" s="1"/>
  <c r="O17" i="131"/>
  <c r="BE24" i="131"/>
  <c r="AM20" i="131"/>
  <c r="AA19" i="131"/>
  <c r="AB19" i="131" s="1"/>
  <c r="U18" i="131"/>
  <c r="T18" i="131"/>
  <c r="S16" i="131"/>
  <c r="E33" i="134"/>
  <c r="K32" i="134"/>
  <c r="AG22" i="131" s="1"/>
  <c r="G32" i="134"/>
  <c r="I32" i="134" s="1"/>
  <c r="J32" i="134" s="1"/>
  <c r="L31" i="133"/>
  <c r="AF21" i="131" s="1"/>
  <c r="AH21" i="131" s="1"/>
  <c r="G31" i="133"/>
  <c r="J31" i="133" s="1"/>
  <c r="K31" i="133" s="1"/>
  <c r="D32" i="133"/>
  <c r="G27" i="132"/>
  <c r="J27" i="132" s="1"/>
  <c r="K27" i="132" s="1"/>
  <c r="D28" i="132"/>
  <c r="L27" i="132"/>
  <c r="J30" i="99"/>
  <c r="K30" i="99" s="1"/>
  <c r="J28" i="104"/>
  <c r="K28" i="104" s="1"/>
  <c r="J30" i="100"/>
  <c r="K30" i="100" s="1"/>
  <c r="J30" i="101"/>
  <c r="K30" i="101" s="1"/>
  <c r="J27" i="109"/>
  <c r="K27" i="109" s="1"/>
  <c r="O30" i="108"/>
  <c r="G30" i="105"/>
  <c r="I30" i="105" s="1"/>
  <c r="J30" i="105" s="1"/>
  <c r="K30" i="105"/>
  <c r="D31" i="105"/>
  <c r="G28" i="109"/>
  <c r="D29" i="109"/>
  <c r="L28" i="109"/>
  <c r="D31" i="107"/>
  <c r="K30" i="107"/>
  <c r="G30" i="107"/>
  <c r="I30" i="107" s="1"/>
  <c r="J30" i="107" s="1"/>
  <c r="D30" i="104"/>
  <c r="G29" i="104"/>
  <c r="L29" i="104"/>
  <c r="D32" i="108"/>
  <c r="K31" i="108"/>
  <c r="G31" i="108"/>
  <c r="I31" i="108" s="1"/>
  <c r="J31" i="108" s="1"/>
  <c r="I34" i="106"/>
  <c r="J34" i="106" s="1"/>
  <c r="G35" i="106"/>
  <c r="D36" i="106"/>
  <c r="K35" i="106"/>
  <c r="L31" i="101"/>
  <c r="D32" i="101"/>
  <c r="G31" i="101"/>
  <c r="D32" i="100"/>
  <c r="G31" i="100"/>
  <c r="L31" i="100"/>
  <c r="Z21" i="131" s="1"/>
  <c r="D32" i="99"/>
  <c r="G31" i="99"/>
  <c r="L31" i="99"/>
  <c r="W21" i="131" s="1"/>
  <c r="G29" i="98"/>
  <c r="I29" i="98" s="1"/>
  <c r="J29" i="98" s="1"/>
  <c r="K29" i="98"/>
  <c r="D30" i="98"/>
  <c r="G29" i="149" l="1"/>
  <c r="J29" i="149" s="1"/>
  <c r="K29" i="149" s="1"/>
  <c r="L29" i="149"/>
  <c r="D30" i="149"/>
  <c r="P18" i="131"/>
  <c r="D30" i="147"/>
  <c r="G29" i="147"/>
  <c r="J29" i="147" s="1"/>
  <c r="K29" i="147" s="1"/>
  <c r="L29" i="147"/>
  <c r="V18" i="131"/>
  <c r="BE25" i="131"/>
  <c r="U19" i="131"/>
  <c r="O18" i="131"/>
  <c r="O30" i="105"/>
  <c r="X20" i="131"/>
  <c r="Y20" i="131" s="1"/>
  <c r="AN20" i="131"/>
  <c r="S17" i="131"/>
  <c r="AM21" i="131"/>
  <c r="AL21" i="131"/>
  <c r="T19" i="131"/>
  <c r="AA20" i="131"/>
  <c r="AB20" i="131" s="1"/>
  <c r="G32" i="133"/>
  <c r="J32" i="133" s="1"/>
  <c r="K32" i="133" s="1"/>
  <c r="L32" i="133"/>
  <c r="AF22" i="131" s="1"/>
  <c r="AH22" i="131" s="1"/>
  <c r="D33" i="133"/>
  <c r="E34" i="134"/>
  <c r="K33" i="134"/>
  <c r="AG23" i="131" s="1"/>
  <c r="G33" i="134"/>
  <c r="I33" i="134" s="1"/>
  <c r="J33" i="134" s="1"/>
  <c r="L28" i="132"/>
  <c r="G28" i="132"/>
  <c r="J28" i="132" s="1"/>
  <c r="K28" i="132" s="1"/>
  <c r="D29" i="132"/>
  <c r="J31" i="100"/>
  <c r="K31" i="100" s="1"/>
  <c r="J28" i="109"/>
  <c r="K28" i="109" s="1"/>
  <c r="J31" i="101"/>
  <c r="K31" i="101" s="1"/>
  <c r="J31" i="99"/>
  <c r="K31" i="99" s="1"/>
  <c r="J29" i="104"/>
  <c r="K29" i="104" s="1"/>
  <c r="O31" i="108"/>
  <c r="D32" i="107"/>
  <c r="G31" i="107"/>
  <c r="I31" i="107" s="1"/>
  <c r="J31" i="107" s="1"/>
  <c r="K31" i="107"/>
  <c r="G31" i="105"/>
  <c r="I31" i="105" s="1"/>
  <c r="J31" i="105" s="1"/>
  <c r="K31" i="105"/>
  <c r="D32" i="105"/>
  <c r="L30" i="104"/>
  <c r="D31" i="104"/>
  <c r="G30" i="104"/>
  <c r="D33" i="108"/>
  <c r="G32" i="108"/>
  <c r="I32" i="108" s="1"/>
  <c r="J32" i="108" s="1"/>
  <c r="K32" i="108"/>
  <c r="L29" i="109"/>
  <c r="D30" i="109"/>
  <c r="G29" i="109"/>
  <c r="I35" i="106"/>
  <c r="J35" i="106" s="1"/>
  <c r="D37" i="106"/>
  <c r="K36" i="106"/>
  <c r="BE26" i="131" s="1"/>
  <c r="BE29" i="131" s="1"/>
  <c r="G36" i="106"/>
  <c r="L32" i="101"/>
  <c r="G32" i="101"/>
  <c r="D33" i="101"/>
  <c r="L32" i="100"/>
  <c r="Z22" i="131" s="1"/>
  <c r="D33" i="100"/>
  <c r="G32" i="100"/>
  <c r="L32" i="99"/>
  <c r="W22" i="131" s="1"/>
  <c r="D33" i="99"/>
  <c r="G32" i="99"/>
  <c r="D31" i="98"/>
  <c r="G30" i="98"/>
  <c r="I30" i="98" s="1"/>
  <c r="J30" i="98" s="1"/>
  <c r="K30" i="98"/>
  <c r="L30" i="149" l="1"/>
  <c r="D31" i="149"/>
  <c r="G30" i="149"/>
  <c r="J30" i="149" s="1"/>
  <c r="K30" i="149" s="1"/>
  <c r="P19" i="131"/>
  <c r="V19" i="131"/>
  <c r="L30" i="147"/>
  <c r="D31" i="147"/>
  <c r="G30" i="147"/>
  <c r="J30" i="147" s="1"/>
  <c r="K30" i="147" s="1"/>
  <c r="O31" i="105"/>
  <c r="X21" i="131"/>
  <c r="Y21" i="131" s="1"/>
  <c r="T20" i="131"/>
  <c r="O19" i="131"/>
  <c r="AL22" i="131"/>
  <c r="AM22" i="131"/>
  <c r="U20" i="131"/>
  <c r="AA21" i="131"/>
  <c r="AB21" i="131" s="1"/>
  <c r="S18" i="131"/>
  <c r="AN21" i="131"/>
  <c r="E35" i="134"/>
  <c r="G34" i="134"/>
  <c r="I34" i="134" s="1"/>
  <c r="J34" i="134" s="1"/>
  <c r="K34" i="134"/>
  <c r="AG24" i="131" s="1"/>
  <c r="G33" i="133"/>
  <c r="J33" i="133" s="1"/>
  <c r="K33" i="133" s="1"/>
  <c r="L33" i="133"/>
  <c r="AF23" i="131" s="1"/>
  <c r="AH23" i="131" s="1"/>
  <c r="D34" i="133"/>
  <c r="L29" i="132"/>
  <c r="D30" i="132"/>
  <c r="G29" i="132"/>
  <c r="J29" i="132" s="1"/>
  <c r="K29" i="132" s="1"/>
  <c r="J29" i="109"/>
  <c r="K29" i="109" s="1"/>
  <c r="J32" i="100"/>
  <c r="K32" i="100" s="1"/>
  <c r="J30" i="104"/>
  <c r="K30" i="104" s="1"/>
  <c r="J32" i="101"/>
  <c r="K32" i="101" s="1"/>
  <c r="J32" i="99"/>
  <c r="K32" i="99" s="1"/>
  <c r="O32" i="108"/>
  <c r="D33" i="105"/>
  <c r="K32" i="105"/>
  <c r="G32" i="105"/>
  <c r="I32" i="105" s="1"/>
  <c r="J32" i="105" s="1"/>
  <c r="G31" i="104"/>
  <c r="D32" i="104"/>
  <c r="L31" i="104"/>
  <c r="L30" i="109"/>
  <c r="G30" i="109"/>
  <c r="D31" i="109"/>
  <c r="G33" i="108"/>
  <c r="I33" i="108" s="1"/>
  <c r="J33" i="108" s="1"/>
  <c r="K33" i="108"/>
  <c r="D34" i="108"/>
  <c r="D33" i="107"/>
  <c r="K32" i="107"/>
  <c r="G32" i="107"/>
  <c r="I32" i="107" s="1"/>
  <c r="J32" i="107" s="1"/>
  <c r="I36" i="106"/>
  <c r="J36" i="106" s="1"/>
  <c r="G37" i="106"/>
  <c r="K37" i="106"/>
  <c r="C73" i="131" s="1"/>
  <c r="G33" i="101"/>
  <c r="D34" i="101"/>
  <c r="L33" i="101"/>
  <c r="G33" i="100"/>
  <c r="L33" i="100"/>
  <c r="Z23" i="131" s="1"/>
  <c r="D34" i="100"/>
  <c r="G33" i="99"/>
  <c r="L33" i="99"/>
  <c r="W23" i="131" s="1"/>
  <c r="D34" i="99"/>
  <c r="D32" i="98"/>
  <c r="G31" i="98"/>
  <c r="I31" i="98" s="1"/>
  <c r="J31" i="98" s="1"/>
  <c r="K31" i="98"/>
  <c r="D32" i="149" l="1"/>
  <c r="G31" i="149"/>
  <c r="J31" i="149" s="1"/>
  <c r="K31" i="149" s="1"/>
  <c r="L31" i="149"/>
  <c r="P20" i="131"/>
  <c r="D32" i="147"/>
  <c r="G31" i="147"/>
  <c r="J31" i="147" s="1"/>
  <c r="K31" i="147" s="1"/>
  <c r="L31" i="147"/>
  <c r="V20" i="131"/>
  <c r="S19" i="131"/>
  <c r="AL23" i="131"/>
  <c r="AM23" i="131"/>
  <c r="O20" i="131"/>
  <c r="U21" i="131"/>
  <c r="AA22" i="131"/>
  <c r="AB22" i="131" s="1"/>
  <c r="T21" i="131"/>
  <c r="O32" i="105"/>
  <c r="X22" i="131"/>
  <c r="Y22" i="131" s="1"/>
  <c r="AN22" i="131"/>
  <c r="G34" i="133"/>
  <c r="J34" i="133" s="1"/>
  <c r="K34" i="133" s="1"/>
  <c r="L34" i="133"/>
  <c r="AF24" i="131" s="1"/>
  <c r="AH24" i="131" s="1"/>
  <c r="D35" i="133"/>
  <c r="E36" i="134"/>
  <c r="G35" i="134"/>
  <c r="I35" i="134" s="1"/>
  <c r="J35" i="134" s="1"/>
  <c r="K35" i="134"/>
  <c r="AG25" i="131" s="1"/>
  <c r="G30" i="132"/>
  <c r="J30" i="132" s="1"/>
  <c r="K30" i="132" s="1"/>
  <c r="L30" i="132"/>
  <c r="D31" i="132"/>
  <c r="J33" i="100"/>
  <c r="K33" i="100" s="1"/>
  <c r="J30" i="109"/>
  <c r="K30" i="109" s="1"/>
  <c r="J31" i="104"/>
  <c r="K31" i="104" s="1"/>
  <c r="K39" i="106"/>
  <c r="J33" i="99"/>
  <c r="K33" i="99" s="1"/>
  <c r="J33" i="101"/>
  <c r="K33" i="101" s="1"/>
  <c r="O33" i="108"/>
  <c r="G34" i="108"/>
  <c r="I34" i="108" s="1"/>
  <c r="J34" i="108" s="1"/>
  <c r="K34" i="108"/>
  <c r="D35" i="108"/>
  <c r="K33" i="107"/>
  <c r="D34" i="107"/>
  <c r="G33" i="107"/>
  <c r="I33" i="107" s="1"/>
  <c r="J33" i="107" s="1"/>
  <c r="D32" i="109"/>
  <c r="G31" i="109"/>
  <c r="L31" i="109"/>
  <c r="D33" i="104"/>
  <c r="L32" i="104"/>
  <c r="G32" i="104"/>
  <c r="K33" i="105"/>
  <c r="D34" i="105"/>
  <c r="G33" i="105"/>
  <c r="I33" i="105" s="1"/>
  <c r="J33" i="105" s="1"/>
  <c r="I37" i="106"/>
  <c r="D35" i="101"/>
  <c r="G34" i="101"/>
  <c r="L34" i="101"/>
  <c r="D35" i="100"/>
  <c r="G34" i="100"/>
  <c r="L34" i="100"/>
  <c r="Z24" i="131" s="1"/>
  <c r="D35" i="99"/>
  <c r="G34" i="99"/>
  <c r="L34" i="99"/>
  <c r="W24" i="131" s="1"/>
  <c r="K32" i="98"/>
  <c r="D33" i="98"/>
  <c r="G32" i="98"/>
  <c r="I32" i="98" s="1"/>
  <c r="J32" i="98" s="1"/>
  <c r="V21" i="131" l="1"/>
  <c r="G32" i="149"/>
  <c r="J32" i="149" s="1"/>
  <c r="K32" i="149" s="1"/>
  <c r="L32" i="149"/>
  <c r="D33" i="149"/>
  <c r="P21" i="131"/>
  <c r="G32" i="147"/>
  <c r="J32" i="147" s="1"/>
  <c r="K32" i="147" s="1"/>
  <c r="L32" i="147"/>
  <c r="D33" i="147"/>
  <c r="AA23" i="131"/>
  <c r="AB23" i="131" s="1"/>
  <c r="AN23" i="131"/>
  <c r="U22" i="131"/>
  <c r="AM24" i="131"/>
  <c r="AL24" i="131"/>
  <c r="T22" i="131"/>
  <c r="O33" i="105"/>
  <c r="X23" i="131"/>
  <c r="Y23" i="131" s="1"/>
  <c r="O21" i="131"/>
  <c r="S20" i="131"/>
  <c r="E37" i="134"/>
  <c r="K36" i="134"/>
  <c r="AG26" i="131" s="1"/>
  <c r="AG29" i="131" s="1"/>
  <c r="G36" i="134"/>
  <c r="I36" i="134" s="1"/>
  <c r="J36" i="134" s="1"/>
  <c r="L35" i="133"/>
  <c r="AF25" i="131" s="1"/>
  <c r="AH25" i="131" s="1"/>
  <c r="G35" i="133"/>
  <c r="J35" i="133" s="1"/>
  <c r="K35" i="133" s="1"/>
  <c r="D36" i="133"/>
  <c r="G31" i="132"/>
  <c r="J31" i="132" s="1"/>
  <c r="K31" i="132" s="1"/>
  <c r="L31" i="132"/>
  <c r="D32" i="132"/>
  <c r="J34" i="99"/>
  <c r="K34" i="99" s="1"/>
  <c r="J37" i="106"/>
  <c r="J39" i="106" s="1"/>
  <c r="I39" i="106"/>
  <c r="J32" i="104"/>
  <c r="K32" i="104" s="1"/>
  <c r="J31" i="109"/>
  <c r="K31" i="109" s="1"/>
  <c r="J34" i="100"/>
  <c r="K34" i="100" s="1"/>
  <c r="J34" i="101"/>
  <c r="K34" i="101" s="1"/>
  <c r="O34" i="108"/>
  <c r="G32" i="109"/>
  <c r="D33" i="109"/>
  <c r="L32" i="109"/>
  <c r="G35" i="108"/>
  <c r="I35" i="108" s="1"/>
  <c r="J35" i="108" s="1"/>
  <c r="D36" i="108"/>
  <c r="K35" i="108"/>
  <c r="K34" i="105"/>
  <c r="G34" i="105"/>
  <c r="I34" i="105" s="1"/>
  <c r="J34" i="105" s="1"/>
  <c r="D35" i="105"/>
  <c r="D34" i="104"/>
  <c r="G33" i="104"/>
  <c r="L33" i="104"/>
  <c r="K34" i="107"/>
  <c r="D35" i="107"/>
  <c r="G34" i="107"/>
  <c r="I34" i="107" s="1"/>
  <c r="J34" i="107" s="1"/>
  <c r="L35" i="101"/>
  <c r="D36" i="101"/>
  <c r="G35" i="101"/>
  <c r="D36" i="100"/>
  <c r="G35" i="100"/>
  <c r="L35" i="100"/>
  <c r="Z25" i="131" s="1"/>
  <c r="D36" i="99"/>
  <c r="G35" i="99"/>
  <c r="L35" i="99"/>
  <c r="G33" i="98"/>
  <c r="I33" i="98" s="1"/>
  <c r="J33" i="98" s="1"/>
  <c r="K33" i="98"/>
  <c r="D34" i="98"/>
  <c r="G33" i="149" l="1"/>
  <c r="J33" i="149" s="1"/>
  <c r="K33" i="149" s="1"/>
  <c r="L33" i="149"/>
  <c r="D34" i="149"/>
  <c r="P22" i="131"/>
  <c r="V22" i="131"/>
  <c r="G33" i="147"/>
  <c r="J33" i="147" s="1"/>
  <c r="K33" i="147" s="1"/>
  <c r="L33" i="147"/>
  <c r="D34" i="147"/>
  <c r="AN24" i="131"/>
  <c r="O34" i="105"/>
  <c r="X24" i="131"/>
  <c r="Y24" i="131" s="1"/>
  <c r="W25" i="131"/>
  <c r="AL25" i="131"/>
  <c r="T23" i="131"/>
  <c r="O22" i="131"/>
  <c r="U23" i="131"/>
  <c r="AM25" i="131"/>
  <c r="AA24" i="131"/>
  <c r="AB24" i="131" s="1"/>
  <c r="S21" i="131"/>
  <c r="L36" i="133"/>
  <c r="AF26" i="131" s="1"/>
  <c r="D37" i="133"/>
  <c r="G36" i="133"/>
  <c r="J36" i="133" s="1"/>
  <c r="K36" i="133" s="1"/>
  <c r="G37" i="134"/>
  <c r="I37" i="134" s="1"/>
  <c r="K37" i="134"/>
  <c r="G32" i="132"/>
  <c r="J32" i="132" s="1"/>
  <c r="K32" i="132" s="1"/>
  <c r="L32" i="132"/>
  <c r="D33" i="132"/>
  <c r="J32" i="109"/>
  <c r="K32" i="109" s="1"/>
  <c r="J33" i="104"/>
  <c r="K33" i="104" s="1"/>
  <c r="J35" i="100"/>
  <c r="K35" i="100" s="1"/>
  <c r="J35" i="99"/>
  <c r="K35" i="99" s="1"/>
  <c r="J35" i="101"/>
  <c r="K35" i="101" s="1"/>
  <c r="O35" i="108"/>
  <c r="G35" i="107"/>
  <c r="I35" i="107" s="1"/>
  <c r="J35" i="107" s="1"/>
  <c r="K35" i="107"/>
  <c r="D36" i="107"/>
  <c r="D34" i="109"/>
  <c r="L33" i="109"/>
  <c r="G33" i="109"/>
  <c r="L34" i="104"/>
  <c r="D35" i="104"/>
  <c r="G34" i="104"/>
  <c r="D36" i="105"/>
  <c r="G35" i="105"/>
  <c r="I35" i="105" s="1"/>
  <c r="J35" i="105" s="1"/>
  <c r="K35" i="105"/>
  <c r="D37" i="108"/>
  <c r="K36" i="108"/>
  <c r="G36" i="108"/>
  <c r="I36" i="108" s="1"/>
  <c r="J36" i="108" s="1"/>
  <c r="L36" i="101"/>
  <c r="D37" i="101"/>
  <c r="G36" i="101"/>
  <c r="L36" i="100"/>
  <c r="Z26" i="131" s="1"/>
  <c r="Z29" i="131" s="1"/>
  <c r="D37" i="100"/>
  <c r="G36" i="100"/>
  <c r="L36" i="99"/>
  <c r="W26" i="131" s="1"/>
  <c r="D37" i="99"/>
  <c r="G36" i="99"/>
  <c r="D35" i="98"/>
  <c r="G34" i="98"/>
  <c r="I34" i="98" s="1"/>
  <c r="J34" i="98" s="1"/>
  <c r="K34" i="98"/>
  <c r="W29" i="131" l="1"/>
  <c r="AH26" i="131"/>
  <c r="AH29" i="131" s="1"/>
  <c r="AF29" i="131"/>
  <c r="L34" i="149"/>
  <c r="D35" i="149"/>
  <c r="G34" i="149"/>
  <c r="J34" i="149" s="1"/>
  <c r="K34" i="149" s="1"/>
  <c r="P23" i="131"/>
  <c r="L34" i="147"/>
  <c r="D35" i="147"/>
  <c r="G34" i="147"/>
  <c r="J34" i="147" s="1"/>
  <c r="K34" i="147" s="1"/>
  <c r="V23" i="131"/>
  <c r="O23" i="131"/>
  <c r="S22" i="131"/>
  <c r="T24" i="131"/>
  <c r="AL26" i="131"/>
  <c r="AL29" i="131" s="1"/>
  <c r="O35" i="105"/>
  <c r="X25" i="131"/>
  <c r="Y25" i="131" s="1"/>
  <c r="U24" i="131"/>
  <c r="AM26" i="131"/>
  <c r="AM29" i="131" s="1"/>
  <c r="AA25" i="131"/>
  <c r="AB25" i="131" s="1"/>
  <c r="AN25" i="131"/>
  <c r="K39" i="134"/>
  <c r="J37" i="134"/>
  <c r="J39" i="134" s="1"/>
  <c r="I39" i="134"/>
  <c r="L37" i="133"/>
  <c r="G37" i="133"/>
  <c r="J37" i="133" s="1"/>
  <c r="G33" i="132"/>
  <c r="J33" i="132" s="1"/>
  <c r="K33" i="132" s="1"/>
  <c r="L33" i="132"/>
  <c r="D34" i="132"/>
  <c r="J36" i="99"/>
  <c r="K36" i="99" s="1"/>
  <c r="J36" i="101"/>
  <c r="K36" i="101" s="1"/>
  <c r="J33" i="109"/>
  <c r="K33" i="109" s="1"/>
  <c r="J36" i="100"/>
  <c r="K36" i="100" s="1"/>
  <c r="J34" i="104"/>
  <c r="K34" i="104" s="1"/>
  <c r="O36" i="108"/>
  <c r="D36" i="104"/>
  <c r="L35" i="104"/>
  <c r="G35" i="104"/>
  <c r="L34" i="109"/>
  <c r="D35" i="109"/>
  <c r="G34" i="109"/>
  <c r="G36" i="107"/>
  <c r="I36" i="107" s="1"/>
  <c r="J36" i="107" s="1"/>
  <c r="K36" i="107"/>
  <c r="AA26" i="131" s="1"/>
  <c r="D37" i="107"/>
  <c r="D37" i="105"/>
  <c r="G36" i="105"/>
  <c r="I36" i="105" s="1"/>
  <c r="J36" i="105" s="1"/>
  <c r="K36" i="105"/>
  <c r="X26" i="131" s="1"/>
  <c r="G37" i="108"/>
  <c r="I37" i="108" s="1"/>
  <c r="K37" i="108"/>
  <c r="G37" i="101"/>
  <c r="J37" i="101" s="1"/>
  <c r="L37" i="101"/>
  <c r="G37" i="100"/>
  <c r="J37" i="100" s="1"/>
  <c r="L37" i="100"/>
  <c r="G37" i="99"/>
  <c r="J37" i="99" s="1"/>
  <c r="L37" i="99"/>
  <c r="D36" i="98"/>
  <c r="G35" i="98"/>
  <c r="I35" i="98" s="1"/>
  <c r="J35" i="98" s="1"/>
  <c r="K35" i="98"/>
  <c r="Y26" i="131" l="1"/>
  <c r="Y29" i="131" s="1"/>
  <c r="X29" i="131"/>
  <c r="AB26" i="131"/>
  <c r="AB29" i="131" s="1"/>
  <c r="AA29" i="131"/>
  <c r="D36" i="149"/>
  <c r="G35" i="149"/>
  <c r="J35" i="149" s="1"/>
  <c r="K35" i="149" s="1"/>
  <c r="L35" i="149"/>
  <c r="P24" i="131"/>
  <c r="V24" i="131"/>
  <c r="D36" i="147"/>
  <c r="G35" i="147"/>
  <c r="J35" i="147" s="1"/>
  <c r="K35" i="147" s="1"/>
  <c r="L35" i="147"/>
  <c r="AN26" i="131"/>
  <c r="AN29" i="131" s="1"/>
  <c r="U25" i="131"/>
  <c r="S23" i="131"/>
  <c r="T25" i="131"/>
  <c r="L39" i="133"/>
  <c r="L39" i="100"/>
  <c r="O24" i="131"/>
  <c r="K37" i="133"/>
  <c r="K39" i="133" s="1"/>
  <c r="J39" i="133"/>
  <c r="K39" i="108"/>
  <c r="G34" i="132"/>
  <c r="J34" i="132" s="1"/>
  <c r="K34" i="132" s="1"/>
  <c r="L34" i="132"/>
  <c r="D35" i="132"/>
  <c r="L39" i="101"/>
  <c r="J35" i="104"/>
  <c r="K35" i="104" s="1"/>
  <c r="J34" i="109"/>
  <c r="K34" i="109" s="1"/>
  <c r="J37" i="108"/>
  <c r="J39" i="108" s="1"/>
  <c r="I39" i="108"/>
  <c r="K37" i="100"/>
  <c r="K39" i="100" s="1"/>
  <c r="J39" i="100"/>
  <c r="K37" i="99"/>
  <c r="K39" i="99" s="1"/>
  <c r="J39" i="99"/>
  <c r="L39" i="99"/>
  <c r="K37" i="101"/>
  <c r="K39" i="101" s="1"/>
  <c r="J39" i="101"/>
  <c r="O37" i="108"/>
  <c r="O36" i="105"/>
  <c r="K37" i="105"/>
  <c r="G37" i="105"/>
  <c r="I37" i="105" s="1"/>
  <c r="K37" i="107"/>
  <c r="G37" i="107"/>
  <c r="I37" i="107" s="1"/>
  <c r="L35" i="109"/>
  <c r="G35" i="109"/>
  <c r="D36" i="109"/>
  <c r="D37" i="104"/>
  <c r="G36" i="104"/>
  <c r="L36" i="104"/>
  <c r="T26" i="131" s="1"/>
  <c r="K36" i="98"/>
  <c r="D37" i="98"/>
  <c r="G36" i="98"/>
  <c r="I36" i="98" s="1"/>
  <c r="J36" i="98" s="1"/>
  <c r="T29" i="131" l="1"/>
  <c r="U26" i="131"/>
  <c r="U29" i="131" s="1"/>
  <c r="V25" i="131"/>
  <c r="G36" i="149"/>
  <c r="J36" i="149" s="1"/>
  <c r="K36" i="149" s="1"/>
  <c r="L36" i="149"/>
  <c r="D37" i="149"/>
  <c r="P25" i="131"/>
  <c r="G36" i="147"/>
  <c r="J36" i="147" s="1"/>
  <c r="K36" i="147" s="1"/>
  <c r="L36" i="147"/>
  <c r="D37" i="147"/>
  <c r="V26" i="131"/>
  <c r="V29" i="131" s="1"/>
  <c r="S24" i="131"/>
  <c r="O25" i="131"/>
  <c r="C61" i="131"/>
  <c r="F61" i="131" s="1"/>
  <c r="C63" i="131"/>
  <c r="F63" i="131" s="1"/>
  <c r="G35" i="132"/>
  <c r="J35" i="132" s="1"/>
  <c r="K35" i="132" s="1"/>
  <c r="L35" i="132"/>
  <c r="D36" i="132"/>
  <c r="J37" i="105"/>
  <c r="J39" i="105" s="1"/>
  <c r="I39" i="105"/>
  <c r="J35" i="109"/>
  <c r="K35" i="109" s="1"/>
  <c r="O37" i="105"/>
  <c r="K39" i="105"/>
  <c r="J36" i="104"/>
  <c r="K36" i="104" s="1"/>
  <c r="J37" i="107"/>
  <c r="J39" i="107" s="1"/>
  <c r="I39" i="107"/>
  <c r="K39" i="107"/>
  <c r="L37" i="104"/>
  <c r="G37" i="104"/>
  <c r="J37" i="104" s="1"/>
  <c r="L36" i="109"/>
  <c r="O26" i="131" s="1"/>
  <c r="O29" i="131" s="1"/>
  <c r="G36" i="109"/>
  <c r="D37" i="109"/>
  <c r="G37" i="98"/>
  <c r="I37" i="98" s="1"/>
  <c r="K37" i="98"/>
  <c r="G37" i="149" l="1"/>
  <c r="J37" i="149" s="1"/>
  <c r="L37" i="149"/>
  <c r="P26" i="131"/>
  <c r="P29" i="131" s="1"/>
  <c r="G37" i="147"/>
  <c r="J37" i="147" s="1"/>
  <c r="L37" i="147"/>
  <c r="C62" i="131"/>
  <c r="F62" i="131" s="1"/>
  <c r="C59" i="131"/>
  <c r="F59" i="131" s="1"/>
  <c r="S25" i="131"/>
  <c r="G36" i="132"/>
  <c r="J36" i="132" s="1"/>
  <c r="K36" i="132" s="1"/>
  <c r="D37" i="132"/>
  <c r="L36" i="132"/>
  <c r="J37" i="98"/>
  <c r="J39" i="98" s="1"/>
  <c r="I39" i="98"/>
  <c r="J36" i="109"/>
  <c r="K36" i="109" s="1"/>
  <c r="K39" i="98"/>
  <c r="K37" i="104"/>
  <c r="K39" i="104" s="1"/>
  <c r="J39" i="104"/>
  <c r="L39" i="104"/>
  <c r="L37" i="109"/>
  <c r="G37" i="109"/>
  <c r="J37" i="109" s="1"/>
  <c r="R1" i="96"/>
  <c r="Q4" i="96"/>
  <c r="Q5" i="96"/>
  <c r="Q6" i="96"/>
  <c r="Q7" i="96"/>
  <c r="Q8" i="96"/>
  <c r="Q9" i="96"/>
  <c r="Q10" i="96"/>
  <c r="Q11" i="96"/>
  <c r="Q12" i="96"/>
  <c r="Q13" i="96"/>
  <c r="Q14" i="96"/>
  <c r="Q15" i="96"/>
  <c r="Q16" i="96"/>
  <c r="Q17" i="96"/>
  <c r="Q18" i="96"/>
  <c r="Q19" i="96"/>
  <c r="Q20" i="96"/>
  <c r="Q21" i="96"/>
  <c r="Q22" i="96"/>
  <c r="Q23" i="96"/>
  <c r="Q24" i="96"/>
  <c r="Q25" i="96"/>
  <c r="Q3" i="96"/>
  <c r="C51" i="131" l="1"/>
  <c r="F51" i="131" s="1"/>
  <c r="L39" i="149"/>
  <c r="K37" i="149"/>
  <c r="K39" i="149" s="1"/>
  <c r="J39" i="149"/>
  <c r="L39" i="147"/>
  <c r="K37" i="147"/>
  <c r="K39" i="147" s="1"/>
  <c r="J39" i="147"/>
  <c r="C54" i="131"/>
  <c r="F54" i="131" s="1"/>
  <c r="S26" i="131"/>
  <c r="S29" i="131" s="1"/>
  <c r="G37" i="132"/>
  <c r="J37" i="132" s="1"/>
  <c r="L37" i="132"/>
  <c r="K37" i="109"/>
  <c r="K39" i="109" s="1"/>
  <c r="J39" i="109"/>
  <c r="L39" i="109"/>
  <c r="C64" i="131" l="1"/>
  <c r="F64" i="131" s="1"/>
  <c r="C50" i="131"/>
  <c r="F50" i="131" s="1"/>
  <c r="L39" i="132"/>
  <c r="K37" i="132"/>
  <c r="K39" i="132" s="1"/>
  <c r="J39" i="132"/>
  <c r="AA9" i="47" l="1"/>
  <c r="AP9" i="47"/>
  <c r="M276" i="31"/>
  <c r="M275" i="31"/>
  <c r="M274" i="31"/>
  <c r="M273" i="31"/>
  <c r="M272" i="31"/>
  <c r="M271" i="31"/>
  <c r="M270" i="31"/>
  <c r="M269" i="31"/>
  <c r="M268" i="31"/>
  <c r="M267" i="31"/>
  <c r="M266" i="31"/>
  <c r="M265" i="31"/>
  <c r="M264" i="31"/>
  <c r="M263" i="31"/>
  <c r="M262" i="31"/>
  <c r="M261" i="31"/>
  <c r="M260" i="31"/>
  <c r="M259" i="31"/>
  <c r="M258" i="31"/>
  <c r="M257" i="31"/>
  <c r="M256" i="31"/>
  <c r="M255" i="31"/>
  <c r="M254" i="31"/>
  <c r="M253" i="31"/>
  <c r="M252" i="3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A56" i="25" l="1"/>
  <c r="A52" i="25"/>
  <c r="R5" i="31"/>
  <c r="Q5" i="31" s="1"/>
  <c r="P5" i="31" s="1"/>
  <c r="CW9" i="25" l="1"/>
  <c r="CV9" i="25"/>
  <c r="CU9" i="25"/>
  <c r="CX9" i="25"/>
  <c r="BY9" i="47" l="1"/>
  <c r="V9" i="47"/>
  <c r="M10" i="47" l="1"/>
  <c r="BA10" i="47"/>
  <c r="AB10" i="47"/>
  <c r="BZ10" i="47"/>
  <c r="BU10" i="47"/>
  <c r="W10" i="47"/>
  <c r="BF10" i="47"/>
  <c r="R10" i="47"/>
  <c r="BP10" i="47"/>
  <c r="BK10" i="47"/>
  <c r="AQ10" i="47"/>
  <c r="CB10" i="47" l="1"/>
  <c r="H10" i="47" l="1"/>
  <c r="C10" i="47" l="1"/>
  <c r="A9" i="31" l="1"/>
  <c r="R6" i="31"/>
  <c r="Q6" i="31"/>
  <c r="P6" i="31"/>
  <c r="EJ9" i="25" l="1"/>
  <c r="BF9" i="25"/>
  <c r="A47" i="25" l="1"/>
  <c r="B48" i="25" l="1"/>
  <c r="ED8" i="25" l="1"/>
  <c r="CO8" i="25"/>
  <c r="DF9" i="25" l="1"/>
  <c r="DE9" i="25"/>
  <c r="DD9" i="25"/>
  <c r="DC9" i="25"/>
  <c r="DB9" i="25"/>
  <c r="DA9" i="25"/>
  <c r="CZ9" i="25"/>
  <c r="CY9" i="25"/>
  <c r="DF8" i="25"/>
  <c r="DE8" i="25"/>
  <c r="DD8" i="25"/>
  <c r="DC8" i="25"/>
  <c r="DB8" i="25"/>
  <c r="DA8" i="25"/>
  <c r="CZ8" i="25"/>
  <c r="CY8" i="25"/>
  <c r="CN8" i="25"/>
  <c r="CM8" i="25"/>
  <c r="CL8" i="25"/>
  <c r="CK8" i="25"/>
  <c r="BQ8" i="25"/>
  <c r="BP8" i="25"/>
  <c r="BO8" i="25"/>
  <c r="BN8" i="25"/>
  <c r="BM8" i="25"/>
  <c r="BL8" i="25"/>
  <c r="BK8" i="25"/>
  <c r="BJ8" i="25"/>
  <c r="BI8" i="25"/>
  <c r="BH8" i="25"/>
  <c r="BG8" i="25"/>
  <c r="BE8" i="25"/>
  <c r="BO9" i="47" l="1"/>
  <c r="BT9" i="47"/>
  <c r="BW10" i="47"/>
  <c r="BJ10" i="47"/>
  <c r="BJ11" i="47" s="1"/>
  <c r="BJ12" i="47" s="1"/>
  <c r="BJ13" i="47" s="1"/>
  <c r="BJ14" i="47" s="1"/>
  <c r="BJ15" i="47" s="1"/>
  <c r="BJ16" i="47" s="1"/>
  <c r="BJ17" i="47" s="1"/>
  <c r="BJ9" i="47"/>
  <c r="BE10" i="47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9" i="47"/>
  <c r="L11" i="47"/>
  <c r="L12" i="47" s="1"/>
  <c r="L13" i="47" s="1"/>
  <c r="L14" i="47" s="1"/>
  <c r="L15" i="47" s="1"/>
  <c r="L16" i="47" s="1"/>
  <c r="L17" i="47" s="1"/>
  <c r="L18" i="47" s="1"/>
  <c r="L9" i="47"/>
  <c r="AZ9" i="47"/>
  <c r="AZ10" i="47"/>
  <c r="AZ11" i="47" s="1"/>
  <c r="AZ12" i="47" s="1"/>
  <c r="AZ13" i="47" l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BE24" i="47"/>
  <c r="BE25" i="47" s="1"/>
  <c r="BE26" i="47" s="1"/>
  <c r="BE27" i="47" s="1"/>
  <c r="BE28" i="47" s="1"/>
  <c r="BE29" i="47" s="1"/>
  <c r="BE30" i="47" s="1"/>
  <c r="BE31" i="47" s="1"/>
  <c r="BE32" i="47" s="1"/>
  <c r="L19" i="47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BH10" i="47"/>
  <c r="BR10" i="47"/>
  <c r="O10" i="47"/>
  <c r="BM10" i="47"/>
  <c r="BC10" i="47" l="1"/>
  <c r="V10" i="47"/>
  <c r="Q10" i="47"/>
  <c r="Q11" i="47" s="1"/>
  <c r="AP10" i="47"/>
  <c r="AA10" i="47"/>
  <c r="BT10" i="47" s="1"/>
  <c r="G11" i="47"/>
  <c r="G12" i="47" s="1"/>
  <c r="G13" i="47" s="1"/>
  <c r="G14" i="47" s="1"/>
  <c r="G15" i="47" s="1"/>
  <c r="G16" i="47" s="1"/>
  <c r="G9" i="47"/>
  <c r="Q9" i="47"/>
  <c r="B9" i="47"/>
  <c r="BY10" i="47" l="1"/>
  <c r="CD10" i="47" s="1"/>
  <c r="CD12" i="47" s="1"/>
  <c r="CD13" i="47" s="1"/>
  <c r="CD14" i="47" s="1"/>
  <c r="CD15" i="47" s="1"/>
  <c r="CD16" i="47" s="1"/>
  <c r="CD17" i="47" s="1"/>
  <c r="CD18" i="47" s="1"/>
  <c r="CD19" i="47" s="1"/>
  <c r="CD20" i="47" s="1"/>
  <c r="CD21" i="47" s="1"/>
  <c r="CD22" i="47" s="1"/>
  <c r="CD23" i="47" s="1"/>
  <c r="CD24" i="47" s="1"/>
  <c r="CD25" i="47" s="1"/>
  <c r="CD26" i="47" s="1"/>
  <c r="CD27" i="47" s="1"/>
  <c r="CD28" i="47" s="1"/>
  <c r="CD29" i="47" s="1"/>
  <c r="CD30" i="47" s="1"/>
  <c r="CD31" i="47" s="1"/>
  <c r="CD32" i="47" s="1"/>
  <c r="BT11" i="47"/>
  <c r="BT12" i="47" s="1"/>
  <c r="BT13" i="47" s="1"/>
  <c r="BT14" i="47" s="1"/>
  <c r="BT15" i="47" s="1"/>
  <c r="BT16" i="47" s="1"/>
  <c r="BT17" i="47" s="1"/>
  <c r="BT18" i="47" s="1"/>
  <c r="BT19" i="47" s="1"/>
  <c r="BT20" i="47" s="1"/>
  <c r="BT21" i="47" s="1"/>
  <c r="BT22" i="47" s="1"/>
  <c r="BT23" i="47" s="1"/>
  <c r="BT24" i="47" s="1"/>
  <c r="BT25" i="47" s="1"/>
  <c r="BT26" i="47" s="1"/>
  <c r="BT27" i="47" s="1"/>
  <c r="BT28" i="47" s="1"/>
  <c r="BT29" i="47" s="1"/>
  <c r="BT30" i="47" s="1"/>
  <c r="BT31" i="47" s="1"/>
  <c r="BT32" i="47" s="1"/>
  <c r="BO10" i="47"/>
  <c r="BO11" i="47" s="1"/>
  <c r="BO12" i="47" s="1"/>
  <c r="BO13" i="47" s="1"/>
  <c r="BO14" i="47" s="1"/>
  <c r="BO15" i="47" s="1"/>
  <c r="V11" i="47"/>
  <c r="V12" i="47" s="1"/>
  <c r="G17" i="47"/>
  <c r="G18" i="47" s="1"/>
  <c r="G19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AP11" i="47"/>
  <c r="AP12" i="47" s="1"/>
  <c r="AP13" i="47" s="1"/>
  <c r="AP14" i="47" s="1"/>
  <c r="AP15" i="47" s="1"/>
  <c r="AP16" i="47" s="1"/>
  <c r="BY11" i="47" l="1"/>
  <c r="BY12" i="47" s="1"/>
  <c r="BY13" i="47" s="1"/>
  <c r="BY14" i="47" s="1"/>
  <c r="BY15" i="47" s="1"/>
  <c r="CI10" i="47"/>
  <c r="V13" i="47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BY16" i="47"/>
  <c r="BY17" i="47" s="1"/>
  <c r="BY18" i="47" s="1"/>
  <c r="BY19" i="47" s="1"/>
  <c r="BY20" i="47" s="1"/>
  <c r="BY21" i="47" s="1"/>
  <c r="BY22" i="47" s="1"/>
  <c r="BY23" i="47" s="1"/>
  <c r="BY24" i="47" s="1"/>
  <c r="BY25" i="47" s="1"/>
  <c r="BY26" i="47" s="1"/>
  <c r="BY27" i="47" s="1"/>
  <c r="BY28" i="47" s="1"/>
  <c r="BY29" i="47" s="1"/>
  <c r="BY30" i="47" s="1"/>
  <c r="BY31" i="47" s="1"/>
  <c r="BY32" i="47" s="1"/>
  <c r="AP17" i="47"/>
  <c r="AP18" i="47" s="1"/>
  <c r="AP19" i="47" s="1"/>
  <c r="AP20" i="47" s="1"/>
  <c r="AP21" i="47" s="1"/>
  <c r="AP22" i="47" s="1"/>
  <c r="AP23" i="47" s="1"/>
  <c r="BO16" i="47"/>
  <c r="BO17" i="47" s="1"/>
  <c r="BO18" i="47" s="1"/>
  <c r="BO19" i="47" s="1"/>
  <c r="BO20" i="47" s="1"/>
  <c r="BO21" i="47" s="1"/>
  <c r="BO22" i="47" s="1"/>
  <c r="BO23" i="47" s="1"/>
  <c r="BO24" i="47" s="1"/>
  <c r="BO25" i="47" s="1"/>
  <c r="BO26" i="47" s="1"/>
  <c r="BO27" i="47" s="1"/>
  <c r="BO28" i="47" s="1"/>
  <c r="BO29" i="47" s="1"/>
  <c r="BO30" i="47" s="1"/>
  <c r="BO31" i="47" s="1"/>
  <c r="BO32" i="47" s="1"/>
  <c r="C60" i="112"/>
  <c r="C60" i="110"/>
  <c r="C60" i="114"/>
  <c r="F20" i="114" s="1"/>
  <c r="AD10" i="47"/>
  <c r="AS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1" i="114" l="1"/>
  <c r="G20" i="114"/>
  <c r="J20" i="114" s="1"/>
  <c r="L20" i="114"/>
  <c r="F20" i="112"/>
  <c r="F21" i="112" s="1"/>
  <c r="F22" i="112" s="1"/>
  <c r="F23" i="112" s="1"/>
  <c r="F24" i="112" s="1"/>
  <c r="F25" i="112" s="1"/>
  <c r="F26" i="112" s="1"/>
  <c r="F27" i="112" s="1"/>
  <c r="F28" i="112" s="1"/>
  <c r="F29" i="112" s="1"/>
  <c r="F30" i="112" s="1"/>
  <c r="F31" i="112" s="1"/>
  <c r="F32" i="112" s="1"/>
  <c r="F33" i="112" s="1"/>
  <c r="F34" i="112" s="1"/>
  <c r="F35" i="112" s="1"/>
  <c r="F36" i="112" s="1"/>
  <c r="F37" i="112" s="1"/>
  <c r="F20" i="110"/>
  <c r="F21" i="110" s="1"/>
  <c r="F22" i="110" s="1"/>
  <c r="F23" i="110" s="1"/>
  <c r="F24" i="110" s="1"/>
  <c r="F25" i="110" s="1"/>
  <c r="F26" i="110" s="1"/>
  <c r="F27" i="110" s="1"/>
  <c r="F28" i="110" s="1"/>
  <c r="F29" i="110" s="1"/>
  <c r="F30" i="110" s="1"/>
  <c r="F31" i="110" s="1"/>
  <c r="F32" i="110" s="1"/>
  <c r="F33" i="110" s="1"/>
  <c r="F34" i="110" s="1"/>
  <c r="F35" i="110" s="1"/>
  <c r="F36" i="110" s="1"/>
  <c r="F37" i="110" s="1"/>
  <c r="CI11" i="47"/>
  <c r="CI12" i="47" s="1"/>
  <c r="CI13" i="47" s="1"/>
  <c r="CI14" i="47" s="1"/>
  <c r="CI15" i="47" s="1"/>
  <c r="CI16" i="47" s="1"/>
  <c r="CI17" i="47" s="1"/>
  <c r="CI18" i="47" s="1"/>
  <c r="CI19" i="47" s="1"/>
  <c r="CI20" i="47" s="1"/>
  <c r="CI21" i="47" s="1"/>
  <c r="CI22" i="47" s="1"/>
  <c r="CI23" i="47" s="1"/>
  <c r="CI24" i="47" s="1"/>
  <c r="CI25" i="47" s="1"/>
  <c r="CI26" i="47" s="1"/>
  <c r="CI27" i="47" s="1"/>
  <c r="CI28" i="47" s="1"/>
  <c r="CI29" i="47" s="1"/>
  <c r="CI30" i="47" s="1"/>
  <c r="CI31" i="47" s="1"/>
  <c r="CI32" i="47" s="1"/>
  <c r="CN10" i="47"/>
  <c r="F21" i="116"/>
  <c r="F22" i="116" s="1"/>
  <c r="F23" i="116" s="1"/>
  <c r="F24" i="116" s="1"/>
  <c r="F25" i="116" s="1"/>
  <c r="F26" i="116" s="1"/>
  <c r="F27" i="116" s="1"/>
  <c r="F28" i="116" s="1"/>
  <c r="F29" i="116" s="1"/>
  <c r="F30" i="116" s="1"/>
  <c r="F31" i="116" s="1"/>
  <c r="F32" i="116" s="1"/>
  <c r="F33" i="116" s="1"/>
  <c r="F34" i="116" s="1"/>
  <c r="F35" i="116" s="1"/>
  <c r="F36" i="116" s="1"/>
  <c r="F37" i="116" s="1"/>
  <c r="AP24" i="47"/>
  <c r="AP25" i="47" s="1"/>
  <c r="AP26" i="47" s="1"/>
  <c r="AP27" i="47" s="1"/>
  <c r="AP28" i="47" s="1"/>
  <c r="AP29" i="47" s="1"/>
  <c r="AP30" i="47" s="1"/>
  <c r="AP31" i="47" s="1"/>
  <c r="AP32" i="47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AR10" i="131" l="1"/>
  <c r="K20" i="114"/>
  <c r="F22" i="114"/>
  <c r="L21" i="114"/>
  <c r="G21" i="114"/>
  <c r="J21" i="114" s="1"/>
  <c r="K21" i="114" s="1"/>
  <c r="L34" i="112"/>
  <c r="G34" i="112"/>
  <c r="J34" i="112" s="1"/>
  <c r="G23" i="112"/>
  <c r="J23" i="112" s="1"/>
  <c r="L23" i="112"/>
  <c r="G22" i="112"/>
  <c r="J22" i="112" s="1"/>
  <c r="L22" i="112"/>
  <c r="G27" i="112"/>
  <c r="J27" i="112" s="1"/>
  <c r="L27" i="112"/>
  <c r="L21" i="112"/>
  <c r="G21" i="112"/>
  <c r="J21" i="112" s="1"/>
  <c r="L26" i="112"/>
  <c r="G26" i="112"/>
  <c r="J26" i="112" s="1"/>
  <c r="G31" i="112"/>
  <c r="J31" i="112" s="1"/>
  <c r="L31" i="112"/>
  <c r="G37" i="112"/>
  <c r="J37" i="112" s="1"/>
  <c r="L37" i="112"/>
  <c r="G25" i="112"/>
  <c r="J25" i="112" s="1"/>
  <c r="L25" i="112"/>
  <c r="G20" i="112"/>
  <c r="J20" i="112" s="1"/>
  <c r="L20" i="112"/>
  <c r="G24" i="112"/>
  <c r="J24" i="112" s="1"/>
  <c r="L24" i="112"/>
  <c r="G29" i="112"/>
  <c r="J29" i="112" s="1"/>
  <c r="L29" i="112"/>
  <c r="L28" i="112"/>
  <c r="G28" i="112"/>
  <c r="J28" i="112" s="1"/>
  <c r="G32" i="112"/>
  <c r="J32" i="112" s="1"/>
  <c r="L32" i="112"/>
  <c r="G33" i="112"/>
  <c r="J33" i="112" s="1"/>
  <c r="L33" i="112"/>
  <c r="L30" i="112"/>
  <c r="G30" i="112"/>
  <c r="J30" i="112" s="1"/>
  <c r="G36" i="112"/>
  <c r="J36" i="112" s="1"/>
  <c r="L36" i="112"/>
  <c r="G35" i="112"/>
  <c r="J35" i="112" s="1"/>
  <c r="L35" i="112"/>
  <c r="G30" i="110"/>
  <c r="L30" i="110"/>
  <c r="L25" i="110"/>
  <c r="G25" i="110"/>
  <c r="L28" i="110"/>
  <c r="G28" i="110"/>
  <c r="G36" i="110"/>
  <c r="L36" i="110"/>
  <c r="L31" i="110"/>
  <c r="G31" i="110"/>
  <c r="G24" i="110"/>
  <c r="L24" i="110"/>
  <c r="L26" i="110"/>
  <c r="G26" i="110"/>
  <c r="L23" i="110"/>
  <c r="G23" i="110"/>
  <c r="G29" i="110"/>
  <c r="L29" i="110"/>
  <c r="L32" i="110"/>
  <c r="G32" i="110"/>
  <c r="G27" i="110"/>
  <c r="L27" i="110"/>
  <c r="L33" i="110"/>
  <c r="G33" i="110"/>
  <c r="L34" i="110"/>
  <c r="G34" i="110"/>
  <c r="L21" i="110"/>
  <c r="G21" i="110"/>
  <c r="L37" i="110"/>
  <c r="G37" i="110"/>
  <c r="G22" i="110"/>
  <c r="L22" i="110"/>
  <c r="L20" i="110"/>
  <c r="G20" i="110"/>
  <c r="J20" i="110" s="1"/>
  <c r="G35" i="110"/>
  <c r="L35" i="110"/>
  <c r="L26" i="116"/>
  <c r="G26" i="116"/>
  <c r="J26" i="116" s="1"/>
  <c r="K26" i="116" s="1"/>
  <c r="L30" i="116"/>
  <c r="G30" i="116"/>
  <c r="J30" i="116" s="1"/>
  <c r="K30" i="116" s="1"/>
  <c r="L25" i="116"/>
  <c r="G25" i="116"/>
  <c r="J25" i="116" s="1"/>
  <c r="K25" i="116" s="1"/>
  <c r="L24" i="116"/>
  <c r="G24" i="116"/>
  <c r="J24" i="116" s="1"/>
  <c r="K24" i="116" s="1"/>
  <c r="G22" i="116"/>
  <c r="J22" i="116" s="1"/>
  <c r="K22" i="116" s="1"/>
  <c r="L22" i="116"/>
  <c r="D12" i="131" s="1"/>
  <c r="G23" i="116"/>
  <c r="J23" i="116" s="1"/>
  <c r="K23" i="116" s="1"/>
  <c r="L23" i="116"/>
  <c r="G31" i="117"/>
  <c r="J31" i="117" s="1"/>
  <c r="K31" i="117" s="1"/>
  <c r="L31" i="117"/>
  <c r="L32" i="117"/>
  <c r="G32" i="117"/>
  <c r="J32" i="117" s="1"/>
  <c r="K32" i="117" s="1"/>
  <c r="L34" i="117"/>
  <c r="G34" i="117"/>
  <c r="J34" i="117" s="1"/>
  <c r="K34" i="117" s="1"/>
  <c r="G37" i="117"/>
  <c r="J37" i="117" s="1"/>
  <c r="L37" i="117"/>
  <c r="G37" i="116"/>
  <c r="J37" i="116" s="1"/>
  <c r="K37" i="116" s="1"/>
  <c r="L37" i="116"/>
  <c r="G36" i="116"/>
  <c r="J36" i="116" s="1"/>
  <c r="K36" i="116" s="1"/>
  <c r="L36" i="116"/>
  <c r="G21" i="116"/>
  <c r="J21" i="116" s="1"/>
  <c r="L21" i="116"/>
  <c r="D11" i="131" s="1"/>
  <c r="G35" i="116"/>
  <c r="J35" i="116" s="1"/>
  <c r="K35" i="116" s="1"/>
  <c r="L35" i="116"/>
  <c r="G26" i="117"/>
  <c r="J26" i="117" s="1"/>
  <c r="K26" i="117" s="1"/>
  <c r="L26" i="117"/>
  <c r="L35" i="117"/>
  <c r="G35" i="117"/>
  <c r="J35" i="117" s="1"/>
  <c r="K35" i="117" s="1"/>
  <c r="G36" i="117"/>
  <c r="J36" i="117" s="1"/>
  <c r="K36" i="117" s="1"/>
  <c r="L36" i="117"/>
  <c r="G25" i="117"/>
  <c r="J25" i="117" s="1"/>
  <c r="K25" i="117" s="1"/>
  <c r="L25" i="117"/>
  <c r="CS10" i="47"/>
  <c r="CN11" i="47"/>
  <c r="CN12" i="47" s="1"/>
  <c r="CN13" i="47" s="1"/>
  <c r="CN14" i="47" s="1"/>
  <c r="CN15" i="47" s="1"/>
  <c r="CN16" i="47" s="1"/>
  <c r="CN17" i="47" s="1"/>
  <c r="CN18" i="47" s="1"/>
  <c r="CN19" i="47" s="1"/>
  <c r="CN20" i="47" s="1"/>
  <c r="CN21" i="47" s="1"/>
  <c r="CN22" i="47" s="1"/>
  <c r="CN23" i="47" s="1"/>
  <c r="CN24" i="47" s="1"/>
  <c r="CN25" i="47" s="1"/>
  <c r="CN26" i="47" s="1"/>
  <c r="CN27" i="47" s="1"/>
  <c r="CN28" i="47" s="1"/>
  <c r="CN29" i="47" s="1"/>
  <c r="CN30" i="47" s="1"/>
  <c r="CN31" i="47" s="1"/>
  <c r="CN32" i="47" s="1"/>
  <c r="G29" i="116"/>
  <c r="J29" i="116" s="1"/>
  <c r="K29" i="116" s="1"/>
  <c r="L29" i="116"/>
  <c r="L28" i="116"/>
  <c r="G28" i="116"/>
  <c r="J28" i="116" s="1"/>
  <c r="K28" i="116" s="1"/>
  <c r="G27" i="116"/>
  <c r="J27" i="116" s="1"/>
  <c r="K27" i="116" s="1"/>
  <c r="L27" i="116"/>
  <c r="G27" i="117"/>
  <c r="J27" i="117" s="1"/>
  <c r="K27" i="117" s="1"/>
  <c r="L27" i="117"/>
  <c r="L28" i="117"/>
  <c r="G28" i="117"/>
  <c r="J28" i="117" s="1"/>
  <c r="K28" i="117" s="1"/>
  <c r="L30" i="117"/>
  <c r="G30" i="117"/>
  <c r="J30" i="117" s="1"/>
  <c r="K30" i="117" s="1"/>
  <c r="L33" i="117"/>
  <c r="G33" i="117"/>
  <c r="J33" i="117" s="1"/>
  <c r="K33" i="117" s="1"/>
  <c r="G33" i="116"/>
  <c r="J33" i="116" s="1"/>
  <c r="K33" i="116" s="1"/>
  <c r="L33" i="116"/>
  <c r="L32" i="116"/>
  <c r="G32" i="116"/>
  <c r="J32" i="116" s="1"/>
  <c r="K32" i="116" s="1"/>
  <c r="G34" i="116"/>
  <c r="J34" i="116" s="1"/>
  <c r="K34" i="116" s="1"/>
  <c r="L34" i="116"/>
  <c r="G31" i="116"/>
  <c r="J31" i="116" s="1"/>
  <c r="K31" i="116" s="1"/>
  <c r="L31" i="116"/>
  <c r="G23" i="117"/>
  <c r="J23" i="117" s="1"/>
  <c r="K23" i="117" s="1"/>
  <c r="L23" i="117"/>
  <c r="L24" i="117"/>
  <c r="G24" i="117"/>
  <c r="J24" i="117" s="1"/>
  <c r="K24" i="117" s="1"/>
  <c r="G22" i="117"/>
  <c r="J22" i="117" s="1"/>
  <c r="K22" i="117" s="1"/>
  <c r="L22" i="117"/>
  <c r="E12" i="131" s="1"/>
  <c r="L29" i="117"/>
  <c r="G29" i="117"/>
  <c r="J29" i="117" s="1"/>
  <c r="K29" i="117" s="1"/>
  <c r="Q24" i="47"/>
  <c r="Q25" i="47" s="1"/>
  <c r="Q26" i="47" s="1"/>
  <c r="Q27" i="47" s="1"/>
  <c r="Q28" i="47" s="1"/>
  <c r="Q29" i="47" s="1"/>
  <c r="Q30" i="47" s="1"/>
  <c r="Q31" i="47" s="1"/>
  <c r="Q32" i="47" s="1"/>
  <c r="AR11" i="131" l="1"/>
  <c r="AT11" i="131" s="1"/>
  <c r="F23" i="114"/>
  <c r="G22" i="114"/>
  <c r="J22" i="114" s="1"/>
  <c r="K22" i="114" s="1"/>
  <c r="L22" i="114"/>
  <c r="AT10" i="131"/>
  <c r="D21" i="131"/>
  <c r="D17" i="131"/>
  <c r="D19" i="131"/>
  <c r="E15" i="131"/>
  <c r="D25" i="131"/>
  <c r="D26" i="131"/>
  <c r="D13" i="131"/>
  <c r="AI25" i="131"/>
  <c r="AK25" i="131" s="1"/>
  <c r="AI12" i="131"/>
  <c r="AK12" i="131" s="1"/>
  <c r="AI14" i="131"/>
  <c r="AK14" i="131" s="1"/>
  <c r="AI26" i="131"/>
  <c r="AK26" i="131" s="1"/>
  <c r="AO25" i="131"/>
  <c r="AQ25" i="131" s="1"/>
  <c r="AO22" i="131"/>
  <c r="AQ22" i="131" s="1"/>
  <c r="AO19" i="131"/>
  <c r="AQ19" i="131" s="1"/>
  <c r="AO10" i="131"/>
  <c r="AO17" i="131"/>
  <c r="AQ17" i="131" s="1"/>
  <c r="AO13" i="131"/>
  <c r="AQ13" i="131" s="1"/>
  <c r="E19" i="131"/>
  <c r="E14" i="131"/>
  <c r="D22" i="131"/>
  <c r="E23" i="131"/>
  <c r="E18" i="131"/>
  <c r="E25" i="131"/>
  <c r="E22" i="131"/>
  <c r="D14" i="131"/>
  <c r="D20" i="131"/>
  <c r="AI11" i="131"/>
  <c r="AK11" i="131" s="1"/>
  <c r="AI23" i="131"/>
  <c r="AK23" i="131" s="1"/>
  <c r="AI22" i="131"/>
  <c r="AK22" i="131" s="1"/>
  <c r="AI13" i="131"/>
  <c r="AK13" i="131" s="1"/>
  <c r="AI15" i="131"/>
  <c r="AK15" i="131" s="1"/>
  <c r="AO20" i="131"/>
  <c r="AQ20" i="131" s="1"/>
  <c r="AO16" i="131"/>
  <c r="AQ16" i="131" s="1"/>
  <c r="E13" i="131"/>
  <c r="D24" i="131"/>
  <c r="D23" i="131"/>
  <c r="E17" i="131"/>
  <c r="E26" i="131"/>
  <c r="E16" i="131"/>
  <c r="E21" i="131"/>
  <c r="AI17" i="131"/>
  <c r="AK17" i="131" s="1"/>
  <c r="AI19" i="131"/>
  <c r="AK19" i="131" s="1"/>
  <c r="AI20" i="131"/>
  <c r="AK20" i="131" s="1"/>
  <c r="AO26" i="131"/>
  <c r="AQ26" i="131" s="1"/>
  <c r="AO23" i="131"/>
  <c r="AQ23" i="131" s="1"/>
  <c r="AO14" i="131"/>
  <c r="AQ14" i="131" s="1"/>
  <c r="AO15" i="131"/>
  <c r="AQ15" i="131" s="1"/>
  <c r="AO21" i="131"/>
  <c r="AQ21" i="131" s="1"/>
  <c r="AO12" i="131"/>
  <c r="AQ12" i="131" s="1"/>
  <c r="E20" i="131"/>
  <c r="D18" i="131"/>
  <c r="E24" i="131"/>
  <c r="D15" i="131"/>
  <c r="D16" i="131"/>
  <c r="AI10" i="131"/>
  <c r="AI24" i="131"/>
  <c r="AK24" i="131" s="1"/>
  <c r="AI16" i="131"/>
  <c r="AK16" i="131" s="1"/>
  <c r="AI21" i="131"/>
  <c r="AK21" i="131" s="1"/>
  <c r="AI18" i="131"/>
  <c r="AK18" i="131" s="1"/>
  <c r="AO18" i="131"/>
  <c r="AQ18" i="131" s="1"/>
  <c r="AO11" i="131"/>
  <c r="AQ11" i="131" s="1"/>
  <c r="AO24" i="131"/>
  <c r="AQ24" i="131" s="1"/>
  <c r="K30" i="112"/>
  <c r="K26" i="112"/>
  <c r="K35" i="112"/>
  <c r="K32" i="112"/>
  <c r="K29" i="112"/>
  <c r="K37" i="112"/>
  <c r="K27" i="112"/>
  <c r="K23" i="112"/>
  <c r="K28" i="112"/>
  <c r="J39" i="112"/>
  <c r="K34" i="112"/>
  <c r="K36" i="112"/>
  <c r="K33" i="112"/>
  <c r="K24" i="112"/>
  <c r="K25" i="112"/>
  <c r="K31" i="112"/>
  <c r="K22" i="112"/>
  <c r="L39" i="112"/>
  <c r="K20" i="112"/>
  <c r="J32" i="110"/>
  <c r="K32" i="110" s="1"/>
  <c r="J35" i="110"/>
  <c r="K35" i="110" s="1"/>
  <c r="J22" i="110"/>
  <c r="K22" i="110" s="1"/>
  <c r="J24" i="110"/>
  <c r="K24" i="110" s="1"/>
  <c r="J36" i="110"/>
  <c r="K36" i="110" s="1"/>
  <c r="J33" i="110"/>
  <c r="K33" i="110" s="1"/>
  <c r="J25" i="110"/>
  <c r="K25" i="110" s="1"/>
  <c r="J37" i="110"/>
  <c r="K37" i="110" s="1"/>
  <c r="J34" i="110"/>
  <c r="K34" i="110" s="1"/>
  <c r="J26" i="110"/>
  <c r="K26" i="110" s="1"/>
  <c r="J31" i="110"/>
  <c r="K31" i="110" s="1"/>
  <c r="J28" i="110"/>
  <c r="K28" i="110" s="1"/>
  <c r="J21" i="110"/>
  <c r="K21" i="110" s="1"/>
  <c r="J23" i="110"/>
  <c r="K23" i="110" s="1"/>
  <c r="J27" i="110"/>
  <c r="K27" i="110" s="1"/>
  <c r="J29" i="110"/>
  <c r="K29" i="110" s="1"/>
  <c r="J30" i="110"/>
  <c r="K30" i="110" s="1"/>
  <c r="K20" i="110"/>
  <c r="L39" i="110"/>
  <c r="J39" i="117"/>
  <c r="K37" i="117"/>
  <c r="K39" i="117" s="1"/>
  <c r="L39" i="117"/>
  <c r="L39" i="116"/>
  <c r="CX10" i="47"/>
  <c r="CS11" i="47"/>
  <c r="CS12" i="47" s="1"/>
  <c r="CS13" i="47" s="1"/>
  <c r="CS14" i="47" s="1"/>
  <c r="CS15" i="47" s="1"/>
  <c r="CS16" i="47" s="1"/>
  <c r="K21" i="116"/>
  <c r="K39" i="116" s="1"/>
  <c r="J39" i="116"/>
  <c r="D29" i="131" l="1"/>
  <c r="E29" i="131"/>
  <c r="AI29" i="131"/>
  <c r="AO29" i="131"/>
  <c r="F24" i="114"/>
  <c r="G23" i="114"/>
  <c r="J23" i="114" s="1"/>
  <c r="L23" i="114"/>
  <c r="C42" i="131"/>
  <c r="F42" i="131" s="1"/>
  <c r="AR12" i="131"/>
  <c r="AQ10" i="131"/>
  <c r="AQ29" i="131" s="1"/>
  <c r="AK10" i="131"/>
  <c r="AK29" i="131" s="1"/>
  <c r="K21" i="112"/>
  <c r="K39" i="112" s="1"/>
  <c r="J39" i="110"/>
  <c r="K39" i="110"/>
  <c r="CS17" i="47"/>
  <c r="CS18" i="47" s="1"/>
  <c r="CS19" i="47" s="1"/>
  <c r="CS20" i="47" s="1"/>
  <c r="CS21" i="47" s="1"/>
  <c r="CS22" i="47" s="1"/>
  <c r="CS23" i="47" s="1"/>
  <c r="CS24" i="47" s="1"/>
  <c r="CS25" i="47" s="1"/>
  <c r="CS26" i="47" s="1"/>
  <c r="CS27" i="47" s="1"/>
  <c r="CS28" i="47" s="1"/>
  <c r="CS29" i="47" s="1"/>
  <c r="CS30" i="47" s="1"/>
  <c r="CS31" i="47" s="1"/>
  <c r="CS32" i="47" s="1"/>
  <c r="DC10" i="47"/>
  <c r="CX11" i="47"/>
  <c r="CX12" i="47" s="1"/>
  <c r="CX13" i="47" s="1"/>
  <c r="CX14" i="47" s="1"/>
  <c r="CX15" i="47" s="1"/>
  <c r="CX16" i="47" s="1"/>
  <c r="CX17" i="47" s="1"/>
  <c r="CX18" i="47" s="1"/>
  <c r="CX19" i="47" s="1"/>
  <c r="CX20" i="47" s="1"/>
  <c r="CX21" i="47" s="1"/>
  <c r="CX22" i="47" s="1"/>
  <c r="CX23" i="47" s="1"/>
  <c r="CX24" i="47" s="1"/>
  <c r="CX25" i="47" s="1"/>
  <c r="CX26" i="47" s="1"/>
  <c r="CX27" i="47" s="1"/>
  <c r="CX28" i="47" s="1"/>
  <c r="CX29" i="47" s="1"/>
  <c r="CX30" i="47" s="1"/>
  <c r="CX31" i="47" s="1"/>
  <c r="CX32" i="47" s="1"/>
  <c r="C38" i="131" l="1"/>
  <c r="F38" i="131" s="1"/>
  <c r="C35" i="131"/>
  <c r="F35" i="131" s="1"/>
  <c r="AR13" i="131"/>
  <c r="K23" i="114"/>
  <c r="AT12" i="131"/>
  <c r="F25" i="114"/>
  <c r="L24" i="114"/>
  <c r="G24" i="114"/>
  <c r="J24" i="114" s="1"/>
  <c r="K24" i="114" s="1"/>
  <c r="C60" i="131"/>
  <c r="F60" i="131" s="1"/>
  <c r="C58" i="131"/>
  <c r="F58" i="131" s="1"/>
  <c r="DH10" i="47"/>
  <c r="DC11" i="47"/>
  <c r="DC12" i="47" s="1"/>
  <c r="DC13" i="47" s="1"/>
  <c r="DC14" i="47" s="1"/>
  <c r="DC15" i="47" s="1"/>
  <c r="DC16" i="47" s="1"/>
  <c r="DC17" i="47" s="1"/>
  <c r="DC18" i="47" s="1"/>
  <c r="DC19" i="47" s="1"/>
  <c r="DC20" i="47" s="1"/>
  <c r="DC21" i="47" s="1"/>
  <c r="DC22" i="47" s="1"/>
  <c r="DC23" i="47" s="1"/>
  <c r="DC24" i="47" s="1"/>
  <c r="DC25" i="47" s="1"/>
  <c r="DC26" i="47" s="1"/>
  <c r="DC27" i="47" s="1"/>
  <c r="DC28" i="47" s="1"/>
  <c r="DC29" i="47" s="1"/>
  <c r="DC30" i="47" s="1"/>
  <c r="DC31" i="47" s="1"/>
  <c r="DC32" i="47" s="1"/>
  <c r="AT13" i="131" l="1"/>
  <c r="F26" i="114"/>
  <c r="G25" i="114"/>
  <c r="J25" i="114" s="1"/>
  <c r="K25" i="114" s="1"/>
  <c r="L25" i="114"/>
  <c r="AR14" i="131"/>
  <c r="DH11" i="47"/>
  <c r="DH12" i="47" s="1"/>
  <c r="DM10" i="47"/>
  <c r="AT14" i="131" l="1"/>
  <c r="AR15" i="131"/>
  <c r="AT15" i="131" s="1"/>
  <c r="F27" i="114"/>
  <c r="L26" i="114"/>
  <c r="G26" i="114"/>
  <c r="J26" i="114" s="1"/>
  <c r="DM11" i="47"/>
  <c r="DM12" i="47" s="1"/>
  <c r="DM13" i="47" s="1"/>
  <c r="DM14" i="47" s="1"/>
  <c r="DM15" i="47" s="1"/>
  <c r="DM16" i="47" s="1"/>
  <c r="DM17" i="47" s="1"/>
  <c r="DM18" i="47" s="1"/>
  <c r="DM19" i="47" s="1"/>
  <c r="DM20" i="47" s="1"/>
  <c r="DM21" i="47" s="1"/>
  <c r="DM22" i="47" s="1"/>
  <c r="DM23" i="47" s="1"/>
  <c r="DM24" i="47" s="1"/>
  <c r="DM25" i="47" s="1"/>
  <c r="DM26" i="47" s="1"/>
  <c r="DM27" i="47" s="1"/>
  <c r="DM28" i="47" s="1"/>
  <c r="DM29" i="47" s="1"/>
  <c r="DM30" i="47" s="1"/>
  <c r="DM31" i="47" s="1"/>
  <c r="DM32" i="47" s="1"/>
  <c r="DR10" i="47"/>
  <c r="DH13" i="47"/>
  <c r="DH14" i="47" s="1"/>
  <c r="DH15" i="47" s="1"/>
  <c r="DH16" i="47" s="1"/>
  <c r="DH17" i="47" s="1"/>
  <c r="DH18" i="47" s="1"/>
  <c r="DH19" i="47" s="1"/>
  <c r="DH20" i="47" s="1"/>
  <c r="DH21" i="47" s="1"/>
  <c r="DH22" i="47" s="1"/>
  <c r="DH23" i="47" s="1"/>
  <c r="DH24" i="47" s="1"/>
  <c r="DH25" i="47" s="1"/>
  <c r="DH26" i="47" s="1"/>
  <c r="DH27" i="47" s="1"/>
  <c r="DH28" i="47" s="1"/>
  <c r="DH29" i="47" s="1"/>
  <c r="DH30" i="47" s="1"/>
  <c r="DH31" i="47" s="1"/>
  <c r="DH32" i="47" s="1"/>
  <c r="K26" i="114" l="1"/>
  <c r="AR16" i="131"/>
  <c r="AT16" i="131" s="1"/>
  <c r="F28" i="114"/>
  <c r="G27" i="114"/>
  <c r="J27" i="114" s="1"/>
  <c r="K27" i="114" s="1"/>
  <c r="L27" i="114"/>
  <c r="DR11" i="47"/>
  <c r="DR12" i="47" s="1"/>
  <c r="DR13" i="47" s="1"/>
  <c r="DR14" i="47" s="1"/>
  <c r="DR15" i="47" s="1"/>
  <c r="DR16" i="47" s="1"/>
  <c r="DR17" i="47" s="1"/>
  <c r="DR18" i="47" s="1"/>
  <c r="DR19" i="47" s="1"/>
  <c r="DR20" i="47" s="1"/>
  <c r="DR21" i="47" s="1"/>
  <c r="DR22" i="47" s="1"/>
  <c r="DR23" i="47" s="1"/>
  <c r="DR24" i="47" s="1"/>
  <c r="DR25" i="47" s="1"/>
  <c r="DR26" i="47" s="1"/>
  <c r="DR27" i="47" s="1"/>
  <c r="DR28" i="47" s="1"/>
  <c r="DR29" i="47" s="1"/>
  <c r="DR30" i="47" s="1"/>
  <c r="DR31" i="47" s="1"/>
  <c r="DR32" i="47" s="1"/>
  <c r="DW10" i="47"/>
  <c r="DW11" i="47" s="1"/>
  <c r="DW12" i="47" s="1"/>
  <c r="DW13" i="47" s="1"/>
  <c r="DW14" i="47" s="1"/>
  <c r="F29" i="114" l="1"/>
  <c r="L28" i="114"/>
  <c r="G28" i="114"/>
  <c r="J28" i="114" s="1"/>
  <c r="K28" i="114" s="1"/>
  <c r="AR17" i="131"/>
  <c r="AT17" i="131" s="1"/>
  <c r="DW15" i="47"/>
  <c r="DW16" i="47" s="1"/>
  <c r="DW17" i="47" s="1"/>
  <c r="DW18" i="47" s="1"/>
  <c r="DW19" i="47" s="1"/>
  <c r="DW20" i="47" s="1"/>
  <c r="DW21" i="47" s="1"/>
  <c r="DW22" i="47" s="1"/>
  <c r="DW23" i="47" s="1"/>
  <c r="DW24" i="47" s="1"/>
  <c r="DW25" i="47" s="1"/>
  <c r="DW26" i="47" s="1"/>
  <c r="DW27" i="47" s="1"/>
  <c r="DW28" i="47" s="1"/>
  <c r="DW29" i="47" s="1"/>
  <c r="DW30" i="47" s="1"/>
  <c r="DW31" i="47" s="1"/>
  <c r="DW32" i="47" s="1"/>
  <c r="AR18" i="131" l="1"/>
  <c r="AT18" i="131" s="1"/>
  <c r="F30" i="114"/>
  <c r="G29" i="114"/>
  <c r="J29" i="114" s="1"/>
  <c r="K29" i="114" s="1"/>
  <c r="L29" i="114"/>
  <c r="A6" i="77"/>
  <c r="A7" i="77" s="1"/>
  <c r="A8" i="77" s="1"/>
  <c r="A9" i="77" s="1"/>
  <c r="A10" i="77" s="1"/>
  <c r="A11" i="77" s="1"/>
  <c r="A12" i="77" s="1"/>
  <c r="A13" i="77" s="1"/>
  <c r="F31" i="114" l="1"/>
  <c r="G30" i="114"/>
  <c r="J30" i="114" s="1"/>
  <c r="K30" i="114" s="1"/>
  <c r="L30" i="114"/>
  <c r="AR19" i="131"/>
  <c r="AT19" i="131" s="1"/>
  <c r="A14" i="77"/>
  <c r="AR20" i="131" l="1"/>
  <c r="AT20" i="131" s="1"/>
  <c r="F32" i="114"/>
  <c r="G31" i="114"/>
  <c r="J31" i="114" s="1"/>
  <c r="K31" i="114" s="1"/>
  <c r="L31" i="114"/>
  <c r="A15" i="77"/>
  <c r="F33" i="114" l="1"/>
  <c r="G32" i="114"/>
  <c r="J32" i="114" s="1"/>
  <c r="K32" i="114" s="1"/>
  <c r="L32" i="114"/>
  <c r="AR21" i="131"/>
  <c r="AT21" i="131" s="1"/>
  <c r="A16" i="77"/>
  <c r="H16" i="77" s="1"/>
  <c r="AR22" i="131" l="1"/>
  <c r="AT22" i="131" s="1"/>
  <c r="F34" i="114"/>
  <c r="G33" i="114"/>
  <c r="J33" i="114" s="1"/>
  <c r="K33" i="114" s="1"/>
  <c r="L33" i="114"/>
  <c r="A17" i="77"/>
  <c r="F35" i="114" l="1"/>
  <c r="G34" i="114"/>
  <c r="J34" i="114" s="1"/>
  <c r="K34" i="114" s="1"/>
  <c r="L34" i="114"/>
  <c r="AR23" i="131"/>
  <c r="AT23" i="131" s="1"/>
  <c r="H17" i="77"/>
  <c r="J17" i="77"/>
  <c r="A18" i="77"/>
  <c r="AR24" i="131" l="1"/>
  <c r="AT24" i="131" s="1"/>
  <c r="F36" i="114"/>
  <c r="L35" i="114"/>
  <c r="G35" i="114"/>
  <c r="J35" i="114" s="1"/>
  <c r="K35" i="114" s="1"/>
  <c r="H18" i="77"/>
  <c r="J18" i="77"/>
  <c r="A19" i="77"/>
  <c r="J19" i="77" s="1"/>
  <c r="AR25" i="131" l="1"/>
  <c r="AT25" i="131" s="1"/>
  <c r="F37" i="114"/>
  <c r="G36" i="114"/>
  <c r="J36" i="114" s="1"/>
  <c r="K36" i="114" s="1"/>
  <c r="L36" i="114"/>
  <c r="H19" i="77"/>
  <c r="A20" i="77"/>
  <c r="J20" i="77" s="1"/>
  <c r="G37" i="114" l="1"/>
  <c r="J37" i="114" s="1"/>
  <c r="L37" i="114"/>
  <c r="AR26" i="131"/>
  <c r="H20" i="77"/>
  <c r="A21" i="77"/>
  <c r="J21" i="77" s="1"/>
  <c r="AT26" i="131" l="1"/>
  <c r="AT29" i="131" s="1"/>
  <c r="AR29" i="131"/>
  <c r="L39" i="114"/>
  <c r="K37" i="114"/>
  <c r="K39" i="114" s="1"/>
  <c r="J39" i="114"/>
  <c r="H21" i="77"/>
  <c r="A22" i="77"/>
  <c r="J22" i="77" s="1"/>
  <c r="C55" i="131" l="1"/>
  <c r="F55" i="131" s="1"/>
  <c r="H22" i="77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9" i="28" l="1"/>
  <c r="F11" i="77" l="1"/>
  <c r="F12" i="77" l="1"/>
  <c r="F13" i="77" l="1"/>
  <c r="F14" i="77" l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J26" i="77" l="1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26" i="77" l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I50" i="77" l="1"/>
  <c r="ES9" i="25" l="1"/>
  <c r="EN9" i="25"/>
  <c r="BO9" i="25"/>
  <c r="BJ9" i="25"/>
  <c r="FP9" i="25" l="1"/>
  <c r="FO9" i="25"/>
  <c r="EU9" i="25"/>
  <c r="ET9" i="25"/>
  <c r="CL9" i="25"/>
  <c r="CK9" i="25"/>
  <c r="BQ9" i="25"/>
  <c r="ER9" i="25" l="1"/>
  <c r="EQ9" i="25"/>
  <c r="EP9" i="25"/>
  <c r="EO9" i="25"/>
  <c r="EM9" i="25"/>
  <c r="EL9" i="25"/>
  <c r="EK9" i="25"/>
  <c r="EI9" i="25"/>
  <c r="BP9" i="25"/>
  <c r="BN9" i="25"/>
  <c r="BM9" i="25"/>
  <c r="BL9" i="25"/>
  <c r="BK9" i="25"/>
  <c r="BI9" i="25"/>
  <c r="BH9" i="25"/>
  <c r="BG9" i="25"/>
  <c r="BE9" i="25"/>
  <c r="B11" i="47" l="1"/>
  <c r="CE11" i="47" s="1"/>
  <c r="CG11" i="47" s="1"/>
  <c r="AL11" i="47" l="1"/>
  <c r="AN11" i="47" s="1"/>
  <c r="AV11" i="47"/>
  <c r="AX11" i="47" s="1"/>
  <c r="AG11" i="47"/>
  <c r="AI11" i="47" s="1"/>
  <c r="DD11" i="47"/>
  <c r="DF11" i="47" s="1"/>
  <c r="DS11" i="47"/>
  <c r="DU11" i="47" s="1"/>
  <c r="CO11" i="47"/>
  <c r="CQ11" i="47" s="1"/>
  <c r="CT11" i="47"/>
  <c r="CV11" i="47" s="1"/>
  <c r="CY11" i="47"/>
  <c r="DA11" i="47" s="1"/>
  <c r="DN11" i="47"/>
  <c r="DP11" i="47" s="1"/>
  <c r="DX11" i="47"/>
  <c r="DZ11" i="47" s="1"/>
  <c r="CJ11" i="47"/>
  <c r="CL11" i="47" s="1"/>
  <c r="DI11" i="47"/>
  <c r="DK11" i="47" s="1"/>
  <c r="W11" i="47"/>
  <c r="AQ11" i="47"/>
  <c r="R11" i="47"/>
  <c r="BA11" i="47"/>
  <c r="BU11" i="47"/>
  <c r="BW11" i="47" s="1"/>
  <c r="BZ11" i="47"/>
  <c r="CB11" i="47" s="1"/>
  <c r="AB11" i="47"/>
  <c r="BK11" i="47"/>
  <c r="BM11" i="47" s="1"/>
  <c r="M11" i="47"/>
  <c r="O11" i="47" s="1"/>
  <c r="BF11" i="47"/>
  <c r="BH11" i="47" s="1"/>
  <c r="H11" i="47"/>
  <c r="J11" i="47" s="1"/>
  <c r="C11" i="47"/>
  <c r="BP11" i="47"/>
  <c r="BR11" i="47" s="1"/>
  <c r="B12" i="47"/>
  <c r="CE12" i="47" s="1"/>
  <c r="CG12" i="47" s="1"/>
  <c r="AL12" i="47" l="1"/>
  <c r="AN12" i="47" s="1"/>
  <c r="AV12" i="47"/>
  <c r="AX12" i="47" s="1"/>
  <c r="AG12" i="47"/>
  <c r="AI12" i="47" s="1"/>
  <c r="DX12" i="47"/>
  <c r="DZ12" i="47" s="1"/>
  <c r="CY12" i="47"/>
  <c r="DA12" i="47" s="1"/>
  <c r="CO12" i="47"/>
  <c r="CQ12" i="47" s="1"/>
  <c r="DS12" i="47"/>
  <c r="DU12" i="47" s="1"/>
  <c r="CT12" i="47"/>
  <c r="CV12" i="47" s="1"/>
  <c r="DD12" i="47"/>
  <c r="DF12" i="47" s="1"/>
  <c r="DI12" i="47"/>
  <c r="DK12" i="47" s="1"/>
  <c r="DN12" i="47"/>
  <c r="DP12" i="47" s="1"/>
  <c r="CJ12" i="47"/>
  <c r="CL12" i="47" s="1"/>
  <c r="BP12" i="47"/>
  <c r="BR12" i="47" s="1"/>
  <c r="AB12" i="47"/>
  <c r="BK12" i="47"/>
  <c r="BM12" i="47" s="1"/>
  <c r="BF12" i="47"/>
  <c r="BH12" i="47" s="1"/>
  <c r="R12" i="47"/>
  <c r="M12" i="47"/>
  <c r="BA12" i="47"/>
  <c r="BU12" i="47"/>
  <c r="AQ12" i="47"/>
  <c r="BZ12" i="47"/>
  <c r="CB12" i="47" s="1"/>
  <c r="H12" i="47"/>
  <c r="C12" i="47"/>
  <c r="W12" i="47"/>
  <c r="O12" i="47"/>
  <c r="B13" i="47"/>
  <c r="CE13" i="47" s="1"/>
  <c r="CG13" i="47" s="1"/>
  <c r="E10" i="47"/>
  <c r="AL13" i="47" l="1"/>
  <c r="AN13" i="47" s="1"/>
  <c r="AV13" i="47"/>
  <c r="AX13" i="47" s="1"/>
  <c r="AG13" i="47"/>
  <c r="AI13" i="47" s="1"/>
  <c r="DX13" i="47"/>
  <c r="DZ13" i="47" s="1"/>
  <c r="CO13" i="47"/>
  <c r="CQ13" i="47" s="1"/>
  <c r="CT13" i="47"/>
  <c r="CV13" i="47" s="1"/>
  <c r="DD13" i="47"/>
  <c r="DF13" i="47" s="1"/>
  <c r="CY13" i="47"/>
  <c r="DA13" i="47" s="1"/>
  <c r="DS13" i="47"/>
  <c r="DU13" i="47" s="1"/>
  <c r="DI13" i="47"/>
  <c r="DK13" i="47" s="1"/>
  <c r="DN13" i="47"/>
  <c r="DP13" i="47" s="1"/>
  <c r="CJ13" i="47"/>
  <c r="CL13" i="47" s="1"/>
  <c r="C13" i="47"/>
  <c r="M13" i="47"/>
  <c r="R13" i="47"/>
  <c r="H13" i="47"/>
  <c r="BZ13" i="47"/>
  <c r="CB13" i="47" s="1"/>
  <c r="BU13" i="47"/>
  <c r="BK13" i="47"/>
  <c r="BA13" i="47"/>
  <c r="BA14" i="47" s="1"/>
  <c r="BF13" i="47"/>
  <c r="BH13" i="47" s="1"/>
  <c r="AQ13" i="47"/>
  <c r="AB13" i="47"/>
  <c r="W13" i="47"/>
  <c r="W14" i="47" s="1"/>
  <c r="BP13" i="47"/>
  <c r="BR13" i="47" s="1"/>
  <c r="O13" i="47"/>
  <c r="B14" i="47"/>
  <c r="CE14" i="47" s="1"/>
  <c r="CG14" i="47" s="1"/>
  <c r="AL14" i="47" l="1"/>
  <c r="AN14" i="47" s="1"/>
  <c r="AV14" i="47"/>
  <c r="AX14" i="47" s="1"/>
  <c r="AG14" i="47"/>
  <c r="AI14" i="47" s="1"/>
  <c r="DX14" i="47"/>
  <c r="DZ14" i="47" s="1"/>
  <c r="DS14" i="47"/>
  <c r="DU14" i="47" s="1"/>
  <c r="CO14" i="47"/>
  <c r="CQ14" i="47" s="1"/>
  <c r="CT14" i="47"/>
  <c r="CV14" i="47" s="1"/>
  <c r="DD14" i="47"/>
  <c r="DF14" i="47" s="1"/>
  <c r="CY14" i="47"/>
  <c r="DA14" i="47" s="1"/>
  <c r="DN14" i="47"/>
  <c r="DP14" i="47" s="1"/>
  <c r="CJ14" i="47"/>
  <c r="CL14" i="47" s="1"/>
  <c r="DI14" i="47"/>
  <c r="DK14" i="47" s="1"/>
  <c r="BK14" i="47"/>
  <c r="BM13" i="47"/>
  <c r="AQ14" i="47"/>
  <c r="BU14" i="47"/>
  <c r="M14" i="47"/>
  <c r="O14" i="47" s="1"/>
  <c r="R14" i="47"/>
  <c r="H14" i="47"/>
  <c r="BZ14" i="47"/>
  <c r="CB14" i="47" s="1"/>
  <c r="AB14" i="47"/>
  <c r="BP14" i="47"/>
  <c r="BR14" i="47" s="1"/>
  <c r="C14" i="47"/>
  <c r="BF14" i="47"/>
  <c r="BM14" i="47"/>
  <c r="B15" i="47"/>
  <c r="CE15" i="47" s="1"/>
  <c r="CG15" i="47" s="1"/>
  <c r="AL15" i="47" l="1"/>
  <c r="AN15" i="47" s="1"/>
  <c r="AV15" i="47"/>
  <c r="AX15" i="47" s="1"/>
  <c r="BA15" i="47"/>
  <c r="AG15" i="47"/>
  <c r="AI15" i="47" s="1"/>
  <c r="CO15" i="47"/>
  <c r="CQ15" i="47" s="1"/>
  <c r="DS15" i="47"/>
  <c r="DU15" i="47" s="1"/>
  <c r="DX15" i="47"/>
  <c r="DZ15" i="47" s="1"/>
  <c r="CT15" i="47"/>
  <c r="CV15" i="47" s="1"/>
  <c r="DD15" i="47"/>
  <c r="DF15" i="47" s="1"/>
  <c r="CY15" i="47"/>
  <c r="DA15" i="47" s="1"/>
  <c r="DN15" i="47"/>
  <c r="DP15" i="47" s="1"/>
  <c r="CJ15" i="47"/>
  <c r="CL15" i="47" s="1"/>
  <c r="DI15" i="47"/>
  <c r="DK15" i="47" s="1"/>
  <c r="AB15" i="47"/>
  <c r="R15" i="47"/>
  <c r="H15" i="47"/>
  <c r="BZ15" i="47"/>
  <c r="CB15" i="47" s="1"/>
  <c r="M15" i="47"/>
  <c r="O15" i="47" s="1"/>
  <c r="AQ15" i="47"/>
  <c r="BF15" i="47"/>
  <c r="BH15" i="47" s="1"/>
  <c r="C15" i="47"/>
  <c r="W15" i="47"/>
  <c r="BH14" i="47"/>
  <c r="BP15" i="47"/>
  <c r="BU15" i="47"/>
  <c r="BK15" i="47"/>
  <c r="BM15" i="47" s="1"/>
  <c r="B16" i="47"/>
  <c r="CE16" i="47" s="1"/>
  <c r="CG16" i="47" s="1"/>
  <c r="C10" i="25"/>
  <c r="AL16" i="47" l="1"/>
  <c r="AN16" i="47" s="1"/>
  <c r="AV16" i="47"/>
  <c r="AX16" i="47" s="1"/>
  <c r="W16" i="47"/>
  <c r="AG16" i="47"/>
  <c r="AI16" i="47" s="1"/>
  <c r="DX16" i="47"/>
  <c r="DZ16" i="47" s="1"/>
  <c r="CO16" i="47"/>
  <c r="CQ16" i="47" s="1"/>
  <c r="DS16" i="47"/>
  <c r="DU16" i="47" s="1"/>
  <c r="DD16" i="47"/>
  <c r="DF16" i="47" s="1"/>
  <c r="CT16" i="47"/>
  <c r="CV16" i="47" s="1"/>
  <c r="CY16" i="47"/>
  <c r="DA16" i="47" s="1"/>
  <c r="DN16" i="47"/>
  <c r="DP16" i="47" s="1"/>
  <c r="CJ16" i="47"/>
  <c r="CL16" i="47" s="1"/>
  <c r="DI16" i="47"/>
  <c r="DK16" i="47" s="1"/>
  <c r="AQ16" i="47"/>
  <c r="M16" i="47"/>
  <c r="BZ16" i="47"/>
  <c r="CB16" i="47" s="1"/>
  <c r="H16" i="47"/>
  <c r="R16" i="47"/>
  <c r="BK16" i="47"/>
  <c r="BM16" i="47" s="1"/>
  <c r="BU16" i="47"/>
  <c r="C16" i="47"/>
  <c r="AB16" i="47"/>
  <c r="BP16" i="47"/>
  <c r="BP17" i="47" s="1"/>
  <c r="BF16" i="47"/>
  <c r="BA16" i="47"/>
  <c r="B17" i="47"/>
  <c r="CE17" i="47" s="1"/>
  <c r="CG17" i="47" s="1"/>
  <c r="AL17" i="47" l="1"/>
  <c r="AN17" i="47" s="1"/>
  <c r="AV17" i="47"/>
  <c r="AX17" i="47" s="1"/>
  <c r="W17" i="47"/>
  <c r="AG17" i="47"/>
  <c r="AI17" i="47" s="1"/>
  <c r="CO17" i="47"/>
  <c r="CQ17" i="47" s="1"/>
  <c r="DX17" i="47"/>
  <c r="DZ17" i="47" s="1"/>
  <c r="DS17" i="47"/>
  <c r="DU17" i="47" s="1"/>
  <c r="CT17" i="47"/>
  <c r="CV17" i="47" s="1"/>
  <c r="DD17" i="47"/>
  <c r="DF17" i="47" s="1"/>
  <c r="CY17" i="47"/>
  <c r="DA17" i="47" s="1"/>
  <c r="DN17" i="47"/>
  <c r="DP17" i="47" s="1"/>
  <c r="CJ17" i="47"/>
  <c r="CL17" i="47" s="1"/>
  <c r="DI17" i="47"/>
  <c r="DK17" i="47" s="1"/>
  <c r="M17" i="47"/>
  <c r="O17" i="47" s="1"/>
  <c r="R17" i="47"/>
  <c r="BA17" i="47"/>
  <c r="BK17" i="47"/>
  <c r="BM17" i="47" s="1"/>
  <c r="AB17" i="47"/>
  <c r="C17" i="47"/>
  <c r="O16" i="47"/>
  <c r="H17" i="47"/>
  <c r="BZ17" i="47"/>
  <c r="CB17" i="47" s="1"/>
  <c r="BF17" i="47"/>
  <c r="BU17" i="47"/>
  <c r="AQ17" i="47"/>
  <c r="B18" i="47"/>
  <c r="CE18" i="47" s="1"/>
  <c r="CG18" i="47" s="1"/>
  <c r="AQ18" i="47" l="1"/>
  <c r="AL18" i="47"/>
  <c r="AN18" i="47" s="1"/>
  <c r="AV18" i="47"/>
  <c r="AX18" i="47" s="1"/>
  <c r="AG18" i="47"/>
  <c r="AI18" i="47" s="1"/>
  <c r="CO18" i="47"/>
  <c r="CQ18" i="47" s="1"/>
  <c r="DX18" i="47"/>
  <c r="DZ18" i="47" s="1"/>
  <c r="DS18" i="47"/>
  <c r="DU18" i="47" s="1"/>
  <c r="DD18" i="47"/>
  <c r="DF18" i="47" s="1"/>
  <c r="CT18" i="47"/>
  <c r="CV18" i="47" s="1"/>
  <c r="CY18" i="47"/>
  <c r="DA18" i="47" s="1"/>
  <c r="DN18" i="47"/>
  <c r="DP18" i="47" s="1"/>
  <c r="CJ18" i="47"/>
  <c r="CL18" i="47" s="1"/>
  <c r="DI18" i="47"/>
  <c r="DK18" i="47" s="1"/>
  <c r="BZ18" i="47"/>
  <c r="BK18" i="47"/>
  <c r="BM18" i="47" s="1"/>
  <c r="AB18" i="47"/>
  <c r="BF18" i="47"/>
  <c r="R18" i="47"/>
  <c r="M18" i="47"/>
  <c r="BU18" i="47"/>
  <c r="BA18" i="47"/>
  <c r="H18" i="47"/>
  <c r="BP18" i="47"/>
  <c r="C18" i="47"/>
  <c r="W18" i="47"/>
  <c r="B19" i="47"/>
  <c r="CE19" i="47" s="1"/>
  <c r="CG19" i="47" s="1"/>
  <c r="AS11" i="47"/>
  <c r="AL19" i="47" l="1"/>
  <c r="AN19" i="47" s="1"/>
  <c r="AV19" i="47"/>
  <c r="AX19" i="47" s="1"/>
  <c r="AG19" i="47"/>
  <c r="AI19" i="47" s="1"/>
  <c r="CO19" i="47"/>
  <c r="CQ19" i="47" s="1"/>
  <c r="DX19" i="47"/>
  <c r="DZ19" i="47" s="1"/>
  <c r="DS19" i="47"/>
  <c r="DU19" i="47" s="1"/>
  <c r="DD19" i="47"/>
  <c r="DF19" i="47" s="1"/>
  <c r="CT19" i="47"/>
  <c r="CV19" i="47" s="1"/>
  <c r="CY19" i="47"/>
  <c r="DA19" i="47" s="1"/>
  <c r="DN19" i="47"/>
  <c r="DP19" i="47" s="1"/>
  <c r="CJ19" i="47"/>
  <c r="CL19" i="47" s="1"/>
  <c r="DI19" i="47"/>
  <c r="DK19" i="47" s="1"/>
  <c r="BU19" i="47"/>
  <c r="AB19" i="47"/>
  <c r="BP19" i="47"/>
  <c r="BK19" i="47"/>
  <c r="AQ19" i="47"/>
  <c r="M19" i="47"/>
  <c r="W19" i="47"/>
  <c r="H19" i="47"/>
  <c r="R19" i="47"/>
  <c r="BZ19" i="47"/>
  <c r="C19" i="47"/>
  <c r="BA19" i="47"/>
  <c r="BF19" i="47"/>
  <c r="BH16" i="47"/>
  <c r="BR15" i="47"/>
  <c r="BR16" i="47"/>
  <c r="B20" i="47"/>
  <c r="CE20" i="47" s="1"/>
  <c r="CG20" i="47" s="1"/>
  <c r="BC11" i="47"/>
  <c r="AS12" i="47"/>
  <c r="Y11" i="47"/>
  <c r="BF20" i="47" l="1"/>
  <c r="BZ20" i="47"/>
  <c r="AL20" i="47"/>
  <c r="AN20" i="47" s="1"/>
  <c r="AV20" i="47"/>
  <c r="AX20" i="47" s="1"/>
  <c r="AG20" i="47"/>
  <c r="AI20" i="47" s="1"/>
  <c r="CO20" i="47"/>
  <c r="CQ20" i="47" s="1"/>
  <c r="DX20" i="47"/>
  <c r="DZ20" i="47" s="1"/>
  <c r="DS20" i="47"/>
  <c r="DU20" i="47" s="1"/>
  <c r="DD20" i="47"/>
  <c r="DF20" i="47" s="1"/>
  <c r="CT20" i="47"/>
  <c r="CV20" i="47" s="1"/>
  <c r="CY20" i="47"/>
  <c r="DA20" i="47" s="1"/>
  <c r="DN20" i="47"/>
  <c r="DP20" i="47" s="1"/>
  <c r="CJ20" i="47"/>
  <c r="CL20" i="47" s="1"/>
  <c r="DI20" i="47"/>
  <c r="DK20" i="47" s="1"/>
  <c r="AQ20" i="47"/>
  <c r="H20" i="47"/>
  <c r="AB20" i="47"/>
  <c r="BA20" i="47"/>
  <c r="BK20" i="47"/>
  <c r="M20" i="47"/>
  <c r="R20" i="47"/>
  <c r="C20" i="47"/>
  <c r="BU20" i="47"/>
  <c r="W20" i="47"/>
  <c r="BP20" i="47"/>
  <c r="BH17" i="47"/>
  <c r="B21" i="47"/>
  <c r="CE21" i="47" s="1"/>
  <c r="CG21" i="47" s="1"/>
  <c r="BC12" i="47"/>
  <c r="AS13" i="47"/>
  <c r="J12" i="47"/>
  <c r="AL21" i="47" l="1"/>
  <c r="AN21" i="47" s="1"/>
  <c r="AV21" i="47"/>
  <c r="AX21" i="47" s="1"/>
  <c r="BU21" i="47"/>
  <c r="AG21" i="47"/>
  <c r="AI21" i="47" s="1"/>
  <c r="CO21" i="47"/>
  <c r="CQ21" i="47" s="1"/>
  <c r="DX21" i="47"/>
  <c r="DZ21" i="47" s="1"/>
  <c r="DS21" i="47"/>
  <c r="DU21" i="47" s="1"/>
  <c r="DD21" i="47"/>
  <c r="DF21" i="47" s="1"/>
  <c r="CT21" i="47"/>
  <c r="CV21" i="47" s="1"/>
  <c r="CY21" i="47"/>
  <c r="DA21" i="47" s="1"/>
  <c r="DN21" i="47"/>
  <c r="DP21" i="47" s="1"/>
  <c r="CJ21" i="47"/>
  <c r="CL21" i="47" s="1"/>
  <c r="DI21" i="47"/>
  <c r="DK21" i="47" s="1"/>
  <c r="AB21" i="47"/>
  <c r="BZ21" i="47"/>
  <c r="W21" i="47"/>
  <c r="M21" i="47"/>
  <c r="BF21" i="47"/>
  <c r="H21" i="47"/>
  <c r="BK21" i="47"/>
  <c r="C21" i="47"/>
  <c r="BP21" i="47"/>
  <c r="R21" i="47"/>
  <c r="BA21" i="47"/>
  <c r="AQ21" i="47"/>
  <c r="CB18" i="47"/>
  <c r="B22" i="47"/>
  <c r="CE22" i="47" s="1"/>
  <c r="CG22" i="47" s="1"/>
  <c r="BC13" i="47"/>
  <c r="AS14" i="47"/>
  <c r="J13" i="47"/>
  <c r="H22" i="47" l="1"/>
  <c r="AL22" i="47"/>
  <c r="AN22" i="47" s="1"/>
  <c r="AV22" i="47"/>
  <c r="AX22" i="47" s="1"/>
  <c r="M22" i="47"/>
  <c r="BA22" i="47"/>
  <c r="AG22" i="47"/>
  <c r="AI22" i="47" s="1"/>
  <c r="CO22" i="47"/>
  <c r="CQ22" i="47" s="1"/>
  <c r="DX22" i="47"/>
  <c r="DZ22" i="47" s="1"/>
  <c r="DS22" i="47"/>
  <c r="DU22" i="47" s="1"/>
  <c r="DD22" i="47"/>
  <c r="DF22" i="47" s="1"/>
  <c r="CT22" i="47"/>
  <c r="CV22" i="47" s="1"/>
  <c r="CY22" i="47"/>
  <c r="DA22" i="47" s="1"/>
  <c r="DN22" i="47"/>
  <c r="DP22" i="47" s="1"/>
  <c r="CJ22" i="47"/>
  <c r="CL22" i="47" s="1"/>
  <c r="DI22" i="47"/>
  <c r="DK22" i="47" s="1"/>
  <c r="R22" i="47"/>
  <c r="BF22" i="47"/>
  <c r="BK22" i="47"/>
  <c r="BP22" i="47"/>
  <c r="BZ22" i="47"/>
  <c r="BU22" i="47"/>
  <c r="AQ22" i="47"/>
  <c r="C22" i="47"/>
  <c r="C23" i="47" s="1"/>
  <c r="AB22" i="47"/>
  <c r="W22" i="47"/>
  <c r="BH18" i="47"/>
  <c r="B23" i="47"/>
  <c r="CE23" i="47" s="1"/>
  <c r="CG23" i="47" s="1"/>
  <c r="BC14" i="47"/>
  <c r="AS15" i="47"/>
  <c r="J14" i="47"/>
  <c r="AL23" i="47" l="1"/>
  <c r="AN23" i="47" s="1"/>
  <c r="AV23" i="47"/>
  <c r="AX23" i="47" s="1"/>
  <c r="BF23" i="47"/>
  <c r="AB23" i="47"/>
  <c r="AG23" i="47"/>
  <c r="AI23" i="47" s="1"/>
  <c r="CO23" i="47"/>
  <c r="CQ23" i="47" s="1"/>
  <c r="DX23" i="47"/>
  <c r="DZ23" i="47" s="1"/>
  <c r="DS23" i="47"/>
  <c r="DU23" i="47" s="1"/>
  <c r="DD23" i="47"/>
  <c r="DF23" i="47" s="1"/>
  <c r="CT23" i="47"/>
  <c r="CV23" i="47" s="1"/>
  <c r="CY23" i="47"/>
  <c r="DA23" i="47" s="1"/>
  <c r="DN23" i="47"/>
  <c r="DP23" i="47" s="1"/>
  <c r="CJ23" i="47"/>
  <c r="CL23" i="47" s="1"/>
  <c r="DI23" i="47"/>
  <c r="DK23" i="47" s="1"/>
  <c r="BU23" i="47"/>
  <c r="BA23" i="47"/>
  <c r="BP23" i="47"/>
  <c r="R23" i="47"/>
  <c r="BZ23" i="47"/>
  <c r="AQ23" i="47"/>
  <c r="W23" i="47"/>
  <c r="M23" i="47"/>
  <c r="BK23" i="47"/>
  <c r="H23" i="47"/>
  <c r="BH19" i="47"/>
  <c r="B24" i="47"/>
  <c r="CE24" i="47" s="1"/>
  <c r="CG24" i="47" s="1"/>
  <c r="BC15" i="47"/>
  <c r="AS16" i="47"/>
  <c r="J15" i="47"/>
  <c r="AL24" i="47" l="1"/>
  <c r="AN24" i="47" s="1"/>
  <c r="AV24" i="47"/>
  <c r="AX24" i="47" s="1"/>
  <c r="H24" i="47"/>
  <c r="AG24" i="47"/>
  <c r="AI24" i="47" s="1"/>
  <c r="CO24" i="47"/>
  <c r="CQ24" i="47" s="1"/>
  <c r="DX24" i="47"/>
  <c r="DZ24" i="47" s="1"/>
  <c r="DS24" i="47"/>
  <c r="DU24" i="47" s="1"/>
  <c r="DD24" i="47"/>
  <c r="DF24" i="47" s="1"/>
  <c r="CT24" i="47"/>
  <c r="CV24" i="47" s="1"/>
  <c r="CY24" i="47"/>
  <c r="DA24" i="47" s="1"/>
  <c r="DN24" i="47"/>
  <c r="DP24" i="47" s="1"/>
  <c r="CJ24" i="47"/>
  <c r="CL24" i="47" s="1"/>
  <c r="DI24" i="47"/>
  <c r="DK24" i="47" s="1"/>
  <c r="BK24" i="47"/>
  <c r="BZ24" i="47"/>
  <c r="C24" i="47"/>
  <c r="M24" i="47"/>
  <c r="AB24" i="47"/>
  <c r="BU24" i="47"/>
  <c r="W24" i="47"/>
  <c r="R24" i="47"/>
  <c r="BF24" i="47"/>
  <c r="AQ24" i="47"/>
  <c r="BP24" i="47"/>
  <c r="BA24" i="47"/>
  <c r="BH20" i="47"/>
  <c r="CB19" i="47"/>
  <c r="BM19" i="47"/>
  <c r="B25" i="47"/>
  <c r="CE25" i="47" s="1"/>
  <c r="CG25" i="47" s="1"/>
  <c r="O18" i="47"/>
  <c r="BC16" i="47"/>
  <c r="AS17" i="47"/>
  <c r="J16" i="47"/>
  <c r="AL25" i="47" l="1"/>
  <c r="AN25" i="47" s="1"/>
  <c r="AV25" i="47"/>
  <c r="AX25" i="47" s="1"/>
  <c r="H25" i="47"/>
  <c r="BU25" i="47"/>
  <c r="BZ25" i="47"/>
  <c r="M25" i="47"/>
  <c r="AG25" i="47"/>
  <c r="AI25" i="47" s="1"/>
  <c r="CO25" i="47"/>
  <c r="CQ25" i="47" s="1"/>
  <c r="DX25" i="47"/>
  <c r="DZ25" i="47" s="1"/>
  <c r="DS25" i="47"/>
  <c r="DU25" i="47" s="1"/>
  <c r="DD25" i="47"/>
  <c r="DF25" i="47" s="1"/>
  <c r="CT25" i="47"/>
  <c r="CV25" i="47" s="1"/>
  <c r="CY25" i="47"/>
  <c r="DA25" i="47" s="1"/>
  <c r="DN25" i="47"/>
  <c r="DP25" i="47" s="1"/>
  <c r="CJ25" i="47"/>
  <c r="CL25" i="47" s="1"/>
  <c r="DI25" i="47"/>
  <c r="DK25" i="47" s="1"/>
  <c r="BP25" i="47"/>
  <c r="R25" i="47"/>
  <c r="AQ25" i="47"/>
  <c r="W25" i="47"/>
  <c r="C25" i="47"/>
  <c r="BA25" i="47"/>
  <c r="BF25" i="47"/>
  <c r="AB25" i="47"/>
  <c r="BK25" i="47"/>
  <c r="CB20" i="47"/>
  <c r="BM20" i="47"/>
  <c r="B26" i="47"/>
  <c r="CE26" i="47" s="1"/>
  <c r="CG26" i="47" s="1"/>
  <c r="O19" i="47"/>
  <c r="BC17" i="47"/>
  <c r="J17" i="47"/>
  <c r="AL26" i="47" l="1"/>
  <c r="AN26" i="47" s="1"/>
  <c r="AV26" i="47"/>
  <c r="AX26" i="47" s="1"/>
  <c r="AG26" i="47"/>
  <c r="AI26" i="47" s="1"/>
  <c r="CO26" i="47"/>
  <c r="CQ26" i="47" s="1"/>
  <c r="DX26" i="47"/>
  <c r="DZ26" i="47" s="1"/>
  <c r="DS26" i="47"/>
  <c r="DU26" i="47" s="1"/>
  <c r="DD26" i="47"/>
  <c r="DF26" i="47" s="1"/>
  <c r="CT26" i="47"/>
  <c r="CV26" i="47" s="1"/>
  <c r="CY26" i="47"/>
  <c r="DA26" i="47" s="1"/>
  <c r="DN26" i="47"/>
  <c r="DP26" i="47" s="1"/>
  <c r="CJ26" i="47"/>
  <c r="CL26" i="47" s="1"/>
  <c r="DI26" i="47"/>
  <c r="DK26" i="47" s="1"/>
  <c r="BA26" i="47"/>
  <c r="BZ26" i="47"/>
  <c r="R26" i="47"/>
  <c r="AB26" i="47"/>
  <c r="W26" i="47"/>
  <c r="AQ26" i="47"/>
  <c r="BF26" i="47"/>
  <c r="BP26" i="47"/>
  <c r="C26" i="47"/>
  <c r="BK26" i="47"/>
  <c r="H26" i="47"/>
  <c r="BU26" i="47"/>
  <c r="M26" i="47"/>
  <c r="CB21" i="47"/>
  <c r="BM21" i="47"/>
  <c r="B27" i="47"/>
  <c r="CE27" i="47" s="1"/>
  <c r="CG27" i="47" s="1"/>
  <c r="BC18" i="47"/>
  <c r="AL27" i="47" l="1"/>
  <c r="AN27" i="47" s="1"/>
  <c r="AV27" i="47"/>
  <c r="AX27" i="47" s="1"/>
  <c r="BU27" i="47"/>
  <c r="AB27" i="47"/>
  <c r="AG27" i="47"/>
  <c r="AI27" i="47" s="1"/>
  <c r="CO27" i="47"/>
  <c r="CQ27" i="47" s="1"/>
  <c r="DX27" i="47"/>
  <c r="DZ27" i="47" s="1"/>
  <c r="DS27" i="47"/>
  <c r="DU27" i="47" s="1"/>
  <c r="CT27" i="47"/>
  <c r="CV27" i="47" s="1"/>
  <c r="DD27" i="47"/>
  <c r="DF27" i="47" s="1"/>
  <c r="CY27" i="47"/>
  <c r="DA27" i="47" s="1"/>
  <c r="DN27" i="47"/>
  <c r="DP27" i="47" s="1"/>
  <c r="CJ27" i="47"/>
  <c r="CL27" i="47" s="1"/>
  <c r="DI27" i="47"/>
  <c r="DK27" i="47" s="1"/>
  <c r="BP27" i="47"/>
  <c r="R27" i="47"/>
  <c r="H27" i="47"/>
  <c r="BK27" i="47"/>
  <c r="BZ27" i="47"/>
  <c r="BF27" i="47"/>
  <c r="AQ27" i="47"/>
  <c r="M27" i="47"/>
  <c r="C27" i="47"/>
  <c r="W27" i="47"/>
  <c r="BA27" i="47"/>
  <c r="BM22" i="47"/>
  <c r="CB22" i="47"/>
  <c r="B28" i="47"/>
  <c r="CE28" i="47" s="1"/>
  <c r="CG28" i="47" s="1"/>
  <c r="BC19" i="47"/>
  <c r="AL28" i="47" l="1"/>
  <c r="AN28" i="47" s="1"/>
  <c r="AV28" i="47"/>
  <c r="AX28" i="47" s="1"/>
  <c r="W28" i="47"/>
  <c r="AG28" i="47"/>
  <c r="AI28" i="47" s="1"/>
  <c r="CO28" i="47"/>
  <c r="CQ28" i="47" s="1"/>
  <c r="DX28" i="47"/>
  <c r="DZ28" i="47" s="1"/>
  <c r="DS28" i="47"/>
  <c r="DU28" i="47" s="1"/>
  <c r="CT28" i="47"/>
  <c r="CV28" i="47" s="1"/>
  <c r="DD28" i="47"/>
  <c r="DF28" i="47" s="1"/>
  <c r="CY28" i="47"/>
  <c r="DA28" i="47" s="1"/>
  <c r="DI28" i="47"/>
  <c r="DK28" i="47" s="1"/>
  <c r="CJ28" i="47"/>
  <c r="CL28" i="47" s="1"/>
  <c r="DN28" i="47"/>
  <c r="DP28" i="47" s="1"/>
  <c r="BF28" i="47"/>
  <c r="H28" i="47"/>
  <c r="R28" i="47"/>
  <c r="BZ28" i="47"/>
  <c r="BU28" i="47"/>
  <c r="BU29" i="47" s="1"/>
  <c r="C28" i="47"/>
  <c r="BP28" i="47"/>
  <c r="M28" i="47"/>
  <c r="BA28" i="47"/>
  <c r="BA29" i="47" s="1"/>
  <c r="AQ28" i="47"/>
  <c r="BK28" i="47"/>
  <c r="AB28" i="47"/>
  <c r="CB23" i="47"/>
  <c r="BM23" i="47"/>
  <c r="BM24" i="47"/>
  <c r="B29" i="47"/>
  <c r="CE29" i="47" s="1"/>
  <c r="CG29" i="47" s="1"/>
  <c r="BH21" i="47"/>
  <c r="BC20" i="47"/>
  <c r="AL29" i="47" l="1"/>
  <c r="AN29" i="47" s="1"/>
  <c r="AV29" i="47"/>
  <c r="AX29" i="47" s="1"/>
  <c r="H29" i="47"/>
  <c r="AG29" i="47"/>
  <c r="AI29" i="47" s="1"/>
  <c r="CO29" i="47"/>
  <c r="CQ29" i="47" s="1"/>
  <c r="DX29" i="47"/>
  <c r="DZ29" i="47" s="1"/>
  <c r="DS29" i="47"/>
  <c r="DU29" i="47" s="1"/>
  <c r="DD29" i="47"/>
  <c r="DF29" i="47" s="1"/>
  <c r="CT29" i="47"/>
  <c r="CV29" i="47" s="1"/>
  <c r="CY29" i="47"/>
  <c r="DA29" i="47" s="1"/>
  <c r="DI29" i="47"/>
  <c r="DK29" i="47" s="1"/>
  <c r="CJ29" i="47"/>
  <c r="CL29" i="47" s="1"/>
  <c r="DN29" i="47"/>
  <c r="DP29" i="47" s="1"/>
  <c r="BK29" i="47"/>
  <c r="BF29" i="47"/>
  <c r="BP29" i="47"/>
  <c r="AQ29" i="47"/>
  <c r="C29" i="47"/>
  <c r="R29" i="47"/>
  <c r="AB29" i="47"/>
  <c r="M29" i="47"/>
  <c r="BZ29" i="47"/>
  <c r="W29" i="47"/>
  <c r="CB24" i="47"/>
  <c r="B30" i="47"/>
  <c r="CE30" i="47" s="1"/>
  <c r="CG30" i="47" s="1"/>
  <c r="BH22" i="47"/>
  <c r="AL30" i="47" l="1"/>
  <c r="AN30" i="47" s="1"/>
  <c r="AV30" i="47"/>
  <c r="AX30" i="47" s="1"/>
  <c r="M30" i="47"/>
  <c r="AG30" i="47"/>
  <c r="AI30" i="47" s="1"/>
  <c r="CO30" i="47"/>
  <c r="CQ30" i="47" s="1"/>
  <c r="DX30" i="47"/>
  <c r="DZ30" i="47" s="1"/>
  <c r="DS30" i="47"/>
  <c r="DU30" i="47" s="1"/>
  <c r="DD30" i="47"/>
  <c r="DF30" i="47" s="1"/>
  <c r="CT30" i="47"/>
  <c r="CV30" i="47" s="1"/>
  <c r="CY30" i="47"/>
  <c r="DA30" i="47" s="1"/>
  <c r="DN30" i="47"/>
  <c r="DP30" i="47" s="1"/>
  <c r="CJ30" i="47"/>
  <c r="CL30" i="47" s="1"/>
  <c r="DI30" i="47"/>
  <c r="DK30" i="47" s="1"/>
  <c r="C30" i="47"/>
  <c r="BZ30" i="47"/>
  <c r="BP30" i="47"/>
  <c r="BK30" i="47"/>
  <c r="H30" i="47"/>
  <c r="AQ30" i="47"/>
  <c r="R30" i="47"/>
  <c r="AB30" i="47"/>
  <c r="W30" i="47"/>
  <c r="BA30" i="47"/>
  <c r="BU30" i="47"/>
  <c r="BF30" i="47"/>
  <c r="CB25" i="47"/>
  <c r="B31" i="47"/>
  <c r="CE31" i="47" s="1"/>
  <c r="CG31" i="47" s="1"/>
  <c r="BH23" i="47"/>
  <c r="AL31" i="47" l="1"/>
  <c r="AN31" i="47" s="1"/>
  <c r="AV31" i="47"/>
  <c r="AX31" i="47" s="1"/>
  <c r="AG31" i="47"/>
  <c r="AI31" i="47" s="1"/>
  <c r="CO31" i="47"/>
  <c r="CQ31" i="47" s="1"/>
  <c r="DX31" i="47"/>
  <c r="DZ31" i="47" s="1"/>
  <c r="DS31" i="47"/>
  <c r="DU31" i="47" s="1"/>
  <c r="DD31" i="47"/>
  <c r="DF31" i="47" s="1"/>
  <c r="CT31" i="47"/>
  <c r="CV31" i="47" s="1"/>
  <c r="CY31" i="47"/>
  <c r="DA31" i="47" s="1"/>
  <c r="DN31" i="47"/>
  <c r="DP31" i="47" s="1"/>
  <c r="DI31" i="47"/>
  <c r="DK31" i="47" s="1"/>
  <c r="CJ31" i="47"/>
  <c r="CL31" i="47" s="1"/>
  <c r="H31" i="47"/>
  <c r="BK31" i="47"/>
  <c r="BU31" i="47"/>
  <c r="R31" i="47"/>
  <c r="R32" i="47" s="1"/>
  <c r="W31" i="47"/>
  <c r="C31" i="47"/>
  <c r="BP31" i="47"/>
  <c r="BA31" i="47"/>
  <c r="BA32" i="47" s="1"/>
  <c r="M31" i="47"/>
  <c r="BF31" i="47"/>
  <c r="AB31" i="47"/>
  <c r="AQ31" i="47"/>
  <c r="AQ32" i="47" s="1"/>
  <c r="BZ31" i="47"/>
  <c r="CB26" i="47"/>
  <c r="B32" i="47"/>
  <c r="CE32" i="47" s="1"/>
  <c r="CG32" i="47" s="1"/>
  <c r="AL32" i="47" l="1"/>
  <c r="AN32" i="47" s="1"/>
  <c r="AV32" i="47"/>
  <c r="AX32" i="47" s="1"/>
  <c r="BZ32" i="47"/>
  <c r="M32" i="47"/>
  <c r="W32" i="47"/>
  <c r="AG32" i="47"/>
  <c r="AI32" i="47" s="1"/>
  <c r="CO32" i="47"/>
  <c r="CQ32" i="47" s="1"/>
  <c r="DX32" i="47"/>
  <c r="DZ32" i="47" s="1"/>
  <c r="DS32" i="47"/>
  <c r="DU32" i="47" s="1"/>
  <c r="DD32" i="47"/>
  <c r="DF32" i="47" s="1"/>
  <c r="CT32" i="47"/>
  <c r="CV32" i="47" s="1"/>
  <c r="CY32" i="47"/>
  <c r="DA32" i="47" s="1"/>
  <c r="DN32" i="47"/>
  <c r="DP32" i="47" s="1"/>
  <c r="CJ32" i="47"/>
  <c r="CL32" i="47" s="1"/>
  <c r="DI32" i="47"/>
  <c r="DK32" i="47" s="1"/>
  <c r="AB32" i="47"/>
  <c r="C32" i="47"/>
  <c r="BU32" i="47"/>
  <c r="H32" i="47"/>
  <c r="BF32" i="47"/>
  <c r="BP32" i="47"/>
  <c r="BK32" i="47"/>
  <c r="CB27" i="47"/>
  <c r="BH24" i="47"/>
  <c r="CB28" i="47" l="1"/>
  <c r="CB29" i="47" l="1"/>
  <c r="CB30" i="47" l="1"/>
  <c r="BC31" i="47"/>
  <c r="AD31" i="47"/>
  <c r="E11" i="47"/>
  <c r="CB31" i="47" l="1"/>
  <c r="CB32" i="47"/>
  <c r="O20" i="47"/>
  <c r="AD32" i="47"/>
  <c r="AS18" i="47"/>
  <c r="BC32" i="47"/>
  <c r="AS31" i="47"/>
  <c r="AS32" i="47"/>
  <c r="BW31" i="47"/>
  <c r="BW32" i="47"/>
  <c r="BM31" i="47"/>
  <c r="BM32" i="47"/>
  <c r="BH31" i="47"/>
  <c r="BH32" i="47"/>
  <c r="BR31" i="47"/>
  <c r="BR32" i="47"/>
  <c r="BR17" i="47"/>
  <c r="BW12" i="47"/>
  <c r="BC21" i="47"/>
  <c r="BH25" i="47"/>
  <c r="BM25" i="47"/>
  <c r="AS19" i="47"/>
  <c r="Y12" i="47"/>
  <c r="J18" i="47"/>
  <c r="T11" i="47"/>
  <c r="AD11" i="47"/>
  <c r="O21" i="47" l="1"/>
  <c r="BW13" i="47"/>
  <c r="BR18" i="47"/>
  <c r="BM26" i="47"/>
  <c r="BH26" i="47"/>
  <c r="BC22" i="47"/>
  <c r="AS20" i="47"/>
  <c r="Y13" i="47"/>
  <c r="J19" i="47"/>
  <c r="E12" i="47"/>
  <c r="T12" i="47"/>
  <c r="AD12" i="47"/>
  <c r="E13" i="47"/>
  <c r="O22" i="47" l="1"/>
  <c r="BR19" i="47"/>
  <c r="BW14" i="47"/>
  <c r="BC23" i="47"/>
  <c r="BH27" i="47"/>
  <c r="BM27" i="47"/>
  <c r="AS21" i="47"/>
  <c r="J20" i="47"/>
  <c r="Y14" i="47"/>
  <c r="AD13" i="47"/>
  <c r="T13" i="47"/>
  <c r="E14" i="47"/>
  <c r="O23" i="47" l="1"/>
  <c r="BW15" i="47"/>
  <c r="BR20" i="47"/>
  <c r="BM28" i="47"/>
  <c r="BC24" i="47"/>
  <c r="BH28" i="47"/>
  <c r="AS22" i="47"/>
  <c r="Y15" i="47"/>
  <c r="J21" i="47"/>
  <c r="T14" i="47"/>
  <c r="AD14" i="47"/>
  <c r="E15" i="47"/>
  <c r="O24" i="47" l="1"/>
  <c r="BR21" i="47"/>
  <c r="BW16" i="47"/>
  <c r="BC25" i="47"/>
  <c r="BM29" i="47"/>
  <c r="BH29" i="47"/>
  <c r="AS23" i="47"/>
  <c r="Y16" i="47"/>
  <c r="J22" i="47"/>
  <c r="T15" i="47"/>
  <c r="AD15" i="47"/>
  <c r="E16" i="47"/>
  <c r="O25" i="47" l="1"/>
  <c r="BW17" i="47"/>
  <c r="BR22" i="47"/>
  <c r="BC26" i="47"/>
  <c r="BH30" i="47"/>
  <c r="BM30" i="47"/>
  <c r="AS24" i="47"/>
  <c r="J23" i="47"/>
  <c r="Y17" i="47"/>
  <c r="AD16" i="47"/>
  <c r="T16" i="47"/>
  <c r="E17" i="47"/>
  <c r="O26" i="47" l="1"/>
  <c r="BR23" i="47"/>
  <c r="BW18" i="47"/>
  <c r="BC27" i="47"/>
  <c r="AS25" i="47"/>
  <c r="Y18" i="47"/>
  <c r="J24" i="47"/>
  <c r="T17" i="47"/>
  <c r="AD17" i="47"/>
  <c r="E18" i="47"/>
  <c r="O27" i="47" l="1"/>
  <c r="BW19" i="47"/>
  <c r="BR24" i="47"/>
  <c r="BC28" i="47"/>
  <c r="AS26" i="47"/>
  <c r="J25" i="47"/>
  <c r="Y19" i="47"/>
  <c r="AD18" i="47"/>
  <c r="T18" i="47"/>
  <c r="E19" i="47"/>
  <c r="O28" i="47" l="1"/>
  <c r="BR25" i="47"/>
  <c r="BW20" i="47"/>
  <c r="BC29" i="47"/>
  <c r="AS27" i="47"/>
  <c r="J26" i="47"/>
  <c r="Y20" i="47"/>
  <c r="T19" i="47"/>
  <c r="AD19" i="47"/>
  <c r="E20" i="47"/>
  <c r="O29" i="47" l="1"/>
  <c r="BW21" i="47"/>
  <c r="BR26" i="47"/>
  <c r="BC30" i="47"/>
  <c r="AS28" i="47"/>
  <c r="Y21" i="47"/>
  <c r="J27" i="47"/>
  <c r="T20" i="47"/>
  <c r="AD20" i="47"/>
  <c r="E21" i="47"/>
  <c r="O30" i="47" l="1"/>
  <c r="BR27" i="47"/>
  <c r="BW22" i="47"/>
  <c r="AS29" i="47"/>
  <c r="J28" i="47"/>
  <c r="Y22" i="47"/>
  <c r="T21" i="47"/>
  <c r="AD21" i="47"/>
  <c r="E22" i="47"/>
  <c r="O32" i="47" l="1"/>
  <c r="O31" i="47"/>
  <c r="BW23" i="47"/>
  <c r="BR28" i="47"/>
  <c r="AS30" i="47"/>
  <c r="Y23" i="47"/>
  <c r="J29" i="47"/>
  <c r="T22" i="47"/>
  <c r="AD22" i="47"/>
  <c r="E23" i="47"/>
  <c r="BR29" i="47" l="1"/>
  <c r="BW24" i="47"/>
  <c r="J30" i="47"/>
  <c r="Y24" i="47"/>
  <c r="AD23" i="47"/>
  <c r="T23" i="47"/>
  <c r="E24" i="47"/>
  <c r="BW25" i="47" l="1"/>
  <c r="BR30" i="47"/>
  <c r="J31" i="47"/>
  <c r="Y25" i="47"/>
  <c r="AD24" i="47"/>
  <c r="T24" i="47"/>
  <c r="E25" i="47"/>
  <c r="BW26" i="47" l="1"/>
  <c r="Y26" i="47"/>
  <c r="J32" i="47"/>
  <c r="AD25" i="47"/>
  <c r="T25" i="47"/>
  <c r="E26" i="47"/>
  <c r="BW27" i="47" l="1"/>
  <c r="Y27" i="47"/>
  <c r="T26" i="47"/>
  <c r="AD26" i="47"/>
  <c r="E27" i="47"/>
  <c r="BW28" i="47" l="1"/>
  <c r="Y28" i="47"/>
  <c r="AD27" i="47"/>
  <c r="T27" i="47"/>
  <c r="E28" i="47"/>
  <c r="BW29" i="47" l="1"/>
  <c r="Y29" i="47"/>
  <c r="T28" i="47"/>
  <c r="AD28" i="47"/>
  <c r="E29" i="47"/>
  <c r="BW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D27" i="28"/>
  <c r="D17" i="28"/>
  <c r="D35" i="28"/>
  <c r="D36" i="28"/>
  <c r="D32" i="28"/>
  <c r="D28" i="28"/>
  <c r="D24" i="28"/>
  <c r="D20" i="28"/>
  <c r="D31" i="28"/>
  <c r="D23" i="28"/>
  <c r="D19" i="28"/>
  <c r="D34" i="28"/>
  <c r="D30" i="28"/>
  <c r="D26" i="28"/>
  <c r="D22" i="28"/>
  <c r="D18" i="28"/>
  <c r="D37" i="28"/>
  <c r="D33" i="28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16" i="77" l="1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50" i="77" l="1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217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29" i="31" l="1"/>
  <c r="I218" i="31"/>
  <c r="I196" i="31"/>
  <c r="I207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08" i="31" l="1"/>
  <c r="I230" i="31"/>
  <c r="I197" i="31"/>
  <c r="I219" i="31"/>
  <c r="I241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B21" i="77" l="1"/>
  <c r="B22" i="77" l="1"/>
  <c r="B23" i="77" l="1"/>
  <c r="B24" i="77" l="1"/>
  <c r="B25" i="77" l="1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I76" i="25" l="1"/>
  <c r="FZ5" i="25" l="1"/>
  <c r="GA35" i="25" l="1"/>
  <c r="B11" i="77" l="1"/>
  <c r="B12" i="77" l="1"/>
  <c r="B13" i="77" l="1"/>
  <c r="B14" i="77" l="1"/>
  <c r="B15" i="77" l="1"/>
  <c r="B16" i="77" l="1"/>
  <c r="B17" i="77" l="1"/>
  <c r="B18" i="77" l="1"/>
  <c r="B20" i="77" l="1"/>
  <c r="B19" i="77"/>
  <c r="B50" i="77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G57" i="25" l="1"/>
  <c r="E57" i="25"/>
  <c r="G53" i="25"/>
  <c r="E53" i="25"/>
  <c r="J13" i="31" l="1"/>
  <c r="B13" i="25" s="1"/>
  <c r="L16" i="31"/>
  <c r="L17" i="31" s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L28" i="31" s="1"/>
  <c r="L29" i="31" s="1"/>
  <c r="L30" i="31" s="1"/>
  <c r="L31" i="31" s="1"/>
  <c r="L32" i="31" s="1"/>
  <c r="L33" i="31" s="1"/>
  <c r="L34" i="31" s="1"/>
  <c r="L35" i="31" s="1"/>
  <c r="L36" i="31" s="1"/>
  <c r="L37" i="31" s="1"/>
  <c r="L38" i="31" s="1"/>
  <c r="B14" i="31"/>
  <c r="B15" i="31" l="1"/>
  <c r="J14" i="31"/>
  <c r="L39" i="31"/>
  <c r="O13" i="25"/>
  <c r="BZ13" i="25" l="1"/>
  <c r="BO13" i="25"/>
  <c r="BI13" i="25"/>
  <c r="CE13" i="25"/>
  <c r="CJ13" i="25"/>
  <c r="CB13" i="25"/>
  <c r="BT13" i="25"/>
  <c r="BP13" i="25"/>
  <c r="BL13" i="25"/>
  <c r="CI13" i="25"/>
  <c r="CA13" i="25"/>
  <c r="BS13" i="25"/>
  <c r="BK13" i="25"/>
  <c r="BG13" i="25"/>
  <c r="CC13" i="25"/>
  <c r="BR13" i="25"/>
  <c r="BY13" i="25"/>
  <c r="DR13" i="25"/>
  <c r="DB13" i="25"/>
  <c r="CV13" i="25"/>
  <c r="DM13" i="25"/>
  <c r="CY13" i="25"/>
  <c r="DH13" i="25"/>
  <c r="DQ13" i="25"/>
  <c r="DI13" i="25"/>
  <c r="BU13" i="25"/>
  <c r="CK13" i="25"/>
  <c r="CF13" i="25"/>
  <c r="CH13" i="25"/>
  <c r="BM13" i="25"/>
  <c r="BF13" i="25"/>
  <c r="BQ13" i="25"/>
  <c r="DN13" i="25"/>
  <c r="CX13" i="25"/>
  <c r="DY13" i="25"/>
  <c r="DK13" i="25"/>
  <c r="DT13" i="25"/>
  <c r="DD13" i="25"/>
  <c r="DA13" i="25"/>
  <c r="BH13" i="25"/>
  <c r="BJ13" i="25"/>
  <c r="CD13" i="25"/>
  <c r="CW13" i="25"/>
  <c r="DL13" i="25"/>
  <c r="CS13" i="25"/>
  <c r="BW13" i="25"/>
  <c r="BV13" i="25"/>
  <c r="CL13" i="25"/>
  <c r="CG13" i="25"/>
  <c r="BN13" i="25"/>
  <c r="DJ13" i="25"/>
  <c r="CZ13" i="25"/>
  <c r="DS13" i="25"/>
  <c r="DG13" i="25"/>
  <c r="DP13" i="25"/>
  <c r="CU13" i="25"/>
  <c r="DU13" i="25"/>
  <c r="FY13" i="25"/>
  <c r="FZ13" i="25" s="1"/>
  <c r="GA13" i="25" s="1"/>
  <c r="BX13" i="25"/>
  <c r="DV13" i="25"/>
  <c r="DF13" i="25"/>
  <c r="DO13" i="25"/>
  <c r="DC13" i="25"/>
  <c r="CT13" i="25"/>
  <c r="DE13" i="25"/>
  <c r="L40" i="31"/>
  <c r="B16" i="31"/>
  <c r="J15" i="31"/>
  <c r="FE13" i="25" l="1"/>
  <c r="EU13" i="25"/>
  <c r="FC13" i="25"/>
  <c r="J16" i="31"/>
  <c r="B17" i="31"/>
  <c r="FB13" i="25"/>
  <c r="FP13" i="25"/>
  <c r="EP13" i="25"/>
  <c r="FD13" i="25"/>
  <c r="FL13" i="25"/>
  <c r="FO13" i="25"/>
  <c r="EM13" i="25"/>
  <c r="EK13" i="25"/>
  <c r="FK13" i="25"/>
  <c r="EL13" i="25"/>
  <c r="EQ13" i="25"/>
  <c r="FG13" i="25"/>
  <c r="BE13" i="25"/>
  <c r="FM13" i="25"/>
  <c r="FF13" i="25"/>
  <c r="FH13" i="25"/>
  <c r="EJ13" i="25"/>
  <c r="FI13" i="25"/>
  <c r="EY13" i="25"/>
  <c r="EV13" i="25"/>
  <c r="FA13" i="25"/>
  <c r="FJ13" i="25"/>
  <c r="FN13" i="25"/>
  <c r="L41" i="31"/>
  <c r="ER13" i="25"/>
  <c r="EZ13" i="25"/>
  <c r="EN13" i="25"/>
  <c r="EO13" i="25"/>
  <c r="ET13" i="25"/>
  <c r="ES13" i="25"/>
  <c r="EW13" i="25"/>
  <c r="EX13" i="25"/>
  <c r="L42" i="31" l="1"/>
  <c r="EI13" i="25"/>
  <c r="FW13" i="25" s="1"/>
  <c r="J17" i="31"/>
  <c r="B18" i="31"/>
  <c r="B19" i="31" l="1"/>
  <c r="J18" i="31"/>
  <c r="B20" i="31" l="1"/>
  <c r="J19" i="31"/>
  <c r="J20" i="31" l="1"/>
  <c r="B21" i="31"/>
  <c r="B22" i="31" l="1"/>
  <c r="J21" i="31"/>
  <c r="B23" i="31" l="1"/>
  <c r="J22" i="31"/>
  <c r="J23" i="31" l="1"/>
  <c r="B24" i="31"/>
  <c r="B25" i="31" l="1"/>
  <c r="J24" i="31"/>
  <c r="J25" i="31" l="1"/>
  <c r="B26" i="31"/>
  <c r="B27" i="31" l="1"/>
  <c r="J26" i="31"/>
  <c r="J27" i="31" l="1"/>
  <c r="B28" i="31"/>
  <c r="B28" i="25" l="1"/>
  <c r="J28" i="31"/>
  <c r="B29" i="31"/>
  <c r="B29" i="25" l="1"/>
  <c r="O28" i="25"/>
  <c r="J29" i="31"/>
  <c r="B30" i="31"/>
  <c r="BW28" i="25" l="1"/>
  <c r="BS28" i="25"/>
  <c r="BO28" i="25"/>
  <c r="BJ28" i="25"/>
  <c r="BF28" i="25"/>
  <c r="CK28" i="25"/>
  <c r="FO28" i="25" s="1"/>
  <c r="BI28" i="25"/>
  <c r="BP28" i="25"/>
  <c r="CJ28" i="25"/>
  <c r="CB28" i="25"/>
  <c r="BT28" i="25"/>
  <c r="BG28" i="25"/>
  <c r="BV28" i="25"/>
  <c r="CD28" i="25"/>
  <c r="BM28" i="25"/>
  <c r="DV28" i="25"/>
  <c r="DO28" i="25"/>
  <c r="DI28" i="25"/>
  <c r="DC28" i="25"/>
  <c r="DY28" i="25"/>
  <c r="DL28" i="25"/>
  <c r="DE28" i="25"/>
  <c r="DA28" i="25"/>
  <c r="CS28" i="25"/>
  <c r="CC28" i="25"/>
  <c r="CU28" i="25"/>
  <c r="CA28" i="25"/>
  <c r="DD28" i="25"/>
  <c r="DM28" i="25"/>
  <c r="CI28" i="25"/>
  <c r="FM28" i="25" s="1"/>
  <c r="CL28" i="25"/>
  <c r="FP28" i="25" s="1"/>
  <c r="BQ28" i="25"/>
  <c r="CF28" i="25"/>
  <c r="BY28" i="25"/>
  <c r="BX28" i="25"/>
  <c r="DU28" i="25"/>
  <c r="DN28" i="25"/>
  <c r="DG28" i="25"/>
  <c r="CZ28" i="25"/>
  <c r="DB28" i="25"/>
  <c r="EQ28" i="25" s="1"/>
  <c r="DP28" i="25"/>
  <c r="CV28" i="25"/>
  <c r="EK28" i="25" s="1"/>
  <c r="CT28" i="25"/>
  <c r="BK28" i="25"/>
  <c r="BU28" i="25"/>
  <c r="CH28" i="25"/>
  <c r="FL28" i="25" s="1"/>
  <c r="CE28" i="25"/>
  <c r="CG28" i="25"/>
  <c r="BL28" i="25"/>
  <c r="BZ28" i="25"/>
  <c r="BR28" i="25"/>
  <c r="BH28" i="25"/>
  <c r="DT28" i="25"/>
  <c r="DK28" i="25"/>
  <c r="DF28" i="25"/>
  <c r="CY28" i="25"/>
  <c r="CX28" i="25"/>
  <c r="DH28" i="25"/>
  <c r="BN28" i="25"/>
  <c r="DR28" i="25"/>
  <c r="DJ28" i="25"/>
  <c r="CW28" i="25"/>
  <c r="DS28" i="25"/>
  <c r="DQ28" i="25"/>
  <c r="FY28" i="25"/>
  <c r="FZ28" i="25" s="1"/>
  <c r="GA28" i="25" s="1"/>
  <c r="B31" i="31"/>
  <c r="J30" i="31"/>
  <c r="B30" i="25"/>
  <c r="O29" i="25"/>
  <c r="FH28" i="25" l="1"/>
  <c r="FJ28" i="25"/>
  <c r="CE29" i="25"/>
  <c r="BN29" i="25"/>
  <c r="BF29" i="25"/>
  <c r="CC29" i="25"/>
  <c r="BY29" i="25"/>
  <c r="BI29" i="25"/>
  <c r="BE29" i="25"/>
  <c r="BQ29" i="25"/>
  <c r="EW28" i="25"/>
  <c r="EN28" i="25"/>
  <c r="FA28" i="25"/>
  <c r="FG28" i="25"/>
  <c r="EM28" i="25"/>
  <c r="EU28" i="25"/>
  <c r="EY28" i="25"/>
  <c r="EZ28" i="25"/>
  <c r="FE28" i="25"/>
  <c r="ET28" i="25"/>
  <c r="EO28" i="25"/>
  <c r="FB28" i="25"/>
  <c r="EJ28" i="25"/>
  <c r="EX28" i="25"/>
  <c r="EV28" i="25"/>
  <c r="ES28" i="25"/>
  <c r="FD28" i="25"/>
  <c r="FF28" i="25"/>
  <c r="FI28" i="25"/>
  <c r="BE28" i="25"/>
  <c r="EI28" i="25" s="1"/>
  <c r="A73" i="25"/>
  <c r="FC28" i="25"/>
  <c r="FN28" i="25"/>
  <c r="FK28" i="25"/>
  <c r="EP28" i="25"/>
  <c r="ER28" i="25"/>
  <c r="A72" i="25"/>
  <c r="J31" i="31"/>
  <c r="B32" i="31"/>
  <c r="CJ29" i="25"/>
  <c r="BT29" i="25"/>
  <c r="CI29" i="25"/>
  <c r="FM29" i="25" s="1"/>
  <c r="BG29" i="25"/>
  <c r="BV29" i="25"/>
  <c r="BU29" i="25"/>
  <c r="DR29" i="25"/>
  <c r="DJ29" i="25"/>
  <c r="CT29" i="25"/>
  <c r="DC29" i="25"/>
  <c r="DT29" i="25"/>
  <c r="CZ29" i="25"/>
  <c r="DH29" i="25"/>
  <c r="DI29" i="25"/>
  <c r="FY29" i="25"/>
  <c r="FZ29" i="25" s="1"/>
  <c r="GA29" i="25" s="1"/>
  <c r="CS29" i="25"/>
  <c r="DE29" i="25"/>
  <c r="CY29" i="25"/>
  <c r="CU29" i="25"/>
  <c r="BH29" i="25"/>
  <c r="CH29" i="25"/>
  <c r="FL29" i="25" s="1"/>
  <c r="DV29" i="25"/>
  <c r="DA29" i="25"/>
  <c r="CX29" i="25"/>
  <c r="CW29" i="25"/>
  <c r="CF29" i="25"/>
  <c r="BP29" i="25"/>
  <c r="CD29" i="25"/>
  <c r="BW29" i="25"/>
  <c r="CL29" i="25"/>
  <c r="FP29" i="25" s="1"/>
  <c r="BJ29" i="25"/>
  <c r="BO29" i="25"/>
  <c r="DQ29" i="25"/>
  <c r="DF29" i="25"/>
  <c r="EU29" i="25" s="1"/>
  <c r="DO29" i="25"/>
  <c r="DB29" i="25"/>
  <c r="DS29" i="25"/>
  <c r="CV29" i="25"/>
  <c r="EK29" i="25" s="1"/>
  <c r="DU29" i="25"/>
  <c r="DN29" i="25"/>
  <c r="DK29" i="25"/>
  <c r="EZ29" i="25" s="1"/>
  <c r="DM29" i="25"/>
  <c r="DY29" i="25"/>
  <c r="FN29" i="25" s="1"/>
  <c r="BX29" i="25"/>
  <c r="BM29" i="25"/>
  <c r="DL29" i="25"/>
  <c r="DG29" i="25"/>
  <c r="DD29" i="25"/>
  <c r="ES29" i="25" s="1"/>
  <c r="DP29" i="25"/>
  <c r="CB29" i="25"/>
  <c r="BL29" i="25"/>
  <c r="BR29" i="25"/>
  <c r="CG29" i="25"/>
  <c r="BK29" i="25"/>
  <c r="BZ29" i="25"/>
  <c r="CK29" i="25"/>
  <c r="FO29" i="25" s="1"/>
  <c r="BS29" i="25"/>
  <c r="CA29" i="25"/>
  <c r="B31" i="25"/>
  <c r="O30" i="25"/>
  <c r="EL28" i="25"/>
  <c r="BQ30" i="25" l="1"/>
  <c r="BE30" i="25"/>
  <c r="BX30" i="25"/>
  <c r="BH30" i="25"/>
  <c r="BK30" i="25"/>
  <c r="CL30" i="25"/>
  <c r="FP30" i="25" s="1"/>
  <c r="BJ30" i="25"/>
  <c r="BV30" i="25"/>
  <c r="CH30" i="25"/>
  <c r="FL30" i="25" s="1"/>
  <c r="FA29" i="25"/>
  <c r="FJ29" i="25"/>
  <c r="EL29" i="25"/>
  <c r="EX29" i="25"/>
  <c r="ER29" i="25"/>
  <c r="FB29" i="25"/>
  <c r="FE29" i="25"/>
  <c r="FD29" i="25"/>
  <c r="EN29" i="25"/>
  <c r="EM29" i="25"/>
  <c r="ET29" i="25"/>
  <c r="EW29" i="25"/>
  <c r="EI29" i="25"/>
  <c r="FH29" i="25"/>
  <c r="FF29" i="25"/>
  <c r="EP29" i="25"/>
  <c r="EO29" i="25"/>
  <c r="EY29" i="25"/>
  <c r="FW28" i="25"/>
  <c r="EV29" i="25"/>
  <c r="FC29" i="25"/>
  <c r="EQ29" i="25"/>
  <c r="FK29" i="25"/>
  <c r="EJ29" i="25"/>
  <c r="FI29" i="25"/>
  <c r="FG29" i="25"/>
  <c r="CK30" i="25"/>
  <c r="FO30" i="25" s="1"/>
  <c r="BU30" i="25"/>
  <c r="CJ30" i="25"/>
  <c r="BO30" i="25"/>
  <c r="CB30" i="25"/>
  <c r="DS30" i="25"/>
  <c r="DH30" i="25"/>
  <c r="CX30" i="25"/>
  <c r="DC30" i="25"/>
  <c r="DM30" i="25"/>
  <c r="CU30" i="25"/>
  <c r="DN30" i="25"/>
  <c r="DJ30" i="25"/>
  <c r="EY30" i="25" s="1"/>
  <c r="BW30" i="25"/>
  <c r="CA30" i="25"/>
  <c r="DY30" i="25"/>
  <c r="DL30" i="25"/>
  <c r="FA30" i="25" s="1"/>
  <c r="DA30" i="25"/>
  <c r="DG30" i="25"/>
  <c r="CV30" i="25"/>
  <c r="DF30" i="25"/>
  <c r="CG30" i="25"/>
  <c r="BP30" i="25"/>
  <c r="CE30" i="25"/>
  <c r="BS30" i="25"/>
  <c r="BR30" i="25"/>
  <c r="BG30" i="25"/>
  <c r="DQ30" i="25"/>
  <c r="DE30" i="25"/>
  <c r="DO30" i="25"/>
  <c r="CY30" i="25"/>
  <c r="EN30" i="25" s="1"/>
  <c r="DD30" i="25"/>
  <c r="CT30" i="25"/>
  <c r="EI30" i="25" s="1"/>
  <c r="DR30" i="25"/>
  <c r="DB30" i="25"/>
  <c r="DK30" i="25"/>
  <c r="EZ30" i="25" s="1"/>
  <c r="CW30" i="25"/>
  <c r="EL30" i="25" s="1"/>
  <c r="CZ30" i="25"/>
  <c r="DV30" i="25"/>
  <c r="FK30" i="25" s="1"/>
  <c r="FY30" i="25"/>
  <c r="FZ30" i="25" s="1"/>
  <c r="GA30" i="25" s="1"/>
  <c r="BY30" i="25"/>
  <c r="CD30" i="25"/>
  <c r="DT30" i="25"/>
  <c r="FI30" i="25" s="1"/>
  <c r="CS30" i="25"/>
  <c r="CC30" i="25"/>
  <c r="BM30" i="25"/>
  <c r="CF30" i="25"/>
  <c r="BZ30" i="25"/>
  <c r="CI30" i="25"/>
  <c r="FM30" i="25" s="1"/>
  <c r="BN30" i="25"/>
  <c r="DP30" i="25"/>
  <c r="FE30" i="25" s="1"/>
  <c r="DU30" i="25"/>
  <c r="BI30" i="25"/>
  <c r="BF30" i="25"/>
  <c r="BT30" i="25"/>
  <c r="BL30" i="25"/>
  <c r="DI30" i="25"/>
  <c r="O31" i="25"/>
  <c r="B32" i="25"/>
  <c r="B33" i="31"/>
  <c r="J32" i="31"/>
  <c r="CH31" i="25" l="1"/>
  <c r="FL31" i="25" s="1"/>
  <c r="BN31" i="25"/>
  <c r="BF31" i="25"/>
  <c r="CK31" i="25"/>
  <c r="FO31" i="25" s="1"/>
  <c r="BI31" i="25"/>
  <c r="CB31" i="25"/>
  <c r="BX31" i="25"/>
  <c r="CI31" i="25"/>
  <c r="FM31" i="25" s="1"/>
  <c r="CA31" i="25"/>
  <c r="BK31" i="25"/>
  <c r="ET30" i="25"/>
  <c r="FN30" i="25"/>
  <c r="ES30" i="25"/>
  <c r="FF30" i="25"/>
  <c r="EQ30" i="25"/>
  <c r="EK30" i="25"/>
  <c r="ER30" i="25"/>
  <c r="EV30" i="25"/>
  <c r="FC30" i="25"/>
  <c r="EM30" i="25"/>
  <c r="EX30" i="25"/>
  <c r="EP30" i="25"/>
  <c r="EJ30" i="25"/>
  <c r="EW30" i="25"/>
  <c r="FW29" i="25"/>
  <c r="FJ30" i="25"/>
  <c r="EO30" i="25"/>
  <c r="FG30" i="25"/>
  <c r="FD30" i="25"/>
  <c r="EU30" i="25"/>
  <c r="FB30" i="25"/>
  <c r="FH30" i="25"/>
  <c r="CL31" i="25"/>
  <c r="FP31" i="25" s="1"/>
  <c r="BV31" i="25"/>
  <c r="BS31" i="25"/>
  <c r="CG31" i="25"/>
  <c r="BL31" i="25"/>
  <c r="BE31" i="25"/>
  <c r="BO31" i="25"/>
  <c r="DP31" i="25"/>
  <c r="CV31" i="25"/>
  <c r="DQ31" i="25"/>
  <c r="CW31" i="25"/>
  <c r="DN31" i="25"/>
  <c r="CX31" i="25"/>
  <c r="DC31" i="25"/>
  <c r="CS31" i="25"/>
  <c r="CE31" i="25"/>
  <c r="CF31" i="25"/>
  <c r="DU31" i="25"/>
  <c r="FJ31" i="25" s="1"/>
  <c r="CY31" i="25"/>
  <c r="BR31" i="25"/>
  <c r="BM31" i="25"/>
  <c r="BG31" i="25"/>
  <c r="BU31" i="25"/>
  <c r="BY31" i="25"/>
  <c r="DH31" i="25"/>
  <c r="EW31" i="25" s="1"/>
  <c r="CU31" i="25"/>
  <c r="EJ31" i="25" s="1"/>
  <c r="DI31" i="25"/>
  <c r="DY31" i="25"/>
  <c r="DJ31" i="25"/>
  <c r="DS31" i="25"/>
  <c r="DG31" i="25"/>
  <c r="DM31" i="25"/>
  <c r="FB31" i="25" s="1"/>
  <c r="DD31" i="25"/>
  <c r="ES31" i="25" s="1"/>
  <c r="CT31" i="25"/>
  <c r="EI31" i="25" s="1"/>
  <c r="DE31" i="25"/>
  <c r="DV31" i="25"/>
  <c r="DF31" i="25"/>
  <c r="DO31" i="25"/>
  <c r="DL31" i="25"/>
  <c r="BJ31" i="25"/>
  <c r="BQ31" i="25"/>
  <c r="CJ31" i="25"/>
  <c r="CD31" i="25"/>
  <c r="CC31" i="25"/>
  <c r="BH31" i="25"/>
  <c r="BW31" i="25"/>
  <c r="BP31" i="25"/>
  <c r="BT31" i="25"/>
  <c r="BZ31" i="25"/>
  <c r="DT31" i="25"/>
  <c r="FI31" i="25" s="1"/>
  <c r="CZ31" i="25"/>
  <c r="DA31" i="25"/>
  <c r="EP31" i="25" s="1"/>
  <c r="DR31" i="25"/>
  <c r="DB31" i="25"/>
  <c r="EQ31" i="25" s="1"/>
  <c r="DK31" i="25"/>
  <c r="EZ31" i="25" s="1"/>
  <c r="FY31" i="25"/>
  <c r="FZ31" i="25" s="1"/>
  <c r="GA31" i="25" s="1"/>
  <c r="B34" i="31"/>
  <c r="J33" i="31"/>
  <c r="B33" i="25"/>
  <c r="O32" i="25"/>
  <c r="CI32" i="25" l="1"/>
  <c r="FM32" i="25" s="1"/>
  <c r="BG32" i="25"/>
  <c r="CL32" i="25"/>
  <c r="FP32" i="25" s="1"/>
  <c r="BZ32" i="25"/>
  <c r="BJ32" i="25"/>
  <c r="BU32" i="25"/>
  <c r="CB32" i="25"/>
  <c r="BT32" i="25"/>
  <c r="BL32" i="25"/>
  <c r="EV31" i="25"/>
  <c r="FE31" i="25"/>
  <c r="FG31" i="25"/>
  <c r="FK31" i="25"/>
  <c r="EY31" i="25"/>
  <c r="FW30" i="25"/>
  <c r="EO31" i="25"/>
  <c r="FA31" i="25"/>
  <c r="ET31" i="25"/>
  <c r="EX31" i="25"/>
  <c r="EN31" i="25"/>
  <c r="FC31" i="25"/>
  <c r="FD31" i="25"/>
  <c r="FH31" i="25"/>
  <c r="EL31" i="25"/>
  <c r="EU31" i="25"/>
  <c r="ER31" i="25"/>
  <c r="FF31" i="25"/>
  <c r="FN31" i="25"/>
  <c r="EM31" i="25"/>
  <c r="EK31" i="25"/>
  <c r="B35" i="31"/>
  <c r="J34" i="31"/>
  <c r="BW32" i="25"/>
  <c r="CJ32" i="25"/>
  <c r="BN32" i="25"/>
  <c r="BX32" i="25"/>
  <c r="CG32" i="25"/>
  <c r="BV32" i="25"/>
  <c r="DT32" i="25"/>
  <c r="DK32" i="25"/>
  <c r="DF32" i="25"/>
  <c r="CY32" i="25"/>
  <c r="DA32" i="25"/>
  <c r="DL32" i="25"/>
  <c r="FA32" i="25" s="1"/>
  <c r="CU32" i="25"/>
  <c r="DJ32" i="25"/>
  <c r="EY32" i="25" s="1"/>
  <c r="DE32" i="25"/>
  <c r="DS32" i="25"/>
  <c r="CA32" i="25"/>
  <c r="CC32" i="25"/>
  <c r="DQ32" i="25"/>
  <c r="BS32" i="25"/>
  <c r="CK32" i="25"/>
  <c r="FO32" i="25" s="1"/>
  <c r="BP32" i="25"/>
  <c r="CD32" i="25"/>
  <c r="BI32" i="25"/>
  <c r="BR32" i="25"/>
  <c r="DY32" i="25"/>
  <c r="DR32" i="25"/>
  <c r="FG32" i="25" s="1"/>
  <c r="DD32" i="25"/>
  <c r="CW32" i="25"/>
  <c r="DP32" i="25"/>
  <c r="FE32" i="25" s="1"/>
  <c r="CT32" i="25"/>
  <c r="EI32" i="25" s="1"/>
  <c r="FY32" i="25"/>
  <c r="FZ32" i="25" s="1"/>
  <c r="GA32" i="25" s="1"/>
  <c r="DB32" i="25"/>
  <c r="CS32" i="25"/>
  <c r="BK32" i="25"/>
  <c r="BE32" i="25"/>
  <c r="DU32" i="25"/>
  <c r="DN32" i="25"/>
  <c r="CZ32" i="25"/>
  <c r="CV32" i="25"/>
  <c r="EK32" i="25" s="1"/>
  <c r="CE32" i="25"/>
  <c r="BO32" i="25"/>
  <c r="CF32" i="25"/>
  <c r="BY32" i="25"/>
  <c r="CH32" i="25"/>
  <c r="FL32" i="25" s="1"/>
  <c r="BM32" i="25"/>
  <c r="BQ32" i="25"/>
  <c r="DV32" i="25"/>
  <c r="FK32" i="25" s="1"/>
  <c r="DO32" i="25"/>
  <c r="DI32" i="25"/>
  <c r="EX32" i="25" s="1"/>
  <c r="DC32" i="25"/>
  <c r="ER32" i="25" s="1"/>
  <c r="DH32" i="25"/>
  <c r="EW32" i="25" s="1"/>
  <c r="CX32" i="25"/>
  <c r="BH32" i="25"/>
  <c r="BF32" i="25"/>
  <c r="DG32" i="25"/>
  <c r="DM32" i="25"/>
  <c r="FB32" i="25" s="1"/>
  <c r="B34" i="25"/>
  <c r="O34" i="25" s="1"/>
  <c r="O33" i="25"/>
  <c r="BF34" i="25" l="1"/>
  <c r="EJ35" i="25" s="1"/>
  <c r="EV32" i="25"/>
  <c r="EM32" i="25"/>
  <c r="FN32" i="25"/>
  <c r="FW31" i="25"/>
  <c r="FD32" i="25"/>
  <c r="EO32" i="25"/>
  <c r="ES32" i="25"/>
  <c r="FF32" i="25"/>
  <c r="ET32" i="25"/>
  <c r="EP32" i="25"/>
  <c r="FI32" i="25"/>
  <c r="FC32" i="25"/>
  <c r="EN32" i="25"/>
  <c r="FJ32" i="25"/>
  <c r="EJ32" i="25"/>
  <c r="EU32" i="25"/>
  <c r="EQ32" i="25"/>
  <c r="EL32" i="25"/>
  <c r="FH32" i="25"/>
  <c r="EZ32" i="25"/>
  <c r="CJ33" i="25"/>
  <c r="BT33" i="25"/>
  <c r="A74" i="25"/>
  <c r="BR33" i="25"/>
  <c r="CG33" i="25"/>
  <c r="BK33" i="25"/>
  <c r="BZ33" i="25"/>
  <c r="BE33" i="25"/>
  <c r="CD33" i="25"/>
  <c r="DS33" i="25"/>
  <c r="DC33" i="25"/>
  <c r="DR33" i="25"/>
  <c r="DB33" i="25"/>
  <c r="DE33" i="25"/>
  <c r="DD33" i="25"/>
  <c r="DL33" i="25"/>
  <c r="CZ33" i="25"/>
  <c r="EO33" i="25" s="1"/>
  <c r="DQ33" i="25"/>
  <c r="DK33" i="25"/>
  <c r="FY33" i="25"/>
  <c r="FZ33" i="25" s="1"/>
  <c r="GA33" i="25" s="1"/>
  <c r="CT33" i="25"/>
  <c r="EI33" i="25" s="1"/>
  <c r="FW33" i="25" s="1"/>
  <c r="DU33" i="25"/>
  <c r="BX33" i="25"/>
  <c r="CE33" i="25"/>
  <c r="DY33" i="25"/>
  <c r="FN33" i="25" s="1"/>
  <c r="DV33" i="25"/>
  <c r="FK33" i="25" s="1"/>
  <c r="CV33" i="25"/>
  <c r="CF33" i="25"/>
  <c r="BP33" i="25"/>
  <c r="CH33" i="25"/>
  <c r="FL33" i="25" s="1"/>
  <c r="BM33" i="25"/>
  <c r="CA33" i="25"/>
  <c r="BF33" i="25"/>
  <c r="BU33" i="25"/>
  <c r="BS33" i="25"/>
  <c r="BI33" i="25"/>
  <c r="DO33" i="25"/>
  <c r="CY33" i="25"/>
  <c r="DN33" i="25"/>
  <c r="CX33" i="25"/>
  <c r="EM33" i="25" s="1"/>
  <c r="CW33" i="25"/>
  <c r="CS33" i="25"/>
  <c r="DA33" i="25"/>
  <c r="EP33" i="25" s="1"/>
  <c r="CU33" i="25"/>
  <c r="DJ33" i="25"/>
  <c r="EY33" i="25" s="1"/>
  <c r="DH33" i="25"/>
  <c r="DT33" i="25"/>
  <c r="FI33" i="25" s="1"/>
  <c r="BH33" i="25"/>
  <c r="CL33" i="25"/>
  <c r="FP33" i="25" s="1"/>
  <c r="BN33" i="25"/>
  <c r="DG33" i="25"/>
  <c r="EV33" i="25" s="1"/>
  <c r="DF33" i="25"/>
  <c r="DM33" i="25"/>
  <c r="DI33" i="25"/>
  <c r="EX33" i="25" s="1"/>
  <c r="CB33" i="25"/>
  <c r="BL33" i="25"/>
  <c r="CC33" i="25"/>
  <c r="BG33" i="25"/>
  <c r="BV33" i="25"/>
  <c r="CK33" i="25"/>
  <c r="FO33" i="25" s="1"/>
  <c r="BO33" i="25"/>
  <c r="CI33" i="25"/>
  <c r="FM33" i="25" s="1"/>
  <c r="BY33" i="25"/>
  <c r="BW33" i="25"/>
  <c r="BQ33" i="25"/>
  <c r="BJ33" i="25"/>
  <c r="DP33" i="25"/>
  <c r="FE33" i="25" s="1"/>
  <c r="CG34" i="25"/>
  <c r="BQ34" i="25"/>
  <c r="EU35" i="25" s="1"/>
  <c r="CJ34" i="25"/>
  <c r="FN35" i="25" s="1"/>
  <c r="BO34" i="25"/>
  <c r="ES35" i="25" s="1"/>
  <c r="BX34" i="25"/>
  <c r="BR34" i="25"/>
  <c r="EV35" i="25" s="1"/>
  <c r="CF34" i="25"/>
  <c r="FJ35" i="25" s="1"/>
  <c r="DS34" i="25"/>
  <c r="DC34" i="25"/>
  <c r="ER34" i="25" s="1"/>
  <c r="DV34" i="25"/>
  <c r="FK34" i="25" s="1"/>
  <c r="DF34" i="25"/>
  <c r="EU34" i="25" s="1"/>
  <c r="DP34" i="25"/>
  <c r="FE34" i="25" s="1"/>
  <c r="CW34" i="25"/>
  <c r="EL34" i="25" s="1"/>
  <c r="CV34" i="25"/>
  <c r="EK34" i="25" s="1"/>
  <c r="DD34" i="25"/>
  <c r="ES34" i="25" s="1"/>
  <c r="DB34" i="25"/>
  <c r="DU34" i="25"/>
  <c r="FJ34" i="25" s="1"/>
  <c r="CZ34" i="25"/>
  <c r="EO34" i="25" s="1"/>
  <c r="DQ34" i="25"/>
  <c r="FF34" i="25" s="1"/>
  <c r="CK34" i="25"/>
  <c r="BW34" i="25"/>
  <c r="FA35" i="25" s="1"/>
  <c r="DY34" i="25"/>
  <c r="FN34" i="25" s="1"/>
  <c r="DG34" i="25"/>
  <c r="EV34" i="25" s="1"/>
  <c r="FY34" i="25"/>
  <c r="FZ34" i="25" s="1"/>
  <c r="GA34" i="25" s="1"/>
  <c r="DJ34" i="25"/>
  <c r="EY34" i="25" s="1"/>
  <c r="CT34" i="25"/>
  <c r="EI34" i="25" s="1"/>
  <c r="FW34" i="25" s="1"/>
  <c r="DL34" i="25"/>
  <c r="FA34" i="25" s="1"/>
  <c r="CS34" i="25"/>
  <c r="DI34" i="25"/>
  <c r="EX34" i="25" s="1"/>
  <c r="CC34" i="25"/>
  <c r="FG35" i="25" s="1"/>
  <c r="BM34" i="25"/>
  <c r="EQ35" i="25" s="1"/>
  <c r="CE34" i="25"/>
  <c r="FI35" i="25" s="1"/>
  <c r="BJ34" i="25"/>
  <c r="EN35" i="25" s="1"/>
  <c r="BS34" i="25"/>
  <c r="CH34" i="25"/>
  <c r="BL34" i="25"/>
  <c r="EP35" i="25" s="1"/>
  <c r="BV34" i="25"/>
  <c r="BK34" i="25"/>
  <c r="EO35" i="25" s="1"/>
  <c r="DO34" i="25"/>
  <c r="FD34" i="25" s="1"/>
  <c r="CY34" i="25"/>
  <c r="DR34" i="25"/>
  <c r="FG34" i="25" s="1"/>
  <c r="DH34" i="25"/>
  <c r="DM34" i="25"/>
  <c r="FB34" i="25" s="1"/>
  <c r="DT34" i="25"/>
  <c r="FI34" i="25" s="1"/>
  <c r="BU34" i="25"/>
  <c r="EY35" i="25" s="1"/>
  <c r="CD34" i="25"/>
  <c r="FH35" i="25" s="1"/>
  <c r="BP34" i="25"/>
  <c r="ET35" i="25" s="1"/>
  <c r="BY34" i="25"/>
  <c r="BI34" i="25"/>
  <c r="EM35" i="25" s="1"/>
  <c r="BZ34" i="25"/>
  <c r="CI34" i="25"/>
  <c r="BN34" i="25"/>
  <c r="CB34" i="25"/>
  <c r="BG34" i="25"/>
  <c r="EK35" i="25" s="1"/>
  <c r="CL34" i="25"/>
  <c r="DK34" i="25"/>
  <c r="CU34" i="25"/>
  <c r="EJ34" i="25" s="1"/>
  <c r="DN34" i="25"/>
  <c r="CX34" i="25"/>
  <c r="EM34" i="25" s="1"/>
  <c r="BE34" i="25"/>
  <c r="EI35" i="25" s="1"/>
  <c r="FW35" i="25" s="1"/>
  <c r="BT34" i="25"/>
  <c r="EX35" i="25" s="1"/>
  <c r="BH34" i="25"/>
  <c r="EL35" i="25" s="1"/>
  <c r="CA34" i="25"/>
  <c r="FE35" i="25" s="1"/>
  <c r="DE34" i="25"/>
  <c r="DA34" i="25"/>
  <c r="EP34" i="25" s="1"/>
  <c r="B36" i="31"/>
  <c r="J35" i="31"/>
  <c r="ET34" i="25" l="1"/>
  <c r="EZ34" i="25"/>
  <c r="ER35" i="25"/>
  <c r="FC35" i="25"/>
  <c r="EN34" i="25"/>
  <c r="EQ34" i="25"/>
  <c r="FH34" i="25"/>
  <c r="FB35" i="25"/>
  <c r="FK35" i="25"/>
  <c r="FC34" i="25"/>
  <c r="FD35" i="25"/>
  <c r="EW34" i="25"/>
  <c r="EW35" i="25"/>
  <c r="FF35" i="25"/>
  <c r="EZ35" i="25"/>
  <c r="FB33" i="25"/>
  <c r="FD33" i="25"/>
  <c r="FW32" i="25"/>
  <c r="FH33" i="25"/>
  <c r="EJ33" i="25"/>
  <c r="FC33" i="25"/>
  <c r="EK33" i="25"/>
  <c r="EZ33" i="25"/>
  <c r="ES33" i="25"/>
  <c r="ER33" i="25"/>
  <c r="EW33" i="25"/>
  <c r="EN33" i="25"/>
  <c r="FJ33" i="25"/>
  <c r="FF33" i="25"/>
  <c r="ET33" i="25"/>
  <c r="FO35" i="25"/>
  <c r="FO34" i="25"/>
  <c r="EL33" i="25"/>
  <c r="EQ33" i="25"/>
  <c r="FP34" i="25"/>
  <c r="FP35" i="25"/>
  <c r="FM35" i="25"/>
  <c r="FM34" i="25"/>
  <c r="FL34" i="25"/>
  <c r="FL35" i="25"/>
  <c r="EU33" i="25"/>
  <c r="FA33" i="25"/>
  <c r="FG33" i="25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J191" i="31"/>
  <c r="B193" i="31" l="1"/>
  <c r="J192" i="31"/>
  <c r="B194" i="31" l="1"/>
  <c r="J193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J215" i="31"/>
  <c r="B217" i="31" l="1"/>
  <c r="J216" i="31"/>
  <c r="B218" i="31" l="1"/>
  <c r="J217" i="31"/>
  <c r="B219" i="31" l="1"/>
  <c r="J218" i="31"/>
  <c r="B220" i="31" l="1"/>
  <c r="J219" i="31"/>
  <c r="B221" i="31" l="1"/>
  <c r="J220" i="31"/>
  <c r="B222" i="31" l="1"/>
  <c r="J221" i="31"/>
  <c r="B223" i="31" l="1"/>
  <c r="J222" i="31"/>
  <c r="B224" i="31" l="1"/>
  <c r="J223" i="31"/>
  <c r="B225" i="31" l="1"/>
  <c r="J224" i="31"/>
  <c r="B226" i="31" l="1"/>
  <c r="J225" i="31"/>
  <c r="B227" i="31" l="1"/>
  <c r="J226" i="31"/>
  <c r="B228" i="31" l="1"/>
  <c r="J227" i="31"/>
  <c r="B229" i="31" l="1"/>
  <c r="J228" i="31"/>
  <c r="B230" i="31" l="1"/>
  <c r="J229" i="31"/>
  <c r="B231" i="31" l="1"/>
  <c r="J230" i="31"/>
  <c r="B232" i="31" l="1"/>
  <c r="J231" i="31"/>
  <c r="B233" i="31" l="1"/>
  <c r="J232" i="31"/>
  <c r="B234" i="31" l="1"/>
  <c r="J233" i="31"/>
  <c r="B235" i="31" l="1"/>
  <c r="J234" i="31"/>
  <c r="B236" i="31" l="1"/>
  <c r="J235" i="31"/>
  <c r="B237" i="31" l="1"/>
  <c r="J236" i="31"/>
  <c r="B238" i="31" l="1"/>
  <c r="J237" i="31"/>
  <c r="B239" i="31" l="1"/>
  <c r="J238" i="31"/>
  <c r="B240" i="31" l="1"/>
  <c r="J239" i="31"/>
  <c r="J240" i="31" l="1"/>
  <c r="B241" i="31"/>
  <c r="B242" i="31" l="1"/>
  <c r="J241" i="31"/>
  <c r="B243" i="31" l="1"/>
  <c r="J242" i="31"/>
  <c r="B244" i="31" l="1"/>
  <c r="J243" i="31"/>
  <c r="B245" i="31" l="1"/>
  <c r="J244" i="31"/>
  <c r="B246" i="31" l="1"/>
  <c r="J245" i="31"/>
  <c r="B247" i="31" l="1"/>
  <c r="J246" i="31"/>
  <c r="B248" i="31" l="1"/>
  <c r="J247" i="31"/>
  <c r="B249" i="31" l="1"/>
  <c r="J248" i="31"/>
  <c r="B250" i="31" l="1"/>
  <c r="J249" i="31"/>
  <c r="B251" i="31" l="1"/>
  <c r="J250" i="31"/>
  <c r="B252" i="31" l="1"/>
  <c r="J251" i="31"/>
  <c r="B253" i="31" l="1"/>
  <c r="J252" i="31"/>
  <c r="J253" i="31" l="1"/>
  <c r="B254" i="31"/>
  <c r="J254" i="31" l="1"/>
  <c r="B255" i="31"/>
  <c r="B256" i="31" l="1"/>
  <c r="J255" i="31"/>
  <c r="B257" i="31" l="1"/>
  <c r="J256" i="31"/>
  <c r="J257" i="31" l="1"/>
  <c r="B258" i="31"/>
  <c r="B259" i="31" l="1"/>
  <c r="J258" i="31"/>
  <c r="J259" i="31" l="1"/>
  <c r="B260" i="31"/>
  <c r="J260" i="31" l="1"/>
  <c r="B261" i="31"/>
  <c r="J261" i="31" l="1"/>
  <c r="B262" i="31"/>
  <c r="J262" i="31" l="1"/>
  <c r="B263" i="31"/>
  <c r="B264" i="31" l="1"/>
  <c r="J263" i="31"/>
  <c r="J264" i="31" l="1"/>
  <c r="B265" i="31"/>
  <c r="J265" i="31" l="1"/>
  <c r="B266" i="31"/>
  <c r="B267" i="31" l="1"/>
  <c r="J266" i="31"/>
  <c r="B268" i="31" l="1"/>
  <c r="J267" i="31"/>
  <c r="J268" i="31" l="1"/>
  <c r="B269" i="31"/>
  <c r="J269" i="31" l="1"/>
  <c r="B270" i="31"/>
  <c r="B271" i="31" l="1"/>
  <c r="J270" i="31"/>
  <c r="B272" i="31" l="1"/>
  <c r="J271" i="31"/>
  <c r="B273" i="31" l="1"/>
  <c r="J272" i="31"/>
  <c r="J273" i="31" l="1"/>
  <c r="B274" i="31"/>
  <c r="J274" i="31" l="1"/>
  <c r="B275" i="31"/>
  <c r="J275" i="31" l="1"/>
  <c r="B276" i="31"/>
  <c r="J276" i="31" s="1"/>
  <c r="N39" i="31" l="1"/>
  <c r="N38" i="31"/>
  <c r="M40" i="31"/>
  <c r="M38" i="31"/>
  <c r="O38" i="31"/>
  <c r="M39" i="31"/>
  <c r="O39" i="31"/>
  <c r="M41" i="31"/>
  <c r="N41" i="31"/>
  <c r="O40" i="31"/>
  <c r="N40" i="31"/>
  <c r="O41" i="31"/>
  <c r="R41" i="31" l="1"/>
  <c r="P41" i="31"/>
  <c r="Q41" i="31"/>
  <c r="P38" i="31"/>
  <c r="Q38" i="31"/>
  <c r="R40" i="31"/>
  <c r="P40" i="31"/>
  <c r="Q40" i="31"/>
  <c r="Q39" i="31"/>
  <c r="P39" i="31"/>
  <c r="R38" i="31"/>
  <c r="R39" i="31"/>
  <c r="C13" i="25" l="1"/>
  <c r="K225" i="31" l="1"/>
  <c r="D225" i="31"/>
  <c r="E225" i="31"/>
  <c r="G225" i="31" s="1"/>
  <c r="D223" i="31"/>
  <c r="K223" i="31"/>
  <c r="D231" i="31"/>
  <c r="K231" i="31"/>
  <c r="K195" i="31"/>
  <c r="D195" i="31"/>
  <c r="K167" i="31"/>
  <c r="D167" i="31"/>
  <c r="K189" i="31"/>
  <c r="D189" i="31"/>
  <c r="K186" i="31"/>
  <c r="D186" i="31"/>
  <c r="K177" i="31"/>
  <c r="E177" i="31"/>
  <c r="D177" i="31"/>
  <c r="D220" i="31"/>
  <c r="E220" i="31" s="1"/>
  <c r="G220" i="31" s="1"/>
  <c r="K220" i="31"/>
  <c r="K145" i="31"/>
  <c r="O27" i="31"/>
  <c r="D145" i="31"/>
  <c r="N27" i="31" s="1"/>
  <c r="O26" i="31"/>
  <c r="K133" i="31"/>
  <c r="D133" i="31"/>
  <c r="N26" i="31" s="1"/>
  <c r="K209" i="31"/>
  <c r="D209" i="31"/>
  <c r="K136" i="31"/>
  <c r="D136" i="31"/>
  <c r="K161" i="31"/>
  <c r="D161" i="31"/>
  <c r="K163" i="31"/>
  <c r="D163" i="31"/>
  <c r="K200" i="31"/>
  <c r="D200" i="31"/>
  <c r="K171" i="31"/>
  <c r="D171" i="31"/>
  <c r="D157" i="31"/>
  <c r="N28" i="31" s="1"/>
  <c r="K157" i="31"/>
  <c r="O28" i="31"/>
  <c r="K152" i="31"/>
  <c r="D152" i="31"/>
  <c r="D178" i="31"/>
  <c r="K178" i="31"/>
  <c r="K210" i="31"/>
  <c r="D210" i="31"/>
  <c r="K221" i="31"/>
  <c r="D221" i="31"/>
  <c r="K158" i="31"/>
  <c r="D158" i="31"/>
  <c r="D192" i="31"/>
  <c r="K192" i="31"/>
  <c r="E192" i="31"/>
  <c r="D229" i="31"/>
  <c r="K229" i="31"/>
  <c r="D138" i="31"/>
  <c r="K138" i="31"/>
  <c r="K173" i="31"/>
  <c r="D173" i="31"/>
  <c r="K139" i="31"/>
  <c r="D139" i="31"/>
  <c r="D237" i="31"/>
  <c r="K237" i="31"/>
  <c r="D234" i="31"/>
  <c r="K234" i="31"/>
  <c r="D194" i="31"/>
  <c r="E194" i="31" s="1"/>
  <c r="K194" i="31"/>
  <c r="D150" i="31"/>
  <c r="K150" i="31"/>
  <c r="K199" i="31"/>
  <c r="D199" i="31"/>
  <c r="D227" i="31"/>
  <c r="K227" i="31"/>
  <c r="K154" i="31"/>
  <c r="D154" i="31"/>
  <c r="D191" i="31"/>
  <c r="K191" i="31"/>
  <c r="D218" i="31"/>
  <c r="K218" i="31"/>
  <c r="K233" i="31"/>
  <c r="D233" i="31"/>
  <c r="D174" i="31"/>
  <c r="K174" i="31"/>
  <c r="D176" i="31"/>
  <c r="K176" i="31"/>
  <c r="D140" i="31"/>
  <c r="K140" i="31"/>
  <c r="D197" i="31"/>
  <c r="K197" i="31"/>
  <c r="D185" i="31"/>
  <c r="K185" i="31"/>
  <c r="K214" i="31"/>
  <c r="D214" i="31"/>
  <c r="E214" i="31" s="1"/>
  <c r="G214" i="31" s="1"/>
  <c r="K196" i="31"/>
  <c r="D196" i="31"/>
  <c r="D179" i="31"/>
  <c r="K179" i="31"/>
  <c r="K198" i="31"/>
  <c r="D198" i="31"/>
  <c r="D213" i="31"/>
  <c r="K213" i="31"/>
  <c r="K151" i="31"/>
  <c r="D151" i="31"/>
  <c r="E151" i="31" s="1"/>
  <c r="D228" i="31"/>
  <c r="K228" i="31"/>
  <c r="D204" i="31"/>
  <c r="K204" i="31"/>
  <c r="D155" i="31"/>
  <c r="K155" i="31"/>
  <c r="K149" i="31"/>
  <c r="D149" i="31"/>
  <c r="D146" i="31"/>
  <c r="K146" i="31"/>
  <c r="K206" i="31"/>
  <c r="D206" i="31"/>
  <c r="D172" i="31"/>
  <c r="K172" i="31"/>
  <c r="D211" i="31"/>
  <c r="K211" i="31"/>
  <c r="K166" i="31"/>
  <c r="D166" i="31"/>
  <c r="D239" i="31"/>
  <c r="K239" i="31"/>
  <c r="K212" i="31"/>
  <c r="D212" i="31"/>
  <c r="D219" i="31"/>
  <c r="K219" i="31"/>
  <c r="D142" i="31"/>
  <c r="K142" i="31"/>
  <c r="D217" i="31"/>
  <c r="O33" i="31"/>
  <c r="K217" i="31"/>
  <c r="D238" i="31"/>
  <c r="K238" i="31"/>
  <c r="E182" i="31"/>
  <c r="K182" i="31"/>
  <c r="D182" i="31"/>
  <c r="K183" i="31"/>
  <c r="D183" i="31"/>
  <c r="K137" i="31"/>
  <c r="D137" i="31"/>
  <c r="D165" i="31"/>
  <c r="K165" i="31"/>
  <c r="K240" i="31"/>
  <c r="D240" i="31"/>
  <c r="K168" i="31"/>
  <c r="D168" i="31"/>
  <c r="K181" i="31"/>
  <c r="O30" i="31"/>
  <c r="D181" i="31"/>
  <c r="N30" i="31" s="1"/>
  <c r="D147" i="31"/>
  <c r="K147" i="31"/>
  <c r="D205" i="31"/>
  <c r="K205" i="31"/>
  <c r="O32" i="31"/>
  <c r="K159" i="31"/>
  <c r="D159" i="31"/>
  <c r="D162" i="31"/>
  <c r="K162" i="31"/>
  <c r="D190" i="31"/>
  <c r="K190" i="31"/>
  <c r="K180" i="31"/>
  <c r="D180" i="31"/>
  <c r="K134" i="31"/>
  <c r="D134" i="31"/>
  <c r="E134" i="31"/>
  <c r="D188" i="31"/>
  <c r="K188" i="31"/>
  <c r="K215" i="31"/>
  <c r="D215" i="31"/>
  <c r="K156" i="31"/>
  <c r="D156" i="31"/>
  <c r="D141" i="31"/>
  <c r="K141" i="31"/>
  <c r="K170" i="31"/>
  <c r="D170" i="31"/>
  <c r="D175" i="31"/>
  <c r="K175" i="31"/>
  <c r="K216" i="31"/>
  <c r="D216" i="31"/>
  <c r="K187" i="31"/>
  <c r="D187" i="31"/>
  <c r="K232" i="31"/>
  <c r="D232" i="31"/>
  <c r="D202" i="31"/>
  <c r="K202" i="31"/>
  <c r="D135" i="31"/>
  <c r="K135" i="31"/>
  <c r="D222" i="31"/>
  <c r="E222" i="31"/>
  <c r="G222" i="31" s="1"/>
  <c r="K222" i="31"/>
  <c r="K169" i="31"/>
  <c r="D169" i="31"/>
  <c r="N29" i="31" s="1"/>
  <c r="O29" i="31"/>
  <c r="D208" i="31"/>
  <c r="E208" i="31" s="1"/>
  <c r="G208" i="31" s="1"/>
  <c r="K208" i="31"/>
  <c r="D160" i="31"/>
  <c r="K160" i="31"/>
  <c r="K164" i="31"/>
  <c r="D164" i="31"/>
  <c r="K203" i="31"/>
  <c r="D203" i="31"/>
  <c r="D144" i="31"/>
  <c r="K144" i="31"/>
  <c r="D201" i="31"/>
  <c r="K201" i="31"/>
  <c r="D148" i="31"/>
  <c r="K148" i="31"/>
  <c r="O31" i="31"/>
  <c r="K193" i="31"/>
  <c r="D193" i="31"/>
  <c r="D235" i="31"/>
  <c r="K235" i="31"/>
  <c r="K184" i="31"/>
  <c r="D184" i="31"/>
  <c r="K230" i="31"/>
  <c r="D230" i="31"/>
  <c r="D224" i="31"/>
  <c r="K224" i="31"/>
  <c r="D226" i="31"/>
  <c r="K226" i="31"/>
  <c r="D153" i="31"/>
  <c r="K153" i="31"/>
  <c r="D236" i="31"/>
  <c r="K236" i="31"/>
  <c r="K207" i="31"/>
  <c r="D207" i="31"/>
  <c r="K143" i="31"/>
  <c r="D143" i="31"/>
  <c r="E146" i="31" l="1"/>
  <c r="E198" i="31"/>
  <c r="E210" i="31"/>
  <c r="G210" i="31" s="1"/>
  <c r="E148" i="31"/>
  <c r="E232" i="31"/>
  <c r="G232" i="31" s="1"/>
  <c r="E216" i="31"/>
  <c r="G216" i="31" s="1"/>
  <c r="E170" i="31"/>
  <c r="E147" i="31"/>
  <c r="E168" i="31"/>
  <c r="E165" i="31"/>
  <c r="E149" i="31"/>
  <c r="E227" i="31"/>
  <c r="G227" i="31" s="1"/>
  <c r="E150" i="31"/>
  <c r="E171" i="31"/>
  <c r="E153" i="31"/>
  <c r="E207" i="31"/>
  <c r="G207" i="31" s="1"/>
  <c r="E226" i="31"/>
  <c r="G226" i="31" s="1"/>
  <c r="E224" i="31"/>
  <c r="G224" i="31" s="1"/>
  <c r="E201" i="31"/>
  <c r="E156" i="31"/>
  <c r="E188" i="31"/>
  <c r="E183" i="31"/>
  <c r="E138" i="31"/>
  <c r="E167" i="31"/>
  <c r="N31" i="31"/>
  <c r="E164" i="31"/>
  <c r="E160" i="31"/>
  <c r="E190" i="31"/>
  <c r="E162" i="31"/>
  <c r="E240" i="31"/>
  <c r="G240" i="31" s="1"/>
  <c r="E137" i="31"/>
  <c r="E166" i="31"/>
  <c r="E228" i="31"/>
  <c r="G228" i="31" s="1"/>
  <c r="E218" i="31"/>
  <c r="G218" i="31" s="1"/>
  <c r="E191" i="31"/>
  <c r="E173" i="31"/>
  <c r="E200" i="31"/>
  <c r="E212" i="31"/>
  <c r="G212" i="31" s="1"/>
  <c r="E206" i="31"/>
  <c r="G206" i="31" s="1"/>
  <c r="E139" i="31"/>
  <c r="E158" i="31"/>
  <c r="E152" i="31"/>
  <c r="E230" i="31"/>
  <c r="G230" i="31" s="1"/>
  <c r="K247" i="31"/>
  <c r="C247" i="31" s="1"/>
  <c r="M31" i="31"/>
  <c r="E193" i="31"/>
  <c r="R29" i="31"/>
  <c r="K244" i="31"/>
  <c r="C244" i="31" s="1"/>
  <c r="E205" i="31"/>
  <c r="G205" i="31" s="1"/>
  <c r="M32" i="31"/>
  <c r="E181" i="31"/>
  <c r="M30" i="31"/>
  <c r="G165" i="31"/>
  <c r="G183" i="31"/>
  <c r="G182" i="31"/>
  <c r="K250" i="31"/>
  <c r="C250" i="31" s="1"/>
  <c r="N33" i="31"/>
  <c r="G151" i="31"/>
  <c r="G198" i="31"/>
  <c r="G194" i="31"/>
  <c r="K249" i="31"/>
  <c r="C249" i="31" s="1"/>
  <c r="G139" i="31"/>
  <c r="G192" i="31"/>
  <c r="R28" i="31"/>
  <c r="G171" i="31"/>
  <c r="M26" i="31"/>
  <c r="E133" i="31"/>
  <c r="G177" i="31"/>
  <c r="G167" i="31"/>
  <c r="E236" i="31"/>
  <c r="G236" i="31" s="1"/>
  <c r="E184" i="31"/>
  <c r="E235" i="31"/>
  <c r="G235" i="31" s="1"/>
  <c r="G148" i="31"/>
  <c r="M29" i="31"/>
  <c r="E169" i="31"/>
  <c r="E135" i="31"/>
  <c r="E202" i="31"/>
  <c r="G134" i="31"/>
  <c r="G190" i="31"/>
  <c r="G147" i="31"/>
  <c r="R30" i="31"/>
  <c r="K251" i="31"/>
  <c r="C251" i="31" s="1"/>
  <c r="E211" i="31"/>
  <c r="G211" i="31" s="1"/>
  <c r="K245" i="31"/>
  <c r="C245" i="31" s="1"/>
  <c r="E154" i="31"/>
  <c r="K246" i="31"/>
  <c r="C246" i="31" s="1"/>
  <c r="E237" i="31"/>
  <c r="G237" i="31" s="1"/>
  <c r="E157" i="31"/>
  <c r="M28" i="31"/>
  <c r="E143" i="31"/>
  <c r="K242" i="31"/>
  <c r="C242" i="31" s="1"/>
  <c r="E144" i="31"/>
  <c r="E203" i="31"/>
  <c r="E141" i="31"/>
  <c r="E215" i="31"/>
  <c r="G215" i="31" s="1"/>
  <c r="E180" i="31"/>
  <c r="E238" i="31"/>
  <c r="G238" i="31" s="1"/>
  <c r="E217" i="31"/>
  <c r="G217" i="31" s="1"/>
  <c r="M33" i="31"/>
  <c r="E155" i="31"/>
  <c r="E185" i="31"/>
  <c r="E197" i="31"/>
  <c r="E199" i="31"/>
  <c r="G150" i="31"/>
  <c r="E234" i="31"/>
  <c r="G234" i="31" s="1"/>
  <c r="E229" i="31"/>
  <c r="G229" i="31" s="1"/>
  <c r="M34" i="31"/>
  <c r="E178" i="31"/>
  <c r="G152" i="31"/>
  <c r="R26" i="31"/>
  <c r="E145" i="31"/>
  <c r="M27" i="31"/>
  <c r="K243" i="31"/>
  <c r="C243" i="31" s="1"/>
  <c r="K248" i="31"/>
  <c r="C248" i="31" s="1"/>
  <c r="E187" i="31"/>
  <c r="E175" i="31"/>
  <c r="E159" i="31"/>
  <c r="N32" i="31"/>
  <c r="G168" i="31"/>
  <c r="K252" i="31"/>
  <c r="C252" i="31" s="1"/>
  <c r="E142" i="31"/>
  <c r="E219" i="31"/>
  <c r="G219" i="31" s="1"/>
  <c r="E239" i="31"/>
  <c r="G239" i="31" s="1"/>
  <c r="E172" i="31"/>
  <c r="E204" i="31"/>
  <c r="G204" i="31" s="1"/>
  <c r="E213" i="31"/>
  <c r="G213" i="31" s="1"/>
  <c r="E179" i="31"/>
  <c r="E196" i="31"/>
  <c r="E140" i="31"/>
  <c r="E176" i="31"/>
  <c r="E174" i="31"/>
  <c r="E233" i="31"/>
  <c r="G233" i="31" s="1"/>
  <c r="O34" i="31"/>
  <c r="K241" i="31"/>
  <c r="C241" i="31" s="1"/>
  <c r="D241" i="31"/>
  <c r="O35" i="31"/>
  <c r="E221" i="31"/>
  <c r="G221" i="31" s="1"/>
  <c r="E163" i="31"/>
  <c r="E161" i="31"/>
  <c r="E136" i="31"/>
  <c r="E209" i="31"/>
  <c r="G209" i="31" s="1"/>
  <c r="R27" i="31"/>
  <c r="E186" i="31"/>
  <c r="E189" i="31"/>
  <c r="E195" i="31"/>
  <c r="E231" i="31"/>
  <c r="G231" i="31" s="1"/>
  <c r="E223" i="31"/>
  <c r="G223" i="31" s="1"/>
  <c r="R31" i="31" l="1"/>
  <c r="G188" i="31"/>
  <c r="G173" i="31"/>
  <c r="G166" i="31"/>
  <c r="G146" i="31"/>
  <c r="G156" i="31"/>
  <c r="G162" i="31"/>
  <c r="G200" i="31"/>
  <c r="G164" i="31"/>
  <c r="G191" i="31"/>
  <c r="G160" i="31"/>
  <c r="G158" i="31"/>
  <c r="G153" i="31"/>
  <c r="G170" i="31"/>
  <c r="G138" i="31"/>
  <c r="G149" i="31"/>
  <c r="G137" i="31"/>
  <c r="G201" i="31"/>
  <c r="G136" i="31"/>
  <c r="G189" i="31"/>
  <c r="E241" i="31"/>
  <c r="G241" i="31" s="1"/>
  <c r="M35" i="31"/>
  <c r="G176" i="31"/>
  <c r="G172" i="31"/>
  <c r="K264" i="31"/>
  <c r="C264" i="31" s="1"/>
  <c r="G159" i="31"/>
  <c r="K260" i="31"/>
  <c r="C260" i="31" s="1"/>
  <c r="G145" i="31"/>
  <c r="G141" i="31"/>
  <c r="K257" i="31"/>
  <c r="C257" i="31" s="1"/>
  <c r="G135" i="31"/>
  <c r="G184" i="31"/>
  <c r="G133" i="31"/>
  <c r="K262" i="31"/>
  <c r="C262" i="31" s="1"/>
  <c r="K256" i="31"/>
  <c r="C256" i="31" s="1"/>
  <c r="G193" i="31"/>
  <c r="K259" i="31"/>
  <c r="C259" i="31" s="1"/>
  <c r="D253" i="31"/>
  <c r="K253" i="31"/>
  <c r="C253" i="31" s="1"/>
  <c r="O36" i="31"/>
  <c r="G140" i="31"/>
  <c r="G142" i="31"/>
  <c r="G175" i="31"/>
  <c r="G178" i="31"/>
  <c r="Q33" i="31"/>
  <c r="P33" i="31"/>
  <c r="G203" i="31"/>
  <c r="D255" i="31"/>
  <c r="K254" i="31"/>
  <c r="C254" i="31" s="1"/>
  <c r="D254" i="31"/>
  <c r="Q28" i="31"/>
  <c r="P28" i="31"/>
  <c r="G154" i="31"/>
  <c r="G169" i="31"/>
  <c r="P26" i="31"/>
  <c r="Q26" i="31"/>
  <c r="R33" i="31"/>
  <c r="P30" i="31"/>
  <c r="Q30" i="31"/>
  <c r="P31" i="31"/>
  <c r="Q31" i="31"/>
  <c r="G161" i="31"/>
  <c r="G196" i="31"/>
  <c r="D252" i="31"/>
  <c r="E252" i="31" s="1"/>
  <c r="G252" i="31" s="1"/>
  <c r="G187" i="31"/>
  <c r="D243" i="31"/>
  <c r="E243" i="31" s="1"/>
  <c r="G243" i="31" s="1"/>
  <c r="Q34" i="31"/>
  <c r="G197" i="31"/>
  <c r="G155" i="31"/>
  <c r="G180" i="31"/>
  <c r="G144" i="31"/>
  <c r="G143" i="31"/>
  <c r="G157" i="31"/>
  <c r="D246" i="31"/>
  <c r="E246" i="31" s="1"/>
  <c r="G246" i="31" s="1"/>
  <c r="D245" i="31"/>
  <c r="E245" i="31" s="1"/>
  <c r="G245" i="31" s="1"/>
  <c r="D251" i="31"/>
  <c r="E251" i="31" s="1"/>
  <c r="G251" i="31" s="1"/>
  <c r="Q29" i="31"/>
  <c r="P29" i="31"/>
  <c r="D249" i="31"/>
  <c r="E249" i="31" s="1"/>
  <c r="G249" i="31" s="1"/>
  <c r="D250" i="31"/>
  <c r="E250" i="31" s="1"/>
  <c r="G250" i="31" s="1"/>
  <c r="G181" i="31"/>
  <c r="D247" i="31"/>
  <c r="E247" i="31" s="1"/>
  <c r="G247" i="31" s="1"/>
  <c r="G186" i="31"/>
  <c r="G195" i="31"/>
  <c r="G163" i="31"/>
  <c r="N34" i="31"/>
  <c r="G174" i="31"/>
  <c r="G179" i="31"/>
  <c r="R32" i="31"/>
  <c r="D248" i="31"/>
  <c r="E248" i="31" s="1"/>
  <c r="G248" i="31" s="1"/>
  <c r="K255" i="31"/>
  <c r="C255" i="31" s="1"/>
  <c r="D258" i="31"/>
  <c r="P27" i="31"/>
  <c r="Q27" i="31"/>
  <c r="G199" i="31"/>
  <c r="G185" i="31"/>
  <c r="D242" i="31"/>
  <c r="E242" i="31" s="1"/>
  <c r="G242" i="31" s="1"/>
  <c r="K258" i="31"/>
  <c r="C258" i="31" s="1"/>
  <c r="D261" i="31"/>
  <c r="K263" i="31"/>
  <c r="C263" i="31" s="1"/>
  <c r="G202" i="31"/>
  <c r="K261" i="31"/>
  <c r="C261" i="31" s="1"/>
  <c r="P32" i="31"/>
  <c r="Q32" i="31"/>
  <c r="D244" i="31"/>
  <c r="E244" i="31" s="1"/>
  <c r="G244" i="31" s="1"/>
  <c r="E254" i="31" l="1"/>
  <c r="G254" i="31" s="1"/>
  <c r="N35" i="31"/>
  <c r="P34" i="31"/>
  <c r="E258" i="31"/>
  <c r="G258" i="31" s="1"/>
  <c r="E261" i="31"/>
  <c r="G261" i="31" s="1"/>
  <c r="D262" i="31"/>
  <c r="E262" i="31" s="1"/>
  <c r="G262" i="31" s="1"/>
  <c r="D275" i="31"/>
  <c r="K275" i="31"/>
  <c r="C275" i="31" s="1"/>
  <c r="K267" i="31"/>
  <c r="C267" i="31" s="1"/>
  <c r="D267" i="31"/>
  <c r="K265" i="31"/>
  <c r="C265" i="31" s="1"/>
  <c r="D265" i="31"/>
  <c r="O37" i="31"/>
  <c r="D257" i="31"/>
  <c r="E257" i="31" s="1"/>
  <c r="G257" i="31" s="1"/>
  <c r="D268" i="31"/>
  <c r="K268" i="31"/>
  <c r="C268" i="31" s="1"/>
  <c r="K272" i="31"/>
  <c r="C272" i="31" s="1"/>
  <c r="D272" i="31"/>
  <c r="D276" i="31"/>
  <c r="K276" i="31"/>
  <c r="C276" i="31" s="1"/>
  <c r="D269" i="31"/>
  <c r="K269" i="31"/>
  <c r="C269" i="31" s="1"/>
  <c r="R34" i="31"/>
  <c r="K266" i="31"/>
  <c r="C266" i="31" s="1"/>
  <c r="D266" i="31"/>
  <c r="D259" i="31"/>
  <c r="E259" i="31" s="1"/>
  <c r="G259" i="31" s="1"/>
  <c r="D256" i="31"/>
  <c r="E256" i="31" s="1"/>
  <c r="G256" i="31" s="1"/>
  <c r="D260" i="31"/>
  <c r="E260" i="31" s="1"/>
  <c r="G260" i="31" s="1"/>
  <c r="Q35" i="31"/>
  <c r="K273" i="31"/>
  <c r="C273" i="31" s="1"/>
  <c r="D273" i="31"/>
  <c r="D263" i="31"/>
  <c r="E263" i="31" s="1"/>
  <c r="G263" i="31" s="1"/>
  <c r="D270" i="31"/>
  <c r="K270" i="31"/>
  <c r="C270" i="31" s="1"/>
  <c r="E255" i="31"/>
  <c r="G255" i="31" s="1"/>
  <c r="E253" i="31"/>
  <c r="G253" i="31" s="1"/>
  <c r="M36" i="31"/>
  <c r="D271" i="31"/>
  <c r="K271" i="31"/>
  <c r="C271" i="31" s="1"/>
  <c r="K274" i="31"/>
  <c r="C274" i="31" s="1"/>
  <c r="D274" i="31"/>
  <c r="D264" i="31"/>
  <c r="E264" i="31" s="1"/>
  <c r="G264" i="31" s="1"/>
  <c r="R35" i="31" l="1"/>
  <c r="E270" i="31"/>
  <c r="G270" i="31" s="1"/>
  <c r="E273" i="31"/>
  <c r="G273" i="31" s="1"/>
  <c r="E272" i="31"/>
  <c r="G272" i="31" s="1"/>
  <c r="P35" i="31"/>
  <c r="E276" i="31"/>
  <c r="G276" i="31" s="1"/>
  <c r="E268" i="31"/>
  <c r="G268" i="31" s="1"/>
  <c r="E275" i="31"/>
  <c r="G275" i="31" s="1"/>
  <c r="Q36" i="31"/>
  <c r="E266" i="31"/>
  <c r="G266" i="31" s="1"/>
  <c r="E265" i="31"/>
  <c r="G265" i="31" s="1"/>
  <c r="M37" i="31"/>
  <c r="E274" i="31"/>
  <c r="G274" i="31" s="1"/>
  <c r="E271" i="31"/>
  <c r="G271" i="31" s="1"/>
  <c r="E269" i="31"/>
  <c r="G269" i="31" s="1"/>
  <c r="E267" i="31"/>
  <c r="G267" i="31" s="1"/>
  <c r="N36" i="31"/>
  <c r="N37" i="31"/>
  <c r="R37" i="31" l="1"/>
  <c r="P37" i="31"/>
  <c r="Q37" i="31"/>
  <c r="R36" i="31"/>
  <c r="P36" i="31"/>
  <c r="F9" i="31"/>
  <c r="D62" i="31" l="1"/>
  <c r="K62" i="31"/>
  <c r="D116" i="31"/>
  <c r="K116" i="31"/>
  <c r="K31" i="31"/>
  <c r="D31" i="31"/>
  <c r="K18" i="31"/>
  <c r="D18" i="31"/>
  <c r="K107" i="31"/>
  <c r="D107" i="31"/>
  <c r="E107" i="31"/>
  <c r="K24" i="31"/>
  <c r="D24" i="31"/>
  <c r="K19" i="31"/>
  <c r="D19" i="31"/>
  <c r="D14" i="31"/>
  <c r="K14" i="31"/>
  <c r="K27" i="31"/>
  <c r="D27" i="31"/>
  <c r="K47" i="31"/>
  <c r="D47" i="31"/>
  <c r="K126" i="31"/>
  <c r="D126" i="31"/>
  <c r="E126" i="31" s="1"/>
  <c r="D118" i="31"/>
  <c r="K118" i="31"/>
  <c r="O25" i="31"/>
  <c r="D121" i="31"/>
  <c r="K121" i="31"/>
  <c r="K130" i="31"/>
  <c r="D130" i="31"/>
  <c r="D58" i="31"/>
  <c r="K58" i="31"/>
  <c r="K50" i="31"/>
  <c r="D50" i="31"/>
  <c r="D89" i="31"/>
  <c r="K89" i="31"/>
  <c r="K79" i="31"/>
  <c r="D79" i="31"/>
  <c r="K75" i="31"/>
  <c r="D75" i="31"/>
  <c r="O22" i="31"/>
  <c r="D85" i="31"/>
  <c r="K85" i="31"/>
  <c r="D42" i="31"/>
  <c r="K42" i="31"/>
  <c r="D99" i="31"/>
  <c r="K99" i="31"/>
  <c r="D15" i="31"/>
  <c r="K15" i="31"/>
  <c r="K68" i="31"/>
  <c r="D68" i="31"/>
  <c r="K92" i="31"/>
  <c r="D92" i="31"/>
  <c r="K21" i="31"/>
  <c r="D21" i="31"/>
  <c r="D17" i="31"/>
  <c r="K17" i="31"/>
  <c r="K84" i="31"/>
  <c r="D84" i="31"/>
  <c r="K55" i="31"/>
  <c r="D55" i="31"/>
  <c r="D127" i="31"/>
  <c r="K127" i="31"/>
  <c r="D39" i="31"/>
  <c r="K39" i="31"/>
  <c r="D32" i="31"/>
  <c r="K32" i="31"/>
  <c r="K22" i="31"/>
  <c r="D22" i="31"/>
  <c r="D80" i="31"/>
  <c r="K80" i="31"/>
  <c r="K90" i="31"/>
  <c r="D90" i="31"/>
  <c r="D33" i="31"/>
  <c r="K33" i="31"/>
  <c r="D93" i="31"/>
  <c r="K93" i="31"/>
  <c r="K104" i="31"/>
  <c r="D104" i="31"/>
  <c r="K112" i="31"/>
  <c r="D112" i="31"/>
  <c r="K20" i="31"/>
  <c r="D20" i="31"/>
  <c r="K53" i="31"/>
  <c r="D53" i="31"/>
  <c r="K49" i="31"/>
  <c r="O19" i="31"/>
  <c r="D49" i="31"/>
  <c r="O24" i="31"/>
  <c r="D109" i="31"/>
  <c r="K109" i="31"/>
  <c r="D105" i="31"/>
  <c r="K105" i="31"/>
  <c r="K98" i="31"/>
  <c r="D98" i="31"/>
  <c r="K86" i="31"/>
  <c r="D86" i="31"/>
  <c r="K26" i="31"/>
  <c r="D26" i="31"/>
  <c r="D91" i="31"/>
  <c r="K91" i="31"/>
  <c r="D34" i="31"/>
  <c r="K34" i="31"/>
  <c r="K63" i="31"/>
  <c r="D63" i="31"/>
  <c r="O21" i="31"/>
  <c r="D73" i="31"/>
  <c r="K73" i="31"/>
  <c r="D67" i="31"/>
  <c r="K67" i="31"/>
  <c r="K108" i="31"/>
  <c r="D108" i="31"/>
  <c r="K81" i="31"/>
  <c r="D81" i="31"/>
  <c r="K115" i="31"/>
  <c r="D115" i="31"/>
  <c r="K83" i="31"/>
  <c r="D83" i="31"/>
  <c r="K113" i="31"/>
  <c r="D113" i="31"/>
  <c r="K101" i="31"/>
  <c r="D101" i="31"/>
  <c r="D117" i="31"/>
  <c r="K117" i="31"/>
  <c r="D64" i="31"/>
  <c r="K64" i="31"/>
  <c r="K114" i="31"/>
  <c r="D114" i="31"/>
  <c r="K43" i="31"/>
  <c r="D43" i="31"/>
  <c r="K23" i="31"/>
  <c r="D23" i="31"/>
  <c r="K125" i="31"/>
  <c r="D125" i="31"/>
  <c r="D46" i="31"/>
  <c r="K46" i="31"/>
  <c r="K77" i="31"/>
  <c r="D77" i="31"/>
  <c r="D102" i="31"/>
  <c r="K102" i="31"/>
  <c r="K52" i="31"/>
  <c r="D52" i="31"/>
  <c r="D128" i="31"/>
  <c r="K128" i="31"/>
  <c r="K129" i="31"/>
  <c r="D129" i="31"/>
  <c r="D94" i="31"/>
  <c r="K94" i="31"/>
  <c r="K82" i="31"/>
  <c r="D82" i="31"/>
  <c r="K95" i="31"/>
  <c r="D95" i="31"/>
  <c r="D57" i="31"/>
  <c r="K57" i="31"/>
  <c r="D72" i="31"/>
  <c r="K72" i="31"/>
  <c r="D25" i="31"/>
  <c r="K25" i="31"/>
  <c r="D12" i="31"/>
  <c r="G12" i="31" s="1"/>
  <c r="O17" i="31"/>
  <c r="D28" i="31"/>
  <c r="K28" i="31"/>
  <c r="D87" i="31"/>
  <c r="K87" i="31"/>
  <c r="K132" i="31"/>
  <c r="D132" i="31"/>
  <c r="K30" i="31"/>
  <c r="D30" i="31"/>
  <c r="K65" i="31"/>
  <c r="D65" i="31"/>
  <c r="K119" i="31"/>
  <c r="D119" i="31"/>
  <c r="D59" i="31"/>
  <c r="K59" i="31"/>
  <c r="D76" i="31"/>
  <c r="K76" i="31"/>
  <c r="K100" i="31"/>
  <c r="D100" i="31"/>
  <c r="K97" i="31"/>
  <c r="D97" i="31"/>
  <c r="O23" i="31"/>
  <c r="K29" i="31"/>
  <c r="D29" i="31"/>
  <c r="K120" i="31"/>
  <c r="D120" i="31"/>
  <c r="D16" i="31"/>
  <c r="K16" i="31"/>
  <c r="K96" i="31"/>
  <c r="D96" i="31"/>
  <c r="K88" i="31"/>
  <c r="D88" i="31"/>
  <c r="K56" i="31"/>
  <c r="D56" i="31"/>
  <c r="D44" i="31"/>
  <c r="K44" i="31"/>
  <c r="K106" i="31"/>
  <c r="D106" i="31"/>
  <c r="D70" i="31"/>
  <c r="K70" i="31"/>
  <c r="D41" i="31"/>
  <c r="K41" i="31"/>
  <c r="D103" i="31"/>
  <c r="K103" i="31"/>
  <c r="K122" i="31"/>
  <c r="D122" i="31"/>
  <c r="K71" i="31"/>
  <c r="D71" i="31"/>
  <c r="K111" i="31"/>
  <c r="D111" i="31"/>
  <c r="D54" i="31"/>
  <c r="K54" i="31"/>
  <c r="D38" i="31"/>
  <c r="K38" i="31"/>
  <c r="D48" i="31"/>
  <c r="K48" i="31"/>
  <c r="K124" i="31"/>
  <c r="D124" i="31"/>
  <c r="D45" i="31"/>
  <c r="K45" i="31"/>
  <c r="O16" i="31"/>
  <c r="D13" i="31"/>
  <c r="K13" i="31"/>
  <c r="D35" i="31"/>
  <c r="K35" i="31"/>
  <c r="D110" i="31"/>
  <c r="K110" i="31"/>
  <c r="K131" i="31"/>
  <c r="D131" i="31"/>
  <c r="K61" i="31"/>
  <c r="O20" i="31"/>
  <c r="D61" i="31"/>
  <c r="D74" i="31"/>
  <c r="K74" i="31"/>
  <c r="D37" i="31"/>
  <c r="O18" i="31"/>
  <c r="K37" i="31"/>
  <c r="K36" i="31"/>
  <c r="D36" i="31"/>
  <c r="K78" i="31"/>
  <c r="D78" i="31"/>
  <c r="K40" i="31"/>
  <c r="D40" i="31"/>
  <c r="K69" i="31"/>
  <c r="D69" i="31"/>
  <c r="K60" i="31"/>
  <c r="D60" i="31"/>
  <c r="D51" i="31"/>
  <c r="K51" i="31"/>
  <c r="K66" i="31"/>
  <c r="D66" i="31"/>
  <c r="K123" i="31"/>
  <c r="D123" i="31"/>
  <c r="D9" i="31"/>
  <c r="E83" i="31" l="1"/>
  <c r="E130" i="31"/>
  <c r="E41" i="31"/>
  <c r="G41" i="31" s="1"/>
  <c r="E45" i="31"/>
  <c r="G45" i="31" s="1"/>
  <c r="E40" i="31"/>
  <c r="E71" i="31"/>
  <c r="E80" i="31"/>
  <c r="G80" i="31" s="1"/>
  <c r="G83" i="31"/>
  <c r="E53" i="31"/>
  <c r="E104" i="31"/>
  <c r="G107" i="31"/>
  <c r="E62" i="31"/>
  <c r="N18" i="31"/>
  <c r="E35" i="31"/>
  <c r="G130" i="31"/>
  <c r="E78" i="31"/>
  <c r="G126" i="31"/>
  <c r="E54" i="31"/>
  <c r="E103" i="31"/>
  <c r="E44" i="31"/>
  <c r="E116" i="31"/>
  <c r="N20" i="31"/>
  <c r="E70" i="31"/>
  <c r="E57" i="31"/>
  <c r="E52" i="31"/>
  <c r="E58" i="31"/>
  <c r="E69" i="31"/>
  <c r="E48" i="31"/>
  <c r="E128" i="31"/>
  <c r="E43" i="31"/>
  <c r="E101" i="31"/>
  <c r="E81" i="31"/>
  <c r="E63" i="31"/>
  <c r="E93" i="31"/>
  <c r="E99" i="31"/>
  <c r="E50" i="31"/>
  <c r="E27" i="31"/>
  <c r="E123" i="31"/>
  <c r="E66" i="31"/>
  <c r="E36" i="31"/>
  <c r="E100" i="31"/>
  <c r="E30" i="31"/>
  <c r="E28" i="31"/>
  <c r="E82" i="31"/>
  <c r="E114" i="31"/>
  <c r="E64" i="31"/>
  <c r="E113" i="31"/>
  <c r="E34" i="31"/>
  <c r="E86" i="31"/>
  <c r="E39" i="31"/>
  <c r="E127" i="31"/>
  <c r="E79" i="31"/>
  <c r="M20" i="31"/>
  <c r="E61" i="31"/>
  <c r="E33" i="31"/>
  <c r="E89" i="31"/>
  <c r="E121" i="31"/>
  <c r="M25" i="31"/>
  <c r="E74" i="31"/>
  <c r="K5" i="31"/>
  <c r="K4" i="31"/>
  <c r="E111" i="31"/>
  <c r="E106" i="31"/>
  <c r="E56" i="31"/>
  <c r="E88" i="31"/>
  <c r="E96" i="31"/>
  <c r="E120" i="31"/>
  <c r="M23" i="31"/>
  <c r="E97" i="31"/>
  <c r="N17" i="31"/>
  <c r="E72" i="31"/>
  <c r="E95" i="31"/>
  <c r="E94" i="31"/>
  <c r="E108" i="31"/>
  <c r="M21" i="31"/>
  <c r="E73" i="31"/>
  <c r="M24" i="31"/>
  <c r="E109" i="31"/>
  <c r="E118" i="31"/>
  <c r="E60" i="31"/>
  <c r="E131" i="31"/>
  <c r="E110" i="31"/>
  <c r="N16" i="31"/>
  <c r="E124" i="31"/>
  <c r="E38" i="31"/>
  <c r="E122" i="31"/>
  <c r="E29" i="31"/>
  <c r="N23" i="31"/>
  <c r="E76" i="31"/>
  <c r="E59" i="31"/>
  <c r="E119" i="31"/>
  <c r="E65" i="31"/>
  <c r="E132" i="31"/>
  <c r="E87" i="31"/>
  <c r="E77" i="31"/>
  <c r="E125" i="31"/>
  <c r="E117" i="31"/>
  <c r="E115" i="31"/>
  <c r="E67" i="31"/>
  <c r="N21" i="31"/>
  <c r="E91" i="31"/>
  <c r="E105" i="31"/>
  <c r="M19" i="31"/>
  <c r="E49" i="31"/>
  <c r="E32" i="31"/>
  <c r="E84" i="31"/>
  <c r="E68" i="31"/>
  <c r="E42" i="31"/>
  <c r="N22" i="31"/>
  <c r="E75" i="31"/>
  <c r="E51" i="31"/>
  <c r="E37" i="31"/>
  <c r="M18" i="31"/>
  <c r="E25" i="31"/>
  <c r="M17" i="31"/>
  <c r="E129" i="31"/>
  <c r="E102" i="31"/>
  <c r="E46" i="31"/>
  <c r="E26" i="31"/>
  <c r="E98" i="31"/>
  <c r="N24" i="31"/>
  <c r="N19" i="31"/>
  <c r="E112" i="31"/>
  <c r="E90" i="31"/>
  <c r="E55" i="31"/>
  <c r="E92" i="31"/>
  <c r="E85" i="31"/>
  <c r="M22" i="31"/>
  <c r="N25" i="31"/>
  <c r="E47" i="31"/>
  <c r="E31" i="31"/>
  <c r="G40" i="31" l="1"/>
  <c r="R18" i="31"/>
  <c r="G71" i="31"/>
  <c r="G47" i="31"/>
  <c r="G92" i="31"/>
  <c r="R19" i="31"/>
  <c r="G46" i="31"/>
  <c r="G25" i="31"/>
  <c r="G75" i="31"/>
  <c r="G84" i="31"/>
  <c r="G105" i="31"/>
  <c r="G115" i="31"/>
  <c r="G87" i="31"/>
  <c r="G59" i="31"/>
  <c r="G122" i="31"/>
  <c r="G110" i="31"/>
  <c r="G109" i="31"/>
  <c r="G108" i="31"/>
  <c r="R17" i="31"/>
  <c r="G96" i="31"/>
  <c r="G111" i="31"/>
  <c r="G33" i="31"/>
  <c r="G127" i="31"/>
  <c r="G113" i="31"/>
  <c r="G28" i="31"/>
  <c r="G66" i="31"/>
  <c r="G99" i="31"/>
  <c r="G101" i="31"/>
  <c r="G69" i="31"/>
  <c r="G70" i="31"/>
  <c r="G103" i="31"/>
  <c r="R25" i="31"/>
  <c r="G55" i="31"/>
  <c r="R24" i="31"/>
  <c r="G102" i="31"/>
  <c r="R22" i="31"/>
  <c r="G32" i="31"/>
  <c r="G91" i="31"/>
  <c r="G117" i="31"/>
  <c r="G132" i="31"/>
  <c r="G76" i="31"/>
  <c r="G38" i="31"/>
  <c r="G131" i="31"/>
  <c r="G94" i="31"/>
  <c r="G97" i="31"/>
  <c r="G88" i="31"/>
  <c r="G61" i="31"/>
  <c r="G39" i="31"/>
  <c r="G64" i="31"/>
  <c r="G30" i="31"/>
  <c r="G123" i="31"/>
  <c r="G93" i="31"/>
  <c r="G43" i="31"/>
  <c r="G58" i="31"/>
  <c r="R20" i="31"/>
  <c r="G54" i="31"/>
  <c r="G62" i="31"/>
  <c r="G90" i="31"/>
  <c r="G98" i="31"/>
  <c r="G129" i="31"/>
  <c r="G37" i="31"/>
  <c r="G42" i="31"/>
  <c r="G49" i="31"/>
  <c r="R21" i="31"/>
  <c r="G125" i="31"/>
  <c r="G65" i="31"/>
  <c r="R23" i="31"/>
  <c r="G124" i="31"/>
  <c r="G60" i="31"/>
  <c r="G73" i="31"/>
  <c r="G95" i="31"/>
  <c r="G56" i="31"/>
  <c r="G121" i="31"/>
  <c r="G86" i="31"/>
  <c r="G114" i="31"/>
  <c r="G100" i="31"/>
  <c r="G27" i="31"/>
  <c r="G63" i="31"/>
  <c r="G128" i="31"/>
  <c r="G52" i="31"/>
  <c r="G116" i="31"/>
  <c r="G78" i="31"/>
  <c r="G104" i="31"/>
  <c r="G31" i="31"/>
  <c r="G85" i="31"/>
  <c r="G112" i="31"/>
  <c r="G26" i="31"/>
  <c r="G51" i="31"/>
  <c r="G68" i="31"/>
  <c r="G67" i="31"/>
  <c r="G77" i="31"/>
  <c r="G119" i="31"/>
  <c r="G29" i="31"/>
  <c r="R16" i="31"/>
  <c r="G118" i="31"/>
  <c r="G72" i="31"/>
  <c r="G120" i="31"/>
  <c r="G106" i="31"/>
  <c r="G74" i="31"/>
  <c r="G89" i="31"/>
  <c r="G79" i="31"/>
  <c r="G34" i="31"/>
  <c r="G82" i="31"/>
  <c r="G36" i="31"/>
  <c r="G50" i="31"/>
  <c r="G81" i="31"/>
  <c r="G48" i="31"/>
  <c r="G57" i="31"/>
  <c r="G44" i="31"/>
  <c r="G35" i="31"/>
  <c r="G53" i="31"/>
  <c r="P18" i="31"/>
  <c r="Q18" i="31"/>
  <c r="P24" i="31"/>
  <c r="Q24" i="31"/>
  <c r="Q25" i="31"/>
  <c r="P25" i="31"/>
  <c r="P22" i="31"/>
  <c r="Q22" i="31"/>
  <c r="P23" i="31"/>
  <c r="Q23" i="31"/>
  <c r="K3" i="25"/>
  <c r="K6" i="31"/>
  <c r="M7" i="31"/>
  <c r="Q20" i="31"/>
  <c r="P20" i="31"/>
  <c r="P17" i="31"/>
  <c r="Q17" i="31"/>
  <c r="Q19" i="31"/>
  <c r="P19" i="31"/>
  <c r="P21" i="31"/>
  <c r="Q21" i="31"/>
  <c r="B5" i="31" l="1"/>
  <c r="G9" i="25"/>
  <c r="C53" i="25"/>
  <c r="C57" i="25"/>
  <c r="B5" i="25"/>
  <c r="C49" i="25"/>
  <c r="B5" i="28" l="1"/>
  <c r="B5" i="66"/>
  <c r="B4" i="31"/>
  <c r="E24" i="31" l="1"/>
  <c r="E15" i="31"/>
  <c r="E19" i="31"/>
  <c r="E17" i="31"/>
  <c r="E20" i="31"/>
  <c r="E16" i="31"/>
  <c r="E14" i="31"/>
  <c r="G20" i="31" l="1"/>
  <c r="G14" i="31"/>
  <c r="G15" i="31"/>
  <c r="G24" i="31"/>
  <c r="G16" i="31"/>
  <c r="G17" i="31"/>
  <c r="G19" i="31"/>
  <c r="E21" i="31"/>
  <c r="E23" i="31"/>
  <c r="E22" i="31"/>
  <c r="E18" i="31"/>
  <c r="G22" i="31" l="1"/>
  <c r="G23" i="31"/>
  <c r="G18" i="31"/>
  <c r="G21" i="31"/>
  <c r="E13" i="25"/>
  <c r="C9" i="31"/>
  <c r="E50" i="25" l="1"/>
  <c r="G9" i="31"/>
  <c r="G50" i="25" s="1"/>
  <c r="E13" i="31"/>
  <c r="M16" i="31"/>
  <c r="E9" i="31"/>
  <c r="G13" i="25"/>
  <c r="I75" i="25" l="1"/>
  <c r="P16" i="31"/>
  <c r="Q16" i="31"/>
  <c r="G13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PacifiCorp</author>
  </authors>
  <commentList>
    <comment ref="H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tc={12D35165-2D7C-4565-8519-F1162AE82D3B}</author>
  </authors>
  <commentList>
    <comment ref="R16" authorId="0" shapeId="0" xr:uid="{12D35165-2D7C-4565-8519-F1162AE82D3B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Dan M. Difference is Demolitiobn cost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tc={47CE663A-330D-47C8-A968-5A13FACBDECA}</author>
  </authors>
  <commentList>
    <comment ref="R16" authorId="0" shapeId="0" xr:uid="{47CE663A-330D-47C8-A968-5A13FACBDECA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Dan M. Difference is Demolitiobn cost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tc={4A29A7C5-2193-4D57-9C4D-7E781C5E7C59}</author>
  </authors>
  <commentList>
    <comment ref="R16" authorId="0" shapeId="0" xr:uid="{4A29A7C5-2193-4D57-9C4D-7E781C5E7C59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Dan M. Difference is Demolitiobn cost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tc={708B2112-D520-4B0E-B9F6-87296AA30D3F}</author>
  </authors>
  <commentList>
    <comment ref="R16" authorId="0" shapeId="0" xr:uid="{708B2112-D520-4B0E-B9F6-87296AA30D3F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Dan M. Difference is Demolitiobn cost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tc={8C2A8BAE-1B6E-40AE-82BD-418822DE3211}</author>
  </authors>
  <commentList>
    <comment ref="R16" authorId="0" shapeId="0" xr:uid="{8C2A8BAE-1B6E-40AE-82BD-418822DE3211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Dan M. Difference is Demolitiobn cost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tc={7B5627F7-7D61-44A4-85B2-60418A3A1A4D}</author>
  </authors>
  <commentList>
    <comment ref="R16" authorId="0" shapeId="0" xr:uid="{7B5627F7-7D61-44A4-85B2-60418A3A1A4D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Dan M. Difference is Demolitiobn cost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tc={09C40EDE-2176-4824-A1E3-01F8C1162906}</author>
  </authors>
  <commentList>
    <comment ref="R16" authorId="0" shapeId="0" xr:uid="{09C40EDE-2176-4824-A1E3-01F8C1162906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Dan M. Difference is Demolitiobn cost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tc={59F5654A-454B-4EE1-8707-170539A87DAB}</author>
  </authors>
  <commentList>
    <comment ref="R16" authorId="0" shapeId="0" xr:uid="{59F5654A-454B-4EE1-8707-170539A87DAB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Dan M. Difference is Demolitiobn cost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tc={543C050C-AFA8-476B-963E-53CF2F382991}</author>
  </authors>
  <commentList>
    <comment ref="R16" authorId="0" shapeId="0" xr:uid="{543C050C-AFA8-476B-963E-53CF2F382991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Dan M. Difference is Demolitiobn cost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tc={837C5913-CAFB-4ECA-B61E-169DFE26A27B}</author>
  </authors>
  <commentList>
    <comment ref="R16" authorId="0" shapeId="0" xr:uid="{837C5913-CAFB-4ECA-B61E-169DFE26A27B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Dan M. Difference is Demolitiobn cost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tc={CABA1068-BB15-48BB-90B6-2E7D4DE6290D}</author>
  </authors>
  <commentList>
    <comment ref="R16" authorId="0" shapeId="0" xr:uid="{CABA1068-BB15-48BB-90B6-2E7D4DE6290D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Dan M. Difference is Demolitiobn cost</t>
      </text>
    </comment>
  </commentList>
</comments>
</file>

<file path=xl/sharedStrings.xml><?xml version="1.0" encoding="utf-8"?>
<sst xmlns="http://schemas.openxmlformats.org/spreadsheetml/2006/main" count="6007" uniqueCount="546">
  <si>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</si>
  <si>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</si>
  <si>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</si>
  <si>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</si>
  <si>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</si>
  <si>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</si>
  <si>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</si>
  <si>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</si>
  <si>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</si>
  <si>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</si>
  <si>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</si>
  <si>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</si>
  <si>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</si>
  <si>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</si>
  <si>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</si>
  <si>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</si>
  <si>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</si>
  <si>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</si>
  <si>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</si>
  <si>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</si>
  <si>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</si>
  <si>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</si>
  <si>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</si>
  <si>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</si>
  <si>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</si>
  <si>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</si>
  <si>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</si>
  <si>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</si>
  <si>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</si>
  <si>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</si>
  <si>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</si>
  <si>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</si>
  <si>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</si>
  <si>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</si>
  <si>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</si>
  <si>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</si>
  <si>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</si>
  <si>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</si>
  <si>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</si>
  <si>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</si>
  <si>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</si>
  <si>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</si>
  <si>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</si>
  <si>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</si>
  <si>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</si>
  <si>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</si>
  <si>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</si>
  <si>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</si>
  <si>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</si>
  <si>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</si>
  <si>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</si>
  <si>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</si>
  <si>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</si>
  <si>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</si>
  <si>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</si>
  <si>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</si>
  <si>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</si>
  <si>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</si>
  <si>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</si>
  <si>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</si>
  <si>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</si>
  <si>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</si>
  <si>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</si>
  <si>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</si>
  <si>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</si>
  <si>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</si>
  <si>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</si>
  <si>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</si>
  <si>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</si>
  <si>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</si>
  <si>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</si>
  <si>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</si>
  <si>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</si>
  <si>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</si>
  <si>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</si>
  <si>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</si>
  <si>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</si>
  <si>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</si>
  <si>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</si>
  <si>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</si>
  <si>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</si>
  <si>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</si>
  <si>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</si>
  <si>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</si>
  <si>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</si>
  <si>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</si>
  <si>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</si>
  <si>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</si>
  <si>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</si>
  <si>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</si>
  <si>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</si>
  <si>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</si>
  <si>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</si>
  <si>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</si>
  <si>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</si>
  <si>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</si>
  <si>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</si>
  <si>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</si>
  <si>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</si>
  <si>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</si>
  <si>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</si>
  <si>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Resource Fixed Costs</t>
  </si>
  <si>
    <t>Total Resource Energy Cost</t>
  </si>
  <si>
    <t>$/MMBtu</t>
  </si>
  <si>
    <t>Percent</t>
  </si>
  <si>
    <t>Cap Cost</t>
  </si>
  <si>
    <t>Capacity Weighted</t>
  </si>
  <si>
    <t>aMW</t>
  </si>
  <si>
    <t>Variable</t>
  </si>
  <si>
    <t>Heat Rate</t>
  </si>
  <si>
    <t>Energy Weighted</t>
  </si>
  <si>
    <t>Rounded</t>
  </si>
  <si>
    <t>SCCT</t>
  </si>
  <si>
    <t xml:space="preserve">  MW Plant Capacity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</si>
  <si>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</si>
  <si>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</si>
  <si>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</si>
  <si>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</si>
  <si>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</si>
  <si>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</si>
  <si>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</si>
  <si>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</si>
  <si>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</si>
  <si>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</si>
  <si>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</si>
  <si>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</si>
  <si>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</si>
  <si>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</si>
  <si>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</si>
  <si>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</si>
  <si>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</si>
  <si>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</si>
  <si>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</si>
  <si>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</si>
  <si>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</si>
  <si>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</si>
  <si>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Retail Revenue Requirement
($/kW-year, 2033$)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</si>
  <si>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</si>
  <si>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</si>
  <si>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</si>
  <si>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</si>
  <si>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</si>
  <si>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Retail Revenue Requirement
($/kW-year, 2025$)</t>
  </si>
  <si>
    <t>Retail Revenue Requirement
($/kW-year, 2032$)</t>
  </si>
  <si>
    <t>B2H Borah - to - Hemingway, Expansion</t>
  </si>
  <si>
    <t>Retail Revenue Requirement
($/kW-year, 2026$)</t>
  </si>
  <si>
    <t>Retail Revenue Requirement
($/kW-year, 2028$)</t>
  </si>
  <si>
    <t>(j)</t>
  </si>
  <si>
    <t>15 Year Starting 2025</t>
  </si>
  <si>
    <t>15 Year Starting 2024</t>
  </si>
  <si>
    <t>Retail Revenue Requirement
($/kW-year, 2029$)</t>
  </si>
  <si>
    <t>15 Year</t>
  </si>
  <si>
    <t>2022 $</t>
  </si>
  <si>
    <t>Collection</t>
  </si>
  <si>
    <t>Parent Object</t>
  </si>
  <si>
    <t>Child Object</t>
  </si>
  <si>
    <t>Property</t>
  </si>
  <si>
    <t>Value</t>
  </si>
  <si>
    <t>Data File</t>
  </si>
  <si>
    <t>Units</t>
  </si>
  <si>
    <t>Band</t>
  </si>
  <si>
    <t>Date From</t>
  </si>
  <si>
    <t>Date To</t>
  </si>
  <si>
    <t>Timeslice</t>
  </si>
  <si>
    <t>Action</t>
  </si>
  <si>
    <t>Expression</t>
  </si>
  <si>
    <t>Scenario</t>
  </si>
  <si>
    <t>Memo</t>
  </si>
  <si>
    <t>Category</t>
  </si>
  <si>
    <t>Variables</t>
  </si>
  <si>
    <t>System</t>
  </si>
  <si>
    <t>Inflation</t>
  </si>
  <si>
    <t>Profile</t>
  </si>
  <si>
    <t>-</t>
  </si>
  <si>
    <t>=</t>
  </si>
  <si>
    <t>2023 IRP Inflation 2022$ (2.27%)</t>
  </si>
  <si>
    <t>Parent Name</t>
  </si>
  <si>
    <t>Child Name</t>
  </si>
  <si>
    <t>Fiscal Year</t>
  </si>
  <si>
    <t>Generation (GWh)</t>
  </si>
  <si>
    <t>Sales</t>
  </si>
  <si>
    <t>Purchases</t>
  </si>
  <si>
    <t>Fuel Cost ($000)</t>
  </si>
  <si>
    <t>VO&amp;M Cost ($000)</t>
  </si>
  <si>
    <t>UoS Cost ($000)</t>
  </si>
  <si>
    <t>FO&amp;M Cost ($000)</t>
  </si>
  <si>
    <t>Max Capacity (MW)</t>
  </si>
  <si>
    <t>Installed Capacity (MW)</t>
  </si>
  <si>
    <t>Units Built</t>
  </si>
  <si>
    <t>Units Retired</t>
  </si>
  <si>
    <t>Capacity Built (MW)</t>
  </si>
  <si>
    <t>Build Cost ($000)</t>
  </si>
  <si>
    <t>Retirement Cost ($000)</t>
  </si>
  <si>
    <t>Retired</t>
  </si>
  <si>
    <t>Colstrip 3 Retire</t>
  </si>
  <si>
    <t>Zone</t>
  </si>
  <si>
    <t>State</t>
  </si>
  <si>
    <t>Coal Plant</t>
  </si>
  <si>
    <t>Portfolio Name</t>
  </si>
  <si>
    <t>Portfolio Category</t>
  </si>
  <si>
    <t>Type</t>
  </si>
  <si>
    <t>Portfolio Summary</t>
  </si>
  <si>
    <t>Existing, Proxy,
 Sale, Purch</t>
  </si>
  <si>
    <t>Type_Abv</t>
  </si>
  <si>
    <t>Tax/Other</t>
  </si>
  <si>
    <t>LCOE Bundle</t>
  </si>
  <si>
    <t>NCOC Bundle</t>
  </si>
  <si>
    <t>CCUS/GC</t>
  </si>
  <si>
    <t>CCUS/GC Year</t>
  </si>
  <si>
    <t>Installed or Purchase</t>
  </si>
  <si>
    <t>EE 1st Year Gen</t>
  </si>
  <si>
    <t>Nuclear/Hydro Storage Year</t>
  </si>
  <si>
    <t>StateName</t>
  </si>
  <si>
    <t>ResourceMixChart1</t>
  </si>
  <si>
    <t>ResourceMixChart2</t>
  </si>
  <si>
    <t>Generator</t>
  </si>
  <si>
    <t>PV_.PX.UTS._.SER.PV</t>
  </si>
  <si>
    <t>New Solar, Solar + Storage</t>
  </si>
  <si>
    <t>East</t>
  </si>
  <si>
    <t>UT</t>
  </si>
  <si>
    <t/>
  </si>
  <si>
    <t>Utility Solar - PV -  Utah South</t>
  </si>
  <si>
    <t>Expansion Resources</t>
  </si>
  <si>
    <t>Solar</t>
  </si>
  <si>
    <t>Renewable - Utility Solar</t>
  </si>
  <si>
    <t>PX</t>
  </si>
  <si>
    <t>PV_</t>
  </si>
  <si>
    <t>SER</t>
  </si>
  <si>
    <t>Utah</t>
  </si>
  <si>
    <t>Renewable *</t>
  </si>
  <si>
    <t>Z:\Avoided Cost - 2023\09 - IRP2023 - UT - 2023 May\Data\2023 Preferred Portfolio\2023IRP DB\104.4\Current Data files\Solar Shapes\[ShapesHr_Proxy_UT_Solar_21IRP.csv</t>
  </si>
  <si>
    <t>Plant Costs  - 2023 IRP - Table 7.1 &amp; 7.2</t>
  </si>
  <si>
    <t>SSR Table 7</t>
  </si>
  <si>
    <t>PVS.PX.UTS._.SER.PV</t>
  </si>
  <si>
    <t>PVS Solar - Utah South</t>
  </si>
  <si>
    <t>PVS</t>
  </si>
  <si>
    <t>Solar+Storage</t>
  </si>
  <si>
    <t>Renewable + Storage</t>
  </si>
  <si>
    <t>Plexos Inputs_extracted</t>
  </si>
  <si>
    <t>Battery</t>
  </si>
  <si>
    <t>PVS.PX.UTS._.SER.BAT</t>
  </si>
  <si>
    <t>New PVS Batteries</t>
  </si>
  <si>
    <t>PVS Battery - Utah South</t>
  </si>
  <si>
    <t>Battery - PVS</t>
  </si>
  <si>
    <t>Renewable - Battery</t>
  </si>
  <si>
    <t>Battery (PV)</t>
  </si>
  <si>
    <t>2023 IRP Update</t>
  </si>
  <si>
    <t>FOM</t>
  </si>
  <si>
    <t>PVS.PX.UWY._.SER.PV</t>
  </si>
  <si>
    <t>PVS Solar - Utah North - WY</t>
  </si>
  <si>
    <t>PVS.PX.UWY._.SER.BAT</t>
  </si>
  <si>
    <t>PVS Battery - Utah North - WY</t>
  </si>
  <si>
    <t>PVS.PX.WYE._.SER.BAT</t>
  </si>
  <si>
    <t>WY</t>
  </si>
  <si>
    <t>PVS Battery - Wyoming East</t>
  </si>
  <si>
    <t>Wyoming</t>
  </si>
  <si>
    <t>PVS.PX.WYE._.SER.PV</t>
  </si>
  <si>
    <t>PVS Solar - Wyoming East</t>
  </si>
  <si>
    <t>PVS.PX.BOR._.2C5.PV</t>
  </si>
  <si>
    <t>ID</t>
  </si>
  <si>
    <t>PVS Solar -  BorahPop</t>
  </si>
  <si>
    <t>2C5</t>
  </si>
  <si>
    <t>Idaho</t>
  </si>
  <si>
    <t>PVS.PX.BOR._.2C5.BAT</t>
  </si>
  <si>
    <t>PVS Battery -  BorahPop</t>
  </si>
  <si>
    <t>Build Cost +</t>
  </si>
  <si>
    <t>PVS.PX.CLV.1.TC4.PV</t>
  </si>
  <si>
    <t>PVS Solar - Clover</t>
  </si>
  <si>
    <t>TC4</t>
  </si>
  <si>
    <t>PVS.PX.CLV.1.TC4.BAT</t>
  </si>
  <si>
    <t>PVS Battery - Clover</t>
  </si>
  <si>
    <t>23IRPPVESC</t>
  </si>
  <si>
    <t>23IRPBATESC</t>
  </si>
  <si>
    <t>PV</t>
  </si>
  <si>
    <t>Bat</t>
  </si>
  <si>
    <t>Diff_Plexos vs SSR</t>
  </si>
  <si>
    <t>Diff Plexos Inputs vs LTReport</t>
  </si>
  <si>
    <t>Build Cost</t>
  </si>
  <si>
    <t>Is the difference due to Battery FOM granularity adjustments?</t>
  </si>
  <si>
    <t>Discount Rate - 2023 IRP</t>
  </si>
  <si>
    <t>100% PTC</t>
  </si>
  <si>
    <t>BAT.PX.UTN._.ITC.Lithium-ion</t>
  </si>
  <si>
    <t>New Stand Alone</t>
  </si>
  <si>
    <t>Battery Storage - Utah-N</t>
  </si>
  <si>
    <t>Storage</t>
  </si>
  <si>
    <t>BAT</t>
  </si>
  <si>
    <t>ITC</t>
  </si>
  <si>
    <t>PVS.PX.COR._.TC8.PV</t>
  </si>
  <si>
    <t>West</t>
  </si>
  <si>
    <t>OR</t>
  </si>
  <si>
    <t>PVS Solar - Central OR</t>
  </si>
  <si>
    <t>TC8</t>
  </si>
  <si>
    <t>Oregon</t>
  </si>
  <si>
    <t>PVS.PX.COR._.TC8.BAT</t>
  </si>
  <si>
    <t>PVS Battery - Central OR</t>
  </si>
  <si>
    <t>PVS.PX.WMV._.223.PV</t>
  </si>
  <si>
    <t>PVS Solar - Willamette Valley</t>
  </si>
  <si>
    <t>223</t>
  </si>
  <si>
    <t>PVS.PX.WMV._.223.BAT</t>
  </si>
  <si>
    <t>PVS Battery - Willamette Valley</t>
  </si>
  <si>
    <t>\\pacificorp.us\dfs\PDXCO\CT\Shared\Trading\Structuring &amp; Pricing\QFs\Avoided Cost - 2023\09 - IRP2023 - UT - 2023 May\Data\2023 Preferred Portfolio\Copy of LT_13338_23I.LT.RP.20.PA1_.EP.MM.PP-D3 29  v109.9.xlsb</t>
  </si>
  <si>
    <t>PVS.PX.YAK._.110.BAT</t>
  </si>
  <si>
    <t>WA</t>
  </si>
  <si>
    <t>PVS Battery - Yakima</t>
  </si>
  <si>
    <t>110</t>
  </si>
  <si>
    <t>Washington</t>
  </si>
  <si>
    <t>PVS.PX.YAK._.110.PV</t>
  </si>
  <si>
    <t>PVS Solar - Yakima</t>
  </si>
  <si>
    <t>PVS.PX.WWA._.215.PV</t>
  </si>
  <si>
    <t>PVS Solar - Walla Walla</t>
  </si>
  <si>
    <t>215</t>
  </si>
  <si>
    <t>PVS.PX.WWA._.215.BAT</t>
  </si>
  <si>
    <t>PVS Battery -Walla Walla</t>
  </si>
  <si>
    <t>WD_.PX.WWA._.215.WD</t>
  </si>
  <si>
    <t>New Wind, Wind + Storage</t>
  </si>
  <si>
    <t xml:space="preserve"> Wind - WD - Walla Walla WA</t>
  </si>
  <si>
    <t>Renewable - Wind</t>
  </si>
  <si>
    <t>WD_</t>
  </si>
  <si>
    <t>PTC</t>
  </si>
  <si>
    <t>23IRPWDESC</t>
  </si>
  <si>
    <t>WD_.PX.BOR._.PTC.WD</t>
  </si>
  <si>
    <t xml:space="preserve"> Wind - WD - BorahPop</t>
  </si>
  <si>
    <t>WD_.PX.BDG._.PTC.Bridger.WD</t>
  </si>
  <si>
    <t xml:space="preserve"> Wind - WD - Bridger</t>
  </si>
  <si>
    <t>WD_.PX.WYE._.PTC.WD</t>
  </si>
  <si>
    <t xml:space="preserve"> Wind - WD - Wyoming East</t>
  </si>
  <si>
    <t>WD_.PX.WYE.1.A01.WD</t>
  </si>
  <si>
    <t>A01</t>
  </si>
  <si>
    <t>WD_.PX.UWY._.SER.WD</t>
  </si>
  <si>
    <t xml:space="preserve"> Wind - WD - Utah North - WY</t>
  </si>
  <si>
    <t>BAT.PX.BOR._.ITC.Lithium-ion</t>
  </si>
  <si>
    <t>Battery Storage, BorahPop</t>
  </si>
  <si>
    <t>BAT.PX.WYE._.ITC.DJ+Wyodak</t>
  </si>
  <si>
    <t>Battery Storage - DJ+Wyodak</t>
  </si>
  <si>
    <t>BAT.PX.BPA._.221.Lithium-Ion</t>
  </si>
  <si>
    <t>Battery Storage - BPA NITS</t>
  </si>
  <si>
    <t>221</t>
  </si>
  <si>
    <t>BAT.PX.WWA._.215.Lithium-ion</t>
  </si>
  <si>
    <t>Battery Storage - Walla Walla</t>
  </si>
  <si>
    <t>XSC.PX.UTN._.ITC.Non-E</t>
  </si>
  <si>
    <t>New Non-emitting Peaking</t>
  </si>
  <si>
    <t xml:space="preserve">NonEmitting Peaker - Utah North </t>
  </si>
  <si>
    <t>NonEmitting Peaker</t>
  </si>
  <si>
    <t>XSC</t>
  </si>
  <si>
    <t>Non-Emitting Peaker</t>
  </si>
  <si>
    <t>110% PTC</t>
  </si>
  <si>
    <t>INC Wyoming East &gt; Clover (GWS) 2025</t>
  </si>
  <si>
    <t>INC B2H Borah &gt; Hemingway 2026</t>
  </si>
  <si>
    <t>INC D3 Wyoming East &gt; Bridger 2029</t>
  </si>
  <si>
    <t>2023 IRP Transmission Costs</t>
  </si>
  <si>
    <t>INC D3 Bridger &gt; BorahPop 2028</t>
  </si>
  <si>
    <t>INC D2-2 Wyoming East &gt; Bridger 2029</t>
  </si>
  <si>
    <t>INC Walla Walla - WA &gt; Yakima 2025</t>
  </si>
  <si>
    <t>INC B2H Walla Walla - WA &gt; Borah 2026</t>
  </si>
  <si>
    <t>INC Southern Oregon &gt; Central Oregon 2033_C_</t>
  </si>
  <si>
    <t>CON Borah &gt; TxCON 2026</t>
  </si>
  <si>
    <t>CON BPA NITS &gt; TxCON 2026</t>
  </si>
  <si>
    <t>CON Central Oregon&gt;TxCon 2026</t>
  </si>
  <si>
    <t>CON Clover &gt; TxCON 2026</t>
  </si>
  <si>
    <t>CON Path C &gt; TxCon 2024</t>
  </si>
  <si>
    <t>CON Portland North Coast &gt; TxCON 2026</t>
  </si>
  <si>
    <t>CON Utah North &gt; TxCON 2029</t>
  </si>
  <si>
    <t>Retail Revenue Requirement
($/kW-year, 2030$)</t>
  </si>
  <si>
    <t>CON Willamette Valley &gt; TxCON 2025</t>
  </si>
  <si>
    <t>CON Walla Walla &gt; TxCON 2027</t>
  </si>
  <si>
    <t>Retail Revenue Requirement
($/kW-year, 2027$)</t>
  </si>
  <si>
    <t>CON Willamette Valley &gt; TxCON 2026 223</t>
  </si>
  <si>
    <t>CON Yakima &gt; TxCON 2024</t>
  </si>
  <si>
    <t>CON Yakima &gt; TxCON 2026</t>
  </si>
  <si>
    <t>CON Yakima &gt; TxCON 2027b</t>
  </si>
  <si>
    <t>CON Yakima &gt; TxCON 2027a</t>
  </si>
  <si>
    <t>INC B2H Hemingway&gt;Longhorn - 2026</t>
  </si>
  <si>
    <t>INC B2H Longhorn&gt;McNary - 2026</t>
  </si>
  <si>
    <t>INC Walla Walla - WA &gt; Willamette Valley 2037</t>
  </si>
  <si>
    <t>Retail Revenue Requirement
($/kW-year, 2037$)</t>
  </si>
  <si>
    <t>PV_.PX.BOR._.PTC.PV</t>
  </si>
  <si>
    <t>Utility Solar - PV - BorahPop</t>
  </si>
  <si>
    <t>PV_.PX.UTS._.PTC.Hunter.PV</t>
  </si>
  <si>
    <t>Utility Solar - PV - Hunter</t>
  </si>
  <si>
    <t>PV_.PX.UTS._.PTC.Huntington.PV</t>
  </si>
  <si>
    <t>Utility Solar - PV - Huntington</t>
  </si>
  <si>
    <t>WD_.PX.WYE._.SER.WD</t>
  </si>
  <si>
    <t>PLEXOS using PV ESC !!!!</t>
  </si>
  <si>
    <t>PLEXOS using PV ESC Instead of WIND Esc!!!!</t>
  </si>
  <si>
    <t>WIND</t>
  </si>
  <si>
    <t>Solar wB</t>
  </si>
  <si>
    <t>Solar wB-BAT</t>
  </si>
  <si>
    <t>Solar wB-SOL</t>
  </si>
  <si>
    <t>StdBAT</t>
  </si>
  <si>
    <t>PVS.PX.GOE.1.A43.PV</t>
  </si>
  <si>
    <t>PVS Solar - Goshen</t>
  </si>
  <si>
    <t>A43</t>
  </si>
  <si>
    <t>PVS.PX.GOE.1.A43.BAT</t>
  </si>
  <si>
    <t>PVS Battery - Goshen</t>
  </si>
  <si>
    <t>Solar Sorted by Deferral Order</t>
  </si>
  <si>
    <t>Wind Sorted by Deferral Order</t>
  </si>
  <si>
    <t>PVS.PX.UWY._.SER.PV Plus Bat</t>
  </si>
  <si>
    <t>PVS.PX.WYE._.SER.PV Plus Bat</t>
  </si>
  <si>
    <t>PVS.PX.CLV.1.TC4.PV Plus Bat</t>
  </si>
  <si>
    <t>PVS.PX.COR._.TC8.PV Plus Bat</t>
  </si>
  <si>
    <t>PVS.PX.BOR._.2C5.PV Plus Bat</t>
  </si>
  <si>
    <t>PVS.PX.WMV._.223.PV Plus Bat</t>
  </si>
  <si>
    <t>PVS.PX.YAK._.110.PV Plus Bat</t>
  </si>
  <si>
    <t>PVS.PX.WWA._.215.PV Plus Bat</t>
  </si>
  <si>
    <t>PVS.PX.GOE.1.A43.PV Plus Bat</t>
  </si>
  <si>
    <t>STD Bat Sorted by Deferral Order</t>
  </si>
  <si>
    <t xml:space="preserve">2023 IRP Non Emitting Utah Peaker Resource Costs </t>
  </si>
  <si>
    <t>First Year Fixed Capital Cost at Real Levelized Rate</t>
  </si>
  <si>
    <t>Fixed Capital Cost Stream From Start Year</t>
  </si>
  <si>
    <t>Fixed O&amp;M + Pipeline</t>
  </si>
  <si>
    <t>2022$</t>
  </si>
  <si>
    <t>Source: (a)(d)(e)(h)</t>
  </si>
  <si>
    <t>Plant Costs  - 2023 IRP</t>
  </si>
  <si>
    <t>First year real levelized costs w/ then-current ITC</t>
  </si>
  <si>
    <t>Hydrogen Gas Price Forecast (Sept 2022 MM)</t>
  </si>
  <si>
    <t>Non Emitting - 303 MW- East Side Resource (5,050')</t>
  </si>
  <si>
    <t>Statistics</t>
  </si>
  <si>
    <t>SCCT Frame "J" X1, Natural Gas</t>
  </si>
  <si>
    <t xml:space="preserve">  Plant Capacity Cost ($/kW)</t>
  </si>
  <si>
    <t xml:space="preserve">  Fixed O&amp;M &amp; Capitalized O&amp;M ($/kW-Yr)</t>
  </si>
  <si>
    <t xml:space="preserve">  Fixed Pipeline ($/kW-Yr)</t>
  </si>
  <si>
    <t>$/MMBTU-Day</t>
  </si>
  <si>
    <t>Questar North</t>
  </si>
  <si>
    <t>H2 Pipeline Multiplier</t>
  </si>
  <si>
    <t>Assumed ITC</t>
  </si>
  <si>
    <t xml:space="preserve">  Real Payment Factor (by ITC)</t>
  </si>
  <si>
    <t>Clover 2029</t>
  </si>
  <si>
    <t>DO NOT DEFER IN GRID</t>
  </si>
  <si>
    <t>PV_.PX.UWY._.SER.PV</t>
  </si>
  <si>
    <t>Utility Solar - PV - Utah North - WY</t>
  </si>
  <si>
    <t>CON Goshen &gt; TxCon 2027</t>
  </si>
  <si>
    <t>CON Utah North &gt; TxCON 2031</t>
  </si>
  <si>
    <t>PVS.PX.UTS._.SER.PV Plus Bat</t>
  </si>
  <si>
    <t>PV_.PX.BDG._.PTC.Jim Bridger.PV</t>
  </si>
  <si>
    <t>Utility Solar - PV - Bridger</t>
  </si>
  <si>
    <t>PV_.PX.UTN._.PTC.PV</t>
  </si>
  <si>
    <t>Utility Solar - PV - Utah North</t>
  </si>
  <si>
    <t>PVS.PX.WMV._.222.PV</t>
  </si>
  <si>
    <t>222</t>
  </si>
  <si>
    <t>PVS.PX.WMV._.222.BAT</t>
  </si>
  <si>
    <t>PVS.PX.WMV._.222.PV Plus Bat</t>
  </si>
  <si>
    <t>WD_.PX.PNC._.PTC.WD</t>
  </si>
  <si>
    <t xml:space="preserve"> Wind - WD - Portland North Coast</t>
  </si>
  <si>
    <t>WD_.PX.SOR._.PTC.WD</t>
  </si>
  <si>
    <t xml:space="preserve"> Wind - WD - Southern OR</t>
  </si>
  <si>
    <t>WD_.PX.YAK._.PTC.WD</t>
  </si>
  <si>
    <t xml:space="preserve"> Wind - WD - Yakima</t>
  </si>
  <si>
    <t>WD_.PX.WWA._.PTC.WD</t>
  </si>
  <si>
    <t>WD_.PX.WYE._.PTC.Djohns.WD</t>
  </si>
  <si>
    <t>INC Southern Oregon &gt; Central Oregon 2028_C_</t>
  </si>
  <si>
    <t>INC Walla Walla - WA &gt; Yakima 2030</t>
  </si>
  <si>
    <t>CC</t>
  </si>
  <si>
    <t>WD_.PX.WYN._.PTC.WD</t>
  </si>
  <si>
    <t>INC D2_3 Wyoming East &gt; Bridger 2033</t>
  </si>
  <si>
    <t>INC GWS2 Wyoming East &gt; Clover 2033</t>
  </si>
  <si>
    <t xml:space="preserve"> Wind - WD - Wyoming North</t>
  </si>
  <si>
    <t>2021 IRP Appendix K</t>
  </si>
  <si>
    <t>Table K.2 – Final CF Method Capacity Contribution Values for Solar Combined with Storage</t>
  </si>
  <si>
    <t>Capacity Factor (%)</t>
  </si>
  <si>
    <t>Capacity Contribution (%)</t>
  </si>
  <si>
    <t>Summer/Winter:</t>
  </si>
  <si>
    <t>Annual</t>
  </si>
  <si>
    <t>S</t>
  </si>
  <si>
    <t>W</t>
  </si>
  <si>
    <t>Solar &amp; Storage</t>
  </si>
  <si>
    <t>Idaho Falls, ID</t>
  </si>
  <si>
    <t>Solar_IRP_ID_ST</t>
  </si>
  <si>
    <t>Lakeview, OR</t>
  </si>
  <si>
    <t>Solar_IRP_OR_ST</t>
  </si>
  <si>
    <t>Milford, UT</t>
  </si>
  <si>
    <t>Solar_IRP_UT_ST</t>
  </si>
  <si>
    <t>Yakima, WA</t>
  </si>
  <si>
    <t>Solar_IRP_YK_ST</t>
  </si>
  <si>
    <t>Rock Springs, WY</t>
  </si>
  <si>
    <t>Solar_IRP_WY_ST</t>
  </si>
  <si>
    <t>Wind &amp; Storage</t>
  </si>
  <si>
    <t>Pocatello, ID</t>
  </si>
  <si>
    <t>Wind_Goshen_W2</t>
  </si>
  <si>
    <t>Arlington, OR</t>
  </si>
  <si>
    <t>Wind_I_OR</t>
  </si>
  <si>
    <t>Monticello, UT</t>
  </si>
  <si>
    <t>Wind_I_UT</t>
  </si>
  <si>
    <t>Goldendale, WA</t>
  </si>
  <si>
    <t>Wind_I_WA</t>
  </si>
  <si>
    <t>Medicine Bow, WY</t>
  </si>
  <si>
    <t>Wind_I_WYAE</t>
  </si>
  <si>
    <t>Table K.1 – Final CF Method Capacity Contribution Values for Wind, Solar, and Storage</t>
  </si>
  <si>
    <t>Stand-alone Storage</t>
  </si>
  <si>
    <t>2 hour duration</t>
  </si>
  <si>
    <t>4 hour duration</t>
  </si>
  <si>
    <t>9 hour duration</t>
  </si>
  <si>
    <t>IDWwB</t>
  </si>
  <si>
    <t>ORWwB</t>
  </si>
  <si>
    <t>UTWwB</t>
  </si>
  <si>
    <t>WAWwB</t>
  </si>
  <si>
    <t>WYWwB</t>
  </si>
  <si>
    <t>WASTwB</t>
  </si>
  <si>
    <t>ORSTwB</t>
  </si>
  <si>
    <t>IDSTwB</t>
  </si>
  <si>
    <t>WYSTwB</t>
  </si>
  <si>
    <t>UTSTwB</t>
  </si>
  <si>
    <t>IDST</t>
  </si>
  <si>
    <t>ORST</t>
  </si>
  <si>
    <t>UTST</t>
  </si>
  <si>
    <t>WYST</t>
  </si>
  <si>
    <t>WAST</t>
  </si>
  <si>
    <t>$/kW-yr_CC_Adj</t>
  </si>
  <si>
    <t>VO&amp;M chck</t>
  </si>
  <si>
    <t>`</t>
  </si>
  <si>
    <t>23IRP_WD_.PX.WYE._.PTC.WD</t>
  </si>
  <si>
    <t>23IRP_WD_.PX.WYN._.PTC.WD</t>
  </si>
  <si>
    <t>23IRP_WD_.PX.BOR._.PTC.WD</t>
  </si>
  <si>
    <t>23IRP_WD_.PX.BDG._.PTC.Bridger.WD</t>
  </si>
  <si>
    <t>23IRP_WD_.PX.UWY._.SER.WD_T</t>
  </si>
  <si>
    <t>23IRP_WD_.PX.WYE._.SER.WD_T</t>
  </si>
  <si>
    <t>23IRP_WD_.PX.WYE.1.A01.WD_T</t>
  </si>
  <si>
    <t>23IRP_WD_.PX.YAK._.PTC.WD</t>
  </si>
  <si>
    <t>23IRP_WD_.PX.WYE._.PTC.Djohns.WD</t>
  </si>
  <si>
    <t>23IRP_WD_.PX.WWA._.215.WD_T</t>
  </si>
  <si>
    <t>23IRP_WD_.PX.PNC._.PTC.WD</t>
  </si>
  <si>
    <t>23IRP_WD_.PX.WWA._.PTC.WD</t>
  </si>
  <si>
    <t>23IRP_WD_.PX.SOR._.PTC.WD</t>
  </si>
  <si>
    <t>23IRP_PV_.PX.BOR._.PTC.PV</t>
  </si>
  <si>
    <t>23IRP_PV_.PX.UWY._.SER.PV</t>
  </si>
  <si>
    <t>23IRP_PV_.PX.UTS._.PTC.Hunter.PV</t>
  </si>
  <si>
    <t>23IRP_PV_.PX.UTS._.PTC.Huntington.PV</t>
  </si>
  <si>
    <t>23IRP_PV_.PX.UTS._.SER.PV</t>
  </si>
  <si>
    <t>23IRP_PVS.PX.YAK._.110.PV</t>
  </si>
  <si>
    <t>23IRP_PVS.PX.WWA._.215.PV</t>
  </si>
  <si>
    <t>23IRP_PVS.PX.WMV._.222.PV</t>
  </si>
  <si>
    <t>23IRP_PVS.PX.WMV._.223.PV</t>
  </si>
  <si>
    <t>23IRP_PVS.PX.BOR._.2C5.PV</t>
  </si>
  <si>
    <t>23IRP_PVS.PX.COR._.TC8.PV</t>
  </si>
  <si>
    <t>23IRP_PVS.PX.UWY._.SER.PV</t>
  </si>
  <si>
    <t>23IRP_PVS.PX.WYE._.SER.PV</t>
  </si>
  <si>
    <t>23IRP_PVS.PX.CLV.1.TC4.PV</t>
  </si>
  <si>
    <t>23IRP_PVS.PX.UTS._.SER.PV</t>
  </si>
  <si>
    <t>23IRP_PVS.PX.GOE.1.A43.PV</t>
  </si>
  <si>
    <t>23IRP_NUC.PX.UTS._.PTC.SM Adv Hunter+Huntington</t>
  </si>
  <si>
    <t>23IRP_NUC.PX.UTS._.PTC.SM Adv Hunter+Huntington_2</t>
  </si>
  <si>
    <t>23IRP_XSC.PX.UTN._.ITC.Non-E</t>
  </si>
  <si>
    <t>23IRP_XSC.PX.SOR._.ITC.Non-E</t>
  </si>
  <si>
    <t>23IRP_XSC.PX.BDG._.ITC.Jim Bridger - Non-E</t>
  </si>
  <si>
    <t>Tesoro Non Firm</t>
  </si>
  <si>
    <t>SCCT Frame "J" X1, 100H2</t>
  </si>
  <si>
    <t xml:space="preserve">Build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</si>
</sst>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m/d/yyyy\ h:mm:ss"/>
    <numFmt numFmtId="184" formatCode="_(* #,##0.0000_);_(* \(#,##0.0000\);_(* &quot;-&quot;??_);_(@_)"/>
    <numFmt numFmtId="185" formatCode="_(* #,##0.000_);[Red]_(* \(#,##0.000\);_(* &quot;-&quot;_);_(@_)"/>
    <numFmt numFmtId="186" formatCode="_(* #,##0.0000_);[Red]_(* \(#,##0.0000\);_(* &quot;-&quot;_);_(@_)"/>
  </numFmts>
  <fonts count="45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i/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171" fontId="3" fillId="0" borderId="0"/>
  </cellStyleXfs>
  <cellXfs count="432">
    <xf numFmtId="171" fontId="0" fillId="0" borderId="0" xfId="0"/>
    <xf numFmtId="171" fontId="6" fillId="0" borderId="0" xfId="0" applyFont="1" applyAlignment="1">
      <alignment horizontal="centerContinuous"/>
    </xf>
    <xf numFmtId="171" fontId="9" fillId="0" borderId="0" xfId="0" applyFont="1" applyAlignment="1">
      <alignment horizontal="centerContinuous"/>
    </xf>
    <xf numFmtId="171" fontId="5" fillId="0" borderId="0" xfId="0" applyFont="1"/>
    <xf numFmtId="171" fontId="7" fillId="0" borderId="0" xfId="0" applyFont="1" applyAlignment="1">
      <alignment horizontal="centerContinuous"/>
    </xf>
    <xf numFmtId="171" fontId="5" fillId="0" borderId="0" xfId="0" applyFont="1" applyAlignment="1">
      <alignment horizontal="center"/>
    </xf>
    <xf numFmtId="8" fontId="5" fillId="0" borderId="0" xfId="0" applyNumberFormat="1" applyFont="1"/>
    <xf numFmtId="8" fontId="5" fillId="0" borderId="2" xfId="0" applyNumberFormat="1" applyFont="1" applyBorder="1" applyAlignment="1">
      <alignment horizontal="center"/>
    </xf>
    <xf numFmtId="8" fontId="5" fillId="0" borderId="0" xfId="0" applyNumberFormat="1" applyFont="1" applyAlignment="1">
      <alignment horizontal="center"/>
    </xf>
    <xf numFmtId="171" fontId="5" fillId="0" borderId="0" xfId="0" quotePrefix="1" applyFont="1"/>
    <xf numFmtId="171" fontId="5" fillId="0" borderId="0" xfId="0" applyFont="1" applyAlignment="1">
      <alignment horizontal="centerContinuous"/>
    </xf>
    <xf numFmtId="8" fontId="5" fillId="0" borderId="8" xfId="0" applyNumberFormat="1" applyFont="1" applyBorder="1" applyAlignment="1">
      <alignment horizontal="center"/>
    </xf>
    <xf numFmtId="8" fontId="5" fillId="0" borderId="11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171" fontId="4" fillId="0" borderId="5" xfId="0" applyFont="1" applyBorder="1" applyAlignment="1">
      <alignment horizontal="center"/>
    </xf>
    <xf numFmtId="171" fontId="4" fillId="0" borderId="5" xfId="0" applyFont="1" applyBorder="1" applyAlignment="1">
      <alignment horizontal="center" wrapText="1"/>
    </xf>
    <xf numFmtId="171" fontId="12" fillId="0" borderId="6" xfId="0" quotePrefix="1" applyFont="1" applyBorder="1" applyAlignment="1">
      <alignment horizontal="center" wrapText="1"/>
    </xf>
    <xf numFmtId="171" fontId="12" fillId="0" borderId="6" xfId="0" applyFont="1" applyBorder="1" applyAlignment="1">
      <alignment horizontal="center" wrapText="1"/>
    </xf>
    <xf numFmtId="171" fontId="4" fillId="0" borderId="0" xfId="0" applyFont="1" applyAlignment="1">
      <alignment horizontal="centerContinuous"/>
    </xf>
    <xf numFmtId="171" fontId="4" fillId="0" borderId="5" xfId="0" applyFont="1" applyBorder="1"/>
    <xf numFmtId="171" fontId="4" fillId="0" borderId="13" xfId="0" applyFont="1" applyBorder="1" applyAlignment="1">
      <alignment horizontal="center"/>
    </xf>
    <xf numFmtId="171" fontId="4" fillId="0" borderId="6" xfId="0" applyFont="1" applyBorder="1"/>
    <xf numFmtId="171" fontId="4" fillId="0" borderId="6" xfId="0" applyFont="1" applyBorder="1" applyAlignment="1">
      <alignment horizontal="center"/>
    </xf>
    <xf numFmtId="8" fontId="1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71" fontId="7" fillId="0" borderId="7" xfId="0" applyFont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/>
    <xf numFmtId="171" fontId="16" fillId="0" borderId="0" xfId="0" applyFont="1" applyAlignment="1">
      <alignment wrapText="1"/>
    </xf>
    <xf numFmtId="171" fontId="14" fillId="0" borderId="0" xfId="0" applyFont="1" applyAlignment="1">
      <alignment horizontal="center"/>
    </xf>
    <xf numFmtId="168" fontId="14" fillId="0" borderId="0" xfId="0" applyNumberFormat="1" applyFont="1"/>
    <xf numFmtId="2" fontId="5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center"/>
    </xf>
    <xf numFmtId="167" fontId="0" fillId="0" borderId="0" xfId="8" applyNumberFormat="1" applyFont="1" applyFill="1"/>
    <xf numFmtId="171" fontId="4" fillId="0" borderId="16" xfId="5" applyFont="1" applyBorder="1" applyAlignment="1">
      <alignment horizontal="centerContinuous"/>
    </xf>
    <xf numFmtId="171" fontId="20" fillId="0" borderId="0" xfId="5" applyFont="1"/>
    <xf numFmtId="2" fontId="5" fillId="0" borderId="2" xfId="0" applyNumberFormat="1" applyFont="1" applyBorder="1" applyAlignment="1">
      <alignment horizontal="center"/>
    </xf>
    <xf numFmtId="8" fontId="5" fillId="0" borderId="0" xfId="0" quotePrefix="1" applyNumberFormat="1" applyFont="1" applyAlignment="1">
      <alignment horizontal="center"/>
    </xf>
    <xf numFmtId="171" fontId="14" fillId="0" borderId="0" xfId="0" applyFont="1" applyAlignment="1">
      <alignment horizontal="centerContinuous"/>
    </xf>
    <xf numFmtId="171" fontId="5" fillId="0" borderId="0" xfId="0" applyFont="1" applyAlignment="1">
      <alignment horizontal="left" indent="1"/>
    </xf>
    <xf numFmtId="43" fontId="0" fillId="0" borderId="0" xfId="1" applyFont="1" applyFill="1"/>
    <xf numFmtId="171" fontId="0" fillId="0" borderId="0" xfId="0" quotePrefix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0" fontId="0" fillId="0" borderId="0" xfId="11" applyNumberFormat="1" applyFont="1" applyAlignment="1">
      <alignment horizontal="left"/>
    </xf>
    <xf numFmtId="171" fontId="3" fillId="0" borderId="0" xfId="10" applyNumberFormat="1"/>
    <xf numFmtId="173" fontId="3" fillId="5" borderId="0" xfId="10" applyNumberForma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Border="1"/>
    <xf numFmtId="171" fontId="3" fillId="0" borderId="7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Continuous"/>
    </xf>
    <xf numFmtId="171" fontId="3" fillId="0" borderId="4" xfId="10" applyNumberFormat="1" applyBorder="1" applyAlignment="1">
      <alignment horizontal="centerContinuous"/>
    </xf>
    <xf numFmtId="171" fontId="3" fillId="0" borderId="6" xfId="10" applyNumberFormat="1" applyBorder="1"/>
    <xf numFmtId="171" fontId="3" fillId="0" borderId="4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"/>
    </xf>
    <xf numFmtId="171" fontId="3" fillId="0" borderId="6" xfId="10" applyNumberFormat="1" applyBorder="1" applyAlignment="1">
      <alignment horizontal="center"/>
    </xf>
    <xf numFmtId="171" fontId="3" fillId="0" borderId="9" xfId="10" applyNumberFormat="1" applyBorder="1" applyAlignment="1">
      <alignment horizontal="centerContinuous"/>
    </xf>
    <xf numFmtId="171" fontId="3" fillId="0" borderId="2" xfId="10" applyNumberFormat="1" applyBorder="1"/>
    <xf numFmtId="41" fontId="3" fillId="0" borderId="8" xfId="10" applyNumberFormat="1" applyBorder="1"/>
    <xf numFmtId="41" fontId="3" fillId="0" borderId="11" xfId="10" applyNumberFormat="1" applyBorder="1"/>
    <xf numFmtId="168" fontId="3" fillId="0" borderId="8" xfId="10" applyNumberFormat="1" applyBorder="1"/>
    <xf numFmtId="0" fontId="3" fillId="0" borderId="0" xfId="10" applyNumberFormat="1"/>
    <xf numFmtId="17" fontId="3" fillId="0" borderId="5" xfId="10" applyNumberFormat="1" applyBorder="1" applyAlignment="1">
      <alignment horizontal="center"/>
    </xf>
    <xf numFmtId="168" fontId="3" fillId="0" borderId="11" xfId="10" applyNumberFormat="1" applyBorder="1"/>
    <xf numFmtId="171" fontId="3" fillId="0" borderId="13" xfId="10" applyNumberFormat="1" applyBorder="1"/>
    <xf numFmtId="17" fontId="3" fillId="0" borderId="13" xfId="10" applyNumberFormat="1" applyBorder="1" applyAlignment="1">
      <alignment horizontal="center"/>
    </xf>
    <xf numFmtId="171" fontId="3" fillId="0" borderId="1" xfId="10" applyNumberFormat="1" applyBorder="1"/>
    <xf numFmtId="41" fontId="3" fillId="0" borderId="12" xfId="10" applyNumberFormat="1" applyBorder="1"/>
    <xf numFmtId="168" fontId="3" fillId="0" borderId="12" xfId="10" applyNumberFormat="1" applyBorder="1"/>
    <xf numFmtId="17" fontId="3" fillId="0" borderId="6" xfId="10" applyNumberForma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Alignment="1">
      <alignment horizontal="center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Border="1" applyAlignment="1">
      <alignment horizontal="center"/>
    </xf>
    <xf numFmtId="174" fontId="3" fillId="0" borderId="0" xfId="8" applyNumberFormat="1" applyFont="1"/>
    <xf numFmtId="171" fontId="8" fillId="0" borderId="0" xfId="0" applyFont="1"/>
    <xf numFmtId="171" fontId="16" fillId="2" borderId="0" xfId="0" applyFont="1" applyFill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4" fontId="22" fillId="2" borderId="0" xfId="0" applyNumberFormat="1" applyFont="1" applyFill="1" applyAlignment="1">
      <alignment horizontal="centerContinuous" vertical="center"/>
    </xf>
    <xf numFmtId="171" fontId="8" fillId="0" borderId="0" xfId="0" applyFont="1" applyAlignment="1">
      <alignment horizontal="center"/>
    </xf>
    <xf numFmtId="171" fontId="14" fillId="2" borderId="0" xfId="0" applyFont="1" applyFill="1" applyAlignment="1">
      <alignment horizontal="centerContinuous" wrapText="1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/>
    <xf numFmtId="171" fontId="15" fillId="0" borderId="0" xfId="10" applyNumberFormat="1" applyFont="1"/>
    <xf numFmtId="177" fontId="5" fillId="0" borderId="0" xfId="0" applyNumberFormat="1" applyFont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/>
    <xf numFmtId="9" fontId="26" fillId="0" borderId="0" xfId="8" applyFont="1"/>
    <xf numFmtId="43" fontId="3" fillId="0" borderId="0" xfId="10" applyNumberFormat="1"/>
    <xf numFmtId="171" fontId="27" fillId="0" borderId="0" xfId="10" applyNumberFormat="1" applyFont="1"/>
    <xf numFmtId="171" fontId="6" fillId="0" borderId="0" xfId="24" applyFont="1" applyAlignment="1">
      <alignment horizontal="centerContinuous"/>
    </xf>
    <xf numFmtId="171" fontId="5" fillId="0" borderId="0" xfId="24" applyAlignment="1">
      <alignment horizontal="centerContinuous"/>
    </xf>
    <xf numFmtId="171" fontId="5" fillId="0" borderId="0" xfId="24"/>
    <xf numFmtId="171" fontId="4" fillId="0" borderId="5" xfId="24" applyFont="1" applyBorder="1" applyAlignment="1">
      <alignment horizontal="center"/>
    </xf>
    <xf numFmtId="171" fontId="4" fillId="0" borderId="5" xfId="24" applyFont="1" applyBorder="1" applyAlignment="1">
      <alignment horizontal="center" wrapText="1"/>
    </xf>
    <xf numFmtId="171" fontId="9" fillId="0" borderId="6" xfId="24" applyFont="1" applyBorder="1" applyAlignment="1">
      <alignment horizontal="centerContinuous"/>
    </xf>
    <xf numFmtId="171" fontId="12" fillId="0" borderId="6" xfId="24" quotePrefix="1" applyFont="1" applyBorder="1" applyAlignment="1">
      <alignment horizontal="center" wrapText="1"/>
    </xf>
    <xf numFmtId="171" fontId="12" fillId="0" borderId="6" xfId="24" applyFont="1" applyBorder="1" applyAlignment="1">
      <alignment horizontal="center" wrapText="1"/>
    </xf>
    <xf numFmtId="171" fontId="8" fillId="0" borderId="0" xfId="24" quotePrefix="1" applyFont="1" applyAlignment="1">
      <alignment horizontal="center"/>
    </xf>
    <xf numFmtId="0" fontId="5" fillId="0" borderId="0" xfId="24" applyNumberFormat="1"/>
    <xf numFmtId="6" fontId="5" fillId="0" borderId="0" xfId="24" applyNumberFormat="1" applyAlignment="1">
      <alignment horizontal="right"/>
    </xf>
    <xf numFmtId="8" fontId="5" fillId="0" borderId="0" xfId="24" applyNumberFormat="1" applyAlignment="1">
      <alignment horizontal="right"/>
    </xf>
    <xf numFmtId="8" fontId="5" fillId="0" borderId="0" xfId="24" applyNumberFormat="1"/>
    <xf numFmtId="165" fontId="5" fillId="0" borderId="0" xfId="24" applyNumberFormat="1" applyAlignment="1">
      <alignment horizontal="center"/>
    </xf>
    <xf numFmtId="171" fontId="5" fillId="0" borderId="0" xfId="24" quotePrefix="1"/>
    <xf numFmtId="14" fontId="5" fillId="0" borderId="0" xfId="26" applyNumberFormat="1" applyFont="1"/>
    <xf numFmtId="8" fontId="5" fillId="0" borderId="0" xfId="24" applyNumberFormat="1" applyAlignment="1">
      <alignment horizontal="center"/>
    </xf>
    <xf numFmtId="171" fontId="7" fillId="0" borderId="0" xfId="24" applyFont="1" applyAlignment="1">
      <alignment horizontal="centerContinuous"/>
    </xf>
    <xf numFmtId="171" fontId="4" fillId="0" borderId="0" xfId="24" applyFont="1" applyAlignment="1">
      <alignment horizontal="centerContinuous"/>
    </xf>
    <xf numFmtId="171" fontId="5" fillId="0" borderId="0" xfId="24" applyAlignment="1">
      <alignment horizontal="center"/>
    </xf>
    <xf numFmtId="171" fontId="4" fillId="0" borderId="17" xfId="24" applyFont="1" applyBorder="1" applyAlignment="1">
      <alignment horizontal="centerContinuous"/>
    </xf>
    <xf numFmtId="171" fontId="5" fillId="0" borderId="17" xfId="24" applyBorder="1"/>
    <xf numFmtId="171" fontId="5" fillId="0" borderId="18" xfId="24" applyBorder="1"/>
    <xf numFmtId="171" fontId="4" fillId="0" borderId="16" xfId="24" applyFont="1" applyBorder="1" applyAlignment="1">
      <alignment horizontal="center"/>
    </xf>
    <xf numFmtId="171" fontId="4" fillId="0" borderId="17" xfId="5" applyFont="1" applyBorder="1" applyAlignment="1">
      <alignment horizontal="centerContinuous"/>
    </xf>
    <xf numFmtId="171" fontId="5" fillId="0" borderId="17" xfId="24" applyBorder="1" applyAlignment="1">
      <alignment horizontal="centerContinuous"/>
    </xf>
    <xf numFmtId="8" fontId="5" fillId="0" borderId="0" xfId="2" applyNumberFormat="1" applyFont="1" applyFill="1"/>
    <xf numFmtId="1" fontId="5" fillId="0" borderId="0" xfId="6" applyNumberFormat="1" applyFont="1" applyAlignment="1" applyProtection="1">
      <alignment horizontal="center"/>
      <protection locked="0"/>
    </xf>
    <xf numFmtId="172" fontId="4" fillId="0" borderId="0" xfId="24" applyNumberFormat="1" applyFont="1"/>
    <xf numFmtId="172" fontId="5" fillId="0" borderId="0" xfId="24" applyNumberFormat="1"/>
    <xf numFmtId="167" fontId="5" fillId="0" borderId="0" xfId="8" applyNumberFormat="1" applyFont="1" applyFill="1"/>
    <xf numFmtId="44" fontId="26" fillId="0" borderId="0" xfId="2" applyFont="1" applyFill="1"/>
    <xf numFmtId="174" fontId="30" fillId="0" borderId="0" xfId="0" applyNumberFormat="1" applyFont="1" applyProtection="1">
      <protection locked="0"/>
    </xf>
    <xf numFmtId="43" fontId="5" fillId="0" borderId="0" xfId="2" applyNumberFormat="1" applyFont="1" applyFill="1"/>
    <xf numFmtId="171" fontId="5" fillId="0" borderId="0" xfId="24" applyAlignment="1">
      <alignment horizontal="right"/>
    </xf>
    <xf numFmtId="171" fontId="5" fillId="0" borderId="0" xfId="6" applyNumberFormat="1" applyFont="1" applyAlignment="1" applyProtection="1">
      <alignment horizontal="center"/>
      <protection locked="0"/>
    </xf>
    <xf numFmtId="171" fontId="4" fillId="0" borderId="0" xfId="24" applyFont="1" applyAlignment="1">
      <alignment horizontal="center" wrapText="1"/>
    </xf>
    <xf numFmtId="172" fontId="3" fillId="0" borderId="0" xfId="10" applyNumberFormat="1"/>
    <xf numFmtId="0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5" fillId="0" borderId="1" xfId="0" applyFont="1" applyBorder="1" applyAlignment="1">
      <alignment horizontal="center"/>
    </xf>
    <xf numFmtId="171" fontId="5" fillId="0" borderId="1" xfId="0" quotePrefix="1" applyFont="1" applyBorder="1" applyAlignment="1">
      <alignment horizontal="center"/>
    </xf>
    <xf numFmtId="173" fontId="0" fillId="0" borderId="0" xfId="0" applyNumberFormat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43" fontId="5" fillId="0" borderId="0" xfId="28" applyFont="1" applyFill="1"/>
    <xf numFmtId="0" fontId="5" fillId="0" borderId="0" xfId="24" applyNumberFormat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ill="1"/>
    <xf numFmtId="17" fontId="3" fillId="10" borderId="5" xfId="10" applyNumberFormat="1" applyFill="1" applyBorder="1" applyAlignment="1">
      <alignment horizontal="center"/>
    </xf>
    <xf numFmtId="17" fontId="3" fillId="10" borderId="13" xfId="10" applyNumberFormat="1" applyFill="1" applyBorder="1" applyAlignment="1">
      <alignment horizontal="center"/>
    </xf>
    <xf numFmtId="17" fontId="3" fillId="10" borderId="6" xfId="10" applyNumberFormat="1" applyFill="1" applyBorder="1" applyAlignment="1">
      <alignment horizontal="center"/>
    </xf>
    <xf numFmtId="171" fontId="5" fillId="0" borderId="0" xfId="0" applyFont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Alignment="1">
      <alignment horizontal="center"/>
    </xf>
    <xf numFmtId="171" fontId="0" fillId="0" borderId="0" xfId="0" applyAlignment="1">
      <alignment wrapText="1"/>
    </xf>
    <xf numFmtId="172" fontId="5" fillId="0" borderId="0" xfId="24" applyNumberFormat="1" applyAlignment="1">
      <alignment horizontal="right"/>
    </xf>
    <xf numFmtId="43" fontId="5" fillId="0" borderId="0" xfId="24" applyNumberFormat="1"/>
    <xf numFmtId="171" fontId="5" fillId="0" borderId="0" xfId="0" applyFont="1" applyAlignment="1">
      <alignment wrapText="1"/>
    </xf>
    <xf numFmtId="171" fontId="5" fillId="0" borderId="0" xfId="0" applyFont="1" applyAlignment="1">
      <alignment horizontal="center" wrapText="1"/>
    </xf>
    <xf numFmtId="171" fontId="4" fillId="0" borderId="0" xfId="0" applyFont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/>
    <xf numFmtId="171" fontId="15" fillId="0" borderId="0" xfId="10" applyNumberFormat="1" applyFont="1" applyAlignment="1">
      <alignment wrapText="1"/>
    </xf>
    <xf numFmtId="171" fontId="33" fillId="0" borderId="0" xfId="0" applyFont="1" applyAlignment="1">
      <alignment horizontal="centerContinuous"/>
    </xf>
    <xf numFmtId="171" fontId="34" fillId="0" borderId="0" xfId="0" applyFont="1" applyAlignment="1">
      <alignment horizontal="centerContinuous"/>
    </xf>
    <xf numFmtId="171" fontId="33" fillId="0" borderId="0" xfId="0" applyFont="1"/>
    <xf numFmtId="171" fontId="34" fillId="0" borderId="0" xfId="0" applyFont="1"/>
    <xf numFmtId="171" fontId="5" fillId="0" borderId="0" xfId="0" quotePrefix="1" applyFont="1" applyAlignment="1">
      <alignment horizontal="center"/>
    </xf>
    <xf numFmtId="8" fontId="35" fillId="0" borderId="0" xfId="0" applyNumberFormat="1" applyFont="1" applyAlignment="1">
      <alignment horizontal="center"/>
    </xf>
    <xf numFmtId="8" fontId="35" fillId="0" borderId="0" xfId="0" applyNumberFormat="1" applyFont="1" applyAlignment="1">
      <alignment horizontal="left"/>
    </xf>
    <xf numFmtId="171" fontId="5" fillId="0" borderId="22" xfId="0" applyFont="1" applyBorder="1" applyAlignment="1">
      <alignment horizontal="center"/>
    </xf>
    <xf numFmtId="171" fontId="5" fillId="0" borderId="5" xfId="0" applyFont="1" applyBorder="1" applyAlignment="1">
      <alignment horizontal="centerContinuous"/>
    </xf>
    <xf numFmtId="171" fontId="5" fillId="0" borderId="5" xfId="0" quotePrefix="1" applyFont="1" applyBorder="1" applyAlignment="1">
      <alignment horizontal="centerContinuous"/>
    </xf>
    <xf numFmtId="171" fontId="5" fillId="0" borderId="4" xfId="0" applyFont="1" applyBorder="1" applyAlignment="1">
      <alignment horizontal="centerContinuous"/>
    </xf>
    <xf numFmtId="171" fontId="5" fillId="0" borderId="7" xfId="0" applyFont="1" applyBorder="1" applyAlignment="1">
      <alignment horizontal="centerContinuous"/>
    </xf>
    <xf numFmtId="171" fontId="5" fillId="0" borderId="3" xfId="0" applyFont="1" applyBorder="1" applyAlignment="1">
      <alignment horizontal="centerContinuous"/>
    </xf>
    <xf numFmtId="171" fontId="5" fillId="0" borderId="22" xfId="0" applyFont="1" applyBorder="1" applyAlignment="1">
      <alignment horizontal="centerContinuous"/>
    </xf>
    <xf numFmtId="171" fontId="5" fillId="0" borderId="2" xfId="0" applyFont="1" applyBorder="1" applyAlignment="1">
      <alignment horizontal="centerContinuous"/>
    </xf>
    <xf numFmtId="171" fontId="5" fillId="0" borderId="8" xfId="0" applyFont="1" applyBorder="1" applyAlignment="1">
      <alignment horizontal="centerContinuous"/>
    </xf>
    <xf numFmtId="171" fontId="5" fillId="0" borderId="23" xfId="0" applyFont="1" applyBorder="1" applyAlignment="1">
      <alignment horizontal="center"/>
    </xf>
    <xf numFmtId="171" fontId="5" fillId="0" borderId="3" xfId="0" applyFont="1" applyBorder="1" applyAlignment="1">
      <alignment horizontal="center"/>
    </xf>
    <xf numFmtId="171" fontId="5" fillId="0" borderId="9" xfId="0" applyFont="1" applyBorder="1" applyAlignment="1">
      <alignment horizontal="center"/>
    </xf>
    <xf numFmtId="171" fontId="5" fillId="0" borderId="4" xfId="0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8" fontId="5" fillId="0" borderId="5" xfId="0" applyNumberFormat="1" applyFont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43" fontId="5" fillId="0" borderId="5" xfId="0" applyNumberFormat="1" applyFont="1" applyBorder="1"/>
    <xf numFmtId="43" fontId="5" fillId="0" borderId="2" xfId="0" applyNumberFormat="1" applyFont="1" applyBorder="1" applyAlignment="1">
      <alignment horizontal="center"/>
    </xf>
    <xf numFmtId="43" fontId="5" fillId="0" borderId="8" xfId="0" applyNumberFormat="1" applyFont="1" applyBorder="1" applyAlignment="1">
      <alignment horizontal="center"/>
    </xf>
    <xf numFmtId="43" fontId="5" fillId="0" borderId="22" xfId="0" applyNumberFormat="1" applyFont="1" applyBorder="1" applyAlignment="1">
      <alignment horizontal="center"/>
    </xf>
    <xf numFmtId="43" fontId="5" fillId="0" borderId="13" xfId="0" applyNumberFormat="1" applyFont="1" applyBorder="1"/>
    <xf numFmtId="43" fontId="5" fillId="0" borderId="0" xfId="0" applyNumberFormat="1" applyFont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43" fontId="5" fillId="0" borderId="6" xfId="0" applyNumberFormat="1" applyFont="1" applyBorder="1"/>
    <xf numFmtId="43" fontId="5" fillId="0" borderId="1" xfId="0" applyNumberFormat="1" applyFont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23" xfId="0" applyNumberFormat="1" applyFont="1" applyBorder="1" applyAlignment="1">
      <alignment horizontal="center"/>
    </xf>
    <xf numFmtId="171" fontId="5" fillId="0" borderId="0" xfId="0" applyFont="1" applyAlignment="1">
      <alignment horizontal="left"/>
    </xf>
    <xf numFmtId="171" fontId="5" fillId="0" borderId="0" xfId="0" quotePrefix="1" applyFont="1" applyAlignment="1">
      <alignment horizontal="left" vertical="top"/>
    </xf>
    <xf numFmtId="172" fontId="5" fillId="0" borderId="0" xfId="0" applyNumberFormat="1" applyFont="1"/>
    <xf numFmtId="1" fontId="5" fillId="0" borderId="10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72" fontId="5" fillId="6" borderId="0" xfId="24" applyNumberFormat="1" applyFill="1"/>
    <xf numFmtId="171" fontId="5" fillId="0" borderId="0" xfId="24" applyAlignment="1">
      <alignment horizontal="center" wrapText="1"/>
    </xf>
    <xf numFmtId="171" fontId="8" fillId="0" borderId="0" xfId="24" quotePrefix="1" applyFont="1" applyAlignment="1">
      <alignment horizontal="center" wrapText="1"/>
    </xf>
    <xf numFmtId="173" fontId="5" fillId="0" borderId="0" xfId="24" applyNumberFormat="1"/>
    <xf numFmtId="164" fontId="5" fillId="0" borderId="0" xfId="1" applyNumberFormat="1" applyFont="1" applyFill="1"/>
    <xf numFmtId="10" fontId="0" fillId="0" borderId="0" xfId="8" applyNumberFormat="1" applyFont="1"/>
    <xf numFmtId="0" fontId="0" fillId="0" borderId="0" xfId="0" applyNumberFormat="1"/>
    <xf numFmtId="41" fontId="0" fillId="0" borderId="0" xfId="4" applyFont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43" fontId="36" fillId="0" borderId="0" xfId="2" applyNumberFormat="1" applyFont="1" applyFill="1"/>
    <xf numFmtId="169" fontId="0" fillId="0" borderId="0" xfId="2" applyNumberFormat="1" applyFont="1" applyFill="1"/>
    <xf numFmtId="8" fontId="36" fillId="0" borderId="0" xfId="2" applyNumberFormat="1" applyFont="1" applyFill="1"/>
    <xf numFmtId="10" fontId="0" fillId="0" borderId="0" xfId="8" applyNumberFormat="1" applyFont="1" applyFill="1"/>
    <xf numFmtId="8" fontId="5" fillId="11" borderId="0" xfId="24" applyNumberFormat="1" applyFill="1"/>
    <xf numFmtId="0" fontId="4" fillId="0" borderId="0" xfId="24" applyNumberFormat="1" applyFont="1"/>
    <xf numFmtId="8" fontId="4" fillId="0" borderId="0" xfId="24" applyNumberFormat="1" applyFont="1"/>
    <xf numFmtId="171" fontId="4" fillId="0" borderId="0" xfId="0" applyFont="1"/>
    <xf numFmtId="171" fontId="0" fillId="11" borderId="0" xfId="0" applyFill="1"/>
    <xf numFmtId="171" fontId="37" fillId="0" borderId="0" xfId="5" applyFont="1"/>
    <xf numFmtId="171" fontId="0" fillId="6" borderId="0" xfId="0" applyFill="1"/>
    <xf numFmtId="8" fontId="5" fillId="6" borderId="0" xfId="24" applyNumberFormat="1" applyFill="1"/>
    <xf numFmtId="171" fontId="0" fillId="0" borderId="0" xfId="0" applyAlignment="1">
      <alignment horizontal="right"/>
    </xf>
    <xf numFmtId="171" fontId="0" fillId="14" borderId="0" xfId="0" applyFill="1"/>
    <xf numFmtId="10" fontId="5" fillId="0" borderId="0" xfId="8" applyNumberFormat="1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8" fontId="5" fillId="6" borderId="0" xfId="24" applyNumberFormat="1" applyFill="1" applyAlignment="1">
      <alignment horizontal="right"/>
    </xf>
    <xf numFmtId="171" fontId="0" fillId="0" borderId="0" xfId="24" applyFont="1"/>
    <xf numFmtId="174" fontId="0" fillId="0" borderId="0" xfId="8" applyNumberFormat="1" applyFont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8" fontId="5" fillId="15" borderId="0" xfId="24" applyNumberForma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/>
    <xf numFmtId="8" fontId="32" fillId="0" borderId="0" xfId="24" applyNumberFormat="1" applyFont="1"/>
    <xf numFmtId="0" fontId="5" fillId="0" borderId="0" xfId="25" applyFont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/>
    <xf numFmtId="178" fontId="29" fillId="0" borderId="0" xfId="0" applyNumberFormat="1" applyFont="1"/>
    <xf numFmtId="174" fontId="5" fillId="0" borderId="0" xfId="24" applyNumberFormat="1"/>
    <xf numFmtId="167" fontId="5" fillId="0" borderId="0" xfId="24" applyNumberFormat="1"/>
    <xf numFmtId="171" fontId="32" fillId="0" borderId="0" xfId="24" applyFont="1"/>
    <xf numFmtId="165" fontId="5" fillId="12" borderId="0" xfId="24" applyNumberFormat="1" applyFill="1" applyAlignment="1">
      <alignment horizontal="center"/>
    </xf>
    <xf numFmtId="183" fontId="0" fillId="0" borderId="0" xfId="0" applyNumberFormat="1"/>
    <xf numFmtId="184" fontId="0" fillId="0" borderId="0" xfId="1" applyNumberFormat="1" applyFont="1"/>
    <xf numFmtId="166" fontId="5" fillId="0" borderId="0" xfId="24" applyNumberFormat="1" applyAlignment="1">
      <alignment horizontal="center"/>
    </xf>
    <xf numFmtId="171" fontId="32" fillId="0" borderId="0" xfId="0" applyFont="1"/>
    <xf numFmtId="171" fontId="0" fillId="12" borderId="0" xfId="0" applyFill="1"/>
    <xf numFmtId="44" fontId="0" fillId="12" borderId="0" xfId="2" applyFont="1" applyFill="1"/>
    <xf numFmtId="44" fontId="5" fillId="12" borderId="0" xfId="24" applyNumberFormat="1" applyFill="1"/>
    <xf numFmtId="186" fontId="0" fillId="0" borderId="0" xfId="0" applyNumberFormat="1"/>
    <xf numFmtId="185" fontId="0" fillId="6" borderId="0" xfId="0" applyNumberFormat="1" applyFill="1"/>
    <xf numFmtId="172" fontId="32" fillId="0" borderId="0" xfId="24" applyNumberFormat="1" applyFont="1"/>
    <xf numFmtId="166" fontId="5" fillId="12" borderId="0" xfId="24" applyNumberFormat="1" applyFill="1" applyAlignment="1">
      <alignment horizontal="center"/>
    </xf>
    <xf numFmtId="10" fontId="5" fillId="0" borderId="0" xfId="8" applyNumberFormat="1" applyFont="1" applyFill="1"/>
    <xf numFmtId="171" fontId="5" fillId="16" borderId="0" xfId="24" applyFill="1"/>
    <xf numFmtId="0" fontId="5" fillId="6" borderId="0" xfId="1" applyNumberFormat="1" applyFont="1" applyFill="1" applyAlignment="1">
      <alignment horizontal="right"/>
    </xf>
    <xf numFmtId="174" fontId="5" fillId="6" borderId="0" xfId="8" applyNumberFormat="1" applyFont="1" applyFill="1" applyAlignment="1">
      <alignment horizontal="right"/>
    </xf>
    <xf numFmtId="7" fontId="5" fillId="6" borderId="0" xfId="1" applyNumberFormat="1" applyFont="1" applyFill="1" applyAlignment="1">
      <alignment horizontal="right" vertical="center"/>
    </xf>
    <xf numFmtId="171" fontId="4" fillId="6" borderId="5" xfId="24" applyFont="1" applyFill="1" applyBorder="1" applyAlignment="1">
      <alignment horizontal="center" wrapText="1"/>
    </xf>
    <xf numFmtId="1" fontId="5" fillId="6" borderId="0" xfId="1" applyNumberFormat="1" applyFont="1" applyFill="1" applyAlignment="1">
      <alignment horizontal="right"/>
    </xf>
    <xf numFmtId="171" fontId="0" fillId="17" borderId="22" xfId="0" applyFill="1" applyBorder="1"/>
    <xf numFmtId="171" fontId="0" fillId="17" borderId="8" xfId="0" applyFill="1" applyBorder="1"/>
    <xf numFmtId="171" fontId="0" fillId="0" borderId="10" xfId="0" applyBorder="1" applyAlignment="1">
      <alignment wrapText="1"/>
    </xf>
    <xf numFmtId="171" fontId="0" fillId="0" borderId="11" xfId="0" applyBorder="1" applyAlignment="1">
      <alignment wrapText="1"/>
    </xf>
    <xf numFmtId="171" fontId="0" fillId="0" borderId="10" xfId="0" applyBorder="1"/>
    <xf numFmtId="171" fontId="0" fillId="0" borderId="11" xfId="0" applyBorder="1"/>
    <xf numFmtId="171" fontId="4" fillId="0" borderId="10" xfId="0" applyFont="1" applyBorder="1"/>
    <xf numFmtId="171" fontId="0" fillId="17" borderId="2" xfId="0" applyFill="1" applyBorder="1"/>
    <xf numFmtId="8" fontId="4" fillId="0" borderId="0" xfId="24" applyNumberFormat="1" applyFont="1" applyAlignment="1">
      <alignment horizontal="right"/>
    </xf>
    <xf numFmtId="171" fontId="0" fillId="17" borderId="0" xfId="0" applyFill="1"/>
    <xf numFmtId="171" fontId="4" fillId="0" borderId="11" xfId="0" applyFont="1" applyBorder="1"/>
    <xf numFmtId="171" fontId="0" fillId="18" borderId="22" xfId="0" applyFill="1" applyBorder="1"/>
    <xf numFmtId="171" fontId="0" fillId="18" borderId="0" xfId="0" applyFill="1"/>
    <xf numFmtId="44" fontId="0" fillId="18" borderId="0" xfId="2" applyFont="1" applyFill="1"/>
    <xf numFmtId="165" fontId="5" fillId="18" borderId="0" xfId="24" applyNumberFormat="1" applyFill="1" applyAlignment="1">
      <alignment horizontal="center"/>
    </xf>
    <xf numFmtId="171" fontId="0" fillId="0" borderId="23" xfId="0" applyBorder="1"/>
    <xf numFmtId="171" fontId="0" fillId="0" borderId="1" xfId="0" applyBorder="1"/>
    <xf numFmtId="171" fontId="0" fillId="0" borderId="12" xfId="0" applyBorder="1"/>
    <xf numFmtId="171" fontId="0" fillId="6" borderId="11" xfId="0" applyFill="1" applyBorder="1"/>
    <xf numFmtId="171" fontId="0" fillId="17" borderId="11" xfId="0" applyFill="1" applyBorder="1"/>
    <xf numFmtId="171" fontId="0" fillId="17" borderId="10" xfId="0" applyFill="1" applyBorder="1"/>
    <xf numFmtId="0" fontId="4" fillId="0" borderId="9" xfId="0" applyNumberFormat="1" applyFont="1" applyBorder="1"/>
    <xf numFmtId="0" fontId="4" fillId="0" borderId="4" xfId="0" applyNumberFormat="1" applyFont="1" applyBorder="1"/>
    <xf numFmtId="171" fontId="0" fillId="0" borderId="22" xfId="0" applyBorder="1"/>
    <xf numFmtId="171" fontId="0" fillId="0" borderId="8" xfId="0" applyBorder="1"/>
    <xf numFmtId="171" fontId="4" fillId="6" borderId="0" xfId="0" applyFont="1" applyFill="1" applyAlignment="1">
      <alignment wrapText="1"/>
    </xf>
    <xf numFmtId="171" fontId="4" fillId="5" borderId="0" xfId="0" applyFont="1" applyFill="1" applyAlignment="1">
      <alignment wrapText="1"/>
    </xf>
    <xf numFmtId="171" fontId="0" fillId="0" borderId="3" xfId="0" applyBorder="1"/>
    <xf numFmtId="171" fontId="0" fillId="0" borderId="9" xfId="0" applyBorder="1"/>
    <xf numFmtId="171" fontId="0" fillId="0" borderId="4" xfId="0" applyBorder="1"/>
    <xf numFmtId="171" fontId="0" fillId="0" borderId="2" xfId="0" applyBorder="1"/>
    <xf numFmtId="171" fontId="4" fillId="19" borderId="0" xfId="0" applyFont="1" applyFill="1"/>
    <xf numFmtId="44" fontId="4" fillId="0" borderId="0" xfId="2" applyFont="1"/>
    <xf numFmtId="44" fontId="0" fillId="0" borderId="0" xfId="2" applyFont="1" applyBorder="1"/>
    <xf numFmtId="171" fontId="0" fillId="0" borderId="0" xfId="0" applyAlignment="1">
      <alignment horizontal="centerContinuous"/>
    </xf>
    <xf numFmtId="171" fontId="4" fillId="0" borderId="0" xfId="0" applyFont="1" applyAlignment="1">
      <alignment horizontal="right"/>
    </xf>
    <xf numFmtId="171" fontId="4" fillId="0" borderId="5" xfId="0" applyFont="1" applyBorder="1" applyAlignment="1">
      <alignment horizontal="centerContinuous" wrapText="1"/>
    </xf>
    <xf numFmtId="171" fontId="9" fillId="0" borderId="6" xfId="0" applyFont="1" applyBorder="1" applyAlignment="1">
      <alignment horizontal="centerContinuous"/>
    </xf>
    <xf numFmtId="171" fontId="8" fillId="0" borderId="0" xfId="0" quotePrefix="1" applyFont="1" applyAlignment="1">
      <alignment horizontal="center"/>
    </xf>
    <xf numFmtId="6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/>
    <xf numFmtId="165" fontId="0" fillId="0" borderId="0" xfId="0" applyNumberFormat="1" applyAlignment="1">
      <alignment horizontal="center"/>
    </xf>
    <xf numFmtId="44" fontId="0" fillId="0" borderId="0" xfId="0" applyNumberFormat="1"/>
    <xf numFmtId="16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8" fontId="40" fillId="0" borderId="0" xfId="0" applyNumberFormat="1" applyFont="1"/>
    <xf numFmtId="8" fontId="40" fillId="0" borderId="0" xfId="0" applyNumberFormat="1" applyFont="1" applyAlignment="1">
      <alignment horizontal="center"/>
    </xf>
    <xf numFmtId="0" fontId="0" fillId="0" borderId="0" xfId="5" applyNumberFormat="1" applyFont="1"/>
    <xf numFmtId="8" fontId="0" fillId="0" borderId="15" xfId="0" applyNumberFormat="1" applyBorder="1" applyAlignment="1">
      <alignment horizontal="right"/>
    </xf>
    <xf numFmtId="171" fontId="0" fillId="0" borderId="0" xfId="5" applyFont="1"/>
    <xf numFmtId="172" fontId="0" fillId="0" borderId="0" xfId="5" applyNumberFormat="1" applyFont="1"/>
    <xf numFmtId="8" fontId="0" fillId="12" borderId="0" xfId="0" applyNumberFormat="1" applyFill="1" applyAlignment="1">
      <alignment horizontal="right"/>
    </xf>
    <xf numFmtId="181" fontId="0" fillId="0" borderId="0" xfId="0" applyNumberFormat="1"/>
    <xf numFmtId="171" fontId="0" fillId="0" borderId="0" xfId="0" applyAlignment="1">
      <alignment horizontal="center"/>
    </xf>
    <xf numFmtId="41" fontId="0" fillId="0" borderId="0" xfId="5" applyNumberFormat="1" applyFont="1"/>
    <xf numFmtId="171" fontId="4" fillId="0" borderId="17" xfId="0" applyFont="1" applyBorder="1" applyAlignment="1">
      <alignment horizontal="centerContinuous"/>
    </xf>
    <xf numFmtId="171" fontId="4" fillId="0" borderId="24" xfId="0" applyFont="1" applyBorder="1" applyAlignment="1">
      <alignment horizontal="centerContinuous"/>
    </xf>
    <xf numFmtId="171" fontId="0" fillId="0" borderId="18" xfId="0" applyBorder="1" applyAlignment="1">
      <alignment horizontal="centerContinuous"/>
    </xf>
    <xf numFmtId="171" fontId="4" fillId="0" borderId="7" xfId="0" applyFont="1" applyBorder="1" applyAlignment="1">
      <alignment horizontal="centerContinuous"/>
    </xf>
    <xf numFmtId="171" fontId="4" fillId="0" borderId="9" xfId="0" applyFont="1" applyBorder="1" applyAlignment="1">
      <alignment horizontal="centerContinuous"/>
    </xf>
    <xf numFmtId="171" fontId="4" fillId="0" borderId="7" xfId="0" applyFont="1" applyBorder="1" applyAlignment="1">
      <alignment horizontal="center"/>
    </xf>
    <xf numFmtId="41" fontId="0" fillId="0" borderId="0" xfId="0" applyNumberFormat="1"/>
    <xf numFmtId="41" fontId="36" fillId="0" borderId="0" xfId="0" applyNumberFormat="1" applyFont="1"/>
    <xf numFmtId="171" fontId="4" fillId="0" borderId="7" xfId="5" applyFont="1" applyBorder="1" applyAlignment="1">
      <alignment horizontal="centerContinuous"/>
    </xf>
    <xf numFmtId="171" fontId="0" fillId="0" borderId="0" xfId="5" applyFont="1" applyAlignment="1">
      <alignment horizontal="left"/>
    </xf>
    <xf numFmtId="171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71" fontId="36" fillId="0" borderId="0" xfId="0" applyFont="1"/>
    <xf numFmtId="173" fontId="36" fillId="0" borderId="0" xfId="0" applyNumberFormat="1" applyFont="1"/>
    <xf numFmtId="164" fontId="36" fillId="0" borderId="0" xfId="0" applyNumberFormat="1" applyFont="1" applyAlignment="1">
      <alignment horizontal="center"/>
    </xf>
    <xf numFmtId="167" fontId="0" fillId="0" borderId="0" xfId="0" applyNumberFormat="1"/>
    <xf numFmtId="164" fontId="0" fillId="0" borderId="0" xfId="0" applyNumberFormat="1"/>
    <xf numFmtId="164" fontId="8" fillId="0" borderId="0" xfId="0" applyNumberFormat="1" applyFont="1" applyAlignment="1">
      <alignment horizontal="right"/>
    </xf>
    <xf numFmtId="171" fontId="4" fillId="0" borderId="9" xfId="5" applyFont="1" applyBorder="1" applyAlignment="1">
      <alignment horizontal="centerContinuous"/>
    </xf>
    <xf numFmtId="171" fontId="4" fillId="0" borderId="3" xfId="5" applyFont="1" applyBorder="1" applyAlignment="1">
      <alignment horizontal="centerContinuous"/>
    </xf>
    <xf numFmtId="171" fontId="0" fillId="0" borderId="9" xfId="0" applyBorder="1" applyAlignment="1">
      <alignment horizontal="centerContinuous"/>
    </xf>
    <xf numFmtId="171" fontId="0" fillId="0" borderId="4" xfId="0" applyBorder="1" applyAlignment="1">
      <alignment horizontal="centerContinuous"/>
    </xf>
    <xf numFmtId="165" fontId="0" fillId="0" borderId="0" xfId="0" applyNumberFormat="1" applyAlignment="1">
      <alignment horizontal="right"/>
    </xf>
    <xf numFmtId="44" fontId="0" fillId="0" borderId="0" xfId="2" applyFont="1" applyFill="1"/>
    <xf numFmtId="9" fontId="0" fillId="0" borderId="0" xfId="8" applyFont="1"/>
    <xf numFmtId="174" fontId="0" fillId="0" borderId="0" xfId="0" applyNumberFormat="1"/>
    <xf numFmtId="9" fontId="0" fillId="0" borderId="0" xfId="0" applyNumberFormat="1"/>
    <xf numFmtId="0" fontId="0" fillId="0" borderId="2" xfId="0" applyNumberFormat="1" applyBorder="1"/>
    <xf numFmtId="0" fontId="0" fillId="0" borderId="1" xfId="0" applyNumberFormat="1" applyBorder="1"/>
    <xf numFmtId="172" fontId="5" fillId="10" borderId="0" xfId="24" applyNumberFormat="1" applyFill="1"/>
    <xf numFmtId="172" fontId="0" fillId="5" borderId="0" xfId="0" applyNumberFormat="1" applyFill="1"/>
    <xf numFmtId="0" fontId="4" fillId="0" borderId="22" xfId="0" applyNumberFormat="1" applyFont="1" applyBorder="1"/>
    <xf numFmtId="0" fontId="4" fillId="0" borderId="2" xfId="0" applyNumberFormat="1" applyFont="1" applyBorder="1"/>
    <xf numFmtId="0" fontId="4" fillId="0" borderId="8" xfId="0" applyNumberFormat="1" applyFont="1" applyBorder="1"/>
    <xf numFmtId="171" fontId="0" fillId="5" borderId="22" xfId="0" applyFill="1" applyBorder="1"/>
    <xf numFmtId="171" fontId="0" fillId="5" borderId="2" xfId="0" applyFill="1" applyBorder="1"/>
    <xf numFmtId="171" fontId="41" fillId="0" borderId="0" xfId="0" applyFont="1"/>
    <xf numFmtId="171" fontId="26" fillId="0" borderId="0" xfId="31" applyFont="1"/>
    <xf numFmtId="174" fontId="26" fillId="0" borderId="0" xfId="0" applyNumberFormat="1" applyFont="1"/>
    <xf numFmtId="171" fontId="26" fillId="0" borderId="0" xfId="0" applyFont="1"/>
    <xf numFmtId="171" fontId="42" fillId="0" borderId="0" xfId="0" applyFont="1"/>
    <xf numFmtId="171" fontId="43" fillId="0" borderId="26" xfId="0" applyFont="1" applyBorder="1"/>
    <xf numFmtId="171" fontId="44" fillId="0" borderId="15" xfId="0" applyFont="1" applyBorder="1" applyAlignment="1">
      <alignment horizontal="center" wrapText="1"/>
    </xf>
    <xf numFmtId="171" fontId="0" fillId="0" borderId="0" xfId="0" applyAlignment="1">
      <alignment horizontal="center" wrapText="1"/>
    </xf>
    <xf numFmtId="171" fontId="44" fillId="0" borderId="27" xfId="0" applyFont="1" applyBorder="1" applyAlignment="1">
      <alignment horizontal="right"/>
    </xf>
    <xf numFmtId="171" fontId="44" fillId="0" borderId="28" xfId="0" applyFont="1" applyBorder="1" applyAlignment="1">
      <alignment horizontal="center" wrapText="1"/>
    </xf>
    <xf numFmtId="171" fontId="44" fillId="0" borderId="27" xfId="0" applyFont="1" applyBorder="1" applyAlignment="1">
      <alignment horizontal="center" wrapText="1"/>
    </xf>
    <xf numFmtId="171" fontId="44" fillId="0" borderId="29" xfId="0" applyFont="1" applyBorder="1" applyAlignment="1">
      <alignment horizontal="center" wrapText="1"/>
    </xf>
    <xf numFmtId="171" fontId="44" fillId="0" borderId="14" xfId="0" applyFont="1" applyBorder="1" applyAlignment="1">
      <alignment horizontal="center"/>
    </xf>
    <xf numFmtId="171" fontId="44" fillId="0" borderId="27" xfId="0" applyFont="1" applyBorder="1" applyAlignment="1">
      <alignment horizontal="center"/>
    </xf>
    <xf numFmtId="171" fontId="44" fillId="0" borderId="29" xfId="0" applyFont="1" applyBorder="1" applyAlignment="1">
      <alignment horizontal="center"/>
    </xf>
    <xf numFmtId="171" fontId="44" fillId="0" borderId="0" xfId="0" applyFont="1" applyAlignment="1">
      <alignment horizontal="center"/>
    </xf>
    <xf numFmtId="171" fontId="44" fillId="0" borderId="16" xfId="0" applyFont="1" applyBorder="1" applyAlignment="1">
      <alignment horizontal="left"/>
    </xf>
    <xf numFmtId="171" fontId="44" fillId="0" borderId="17" xfId="0" applyFont="1" applyBorder="1" applyAlignment="1">
      <alignment horizontal="center"/>
    </xf>
    <xf numFmtId="171" fontId="44" fillId="0" borderId="26" xfId="0" applyFont="1" applyBorder="1"/>
    <xf numFmtId="9" fontId="43" fillId="0" borderId="26" xfId="8" applyFont="1" applyFill="1" applyBorder="1" applyAlignment="1">
      <alignment horizontal="center"/>
    </xf>
    <xf numFmtId="9" fontId="43" fillId="0" borderId="30" xfId="8" applyFont="1" applyFill="1" applyBorder="1" applyAlignment="1">
      <alignment horizontal="center"/>
    </xf>
    <xf numFmtId="9" fontId="0" fillId="0" borderId="0" xfId="8" applyFont="1" applyFill="1"/>
    <xf numFmtId="171" fontId="44" fillId="0" borderId="27" xfId="0" applyFont="1" applyBorder="1"/>
    <xf numFmtId="9" fontId="43" fillId="0" borderId="27" xfId="8" applyFont="1" applyFill="1" applyBorder="1" applyAlignment="1">
      <alignment horizontal="center"/>
    </xf>
    <xf numFmtId="9" fontId="43" fillId="0" borderId="29" xfId="8" applyFont="1" applyFill="1" applyBorder="1" applyAlignment="1">
      <alignment horizontal="center"/>
    </xf>
    <xf numFmtId="171" fontId="44" fillId="0" borderId="31" xfId="0" applyFont="1" applyBorder="1"/>
    <xf numFmtId="9" fontId="43" fillId="0" borderId="31" xfId="8" applyFont="1" applyFill="1" applyBorder="1" applyAlignment="1">
      <alignment horizontal="center"/>
    </xf>
    <xf numFmtId="9" fontId="43" fillId="0" borderId="32" xfId="8" applyFont="1" applyFill="1" applyBorder="1" applyAlignment="1">
      <alignment horizontal="center"/>
    </xf>
    <xf numFmtId="9" fontId="43" fillId="0" borderId="17" xfId="8" applyFont="1" applyFill="1" applyBorder="1" applyAlignment="1">
      <alignment horizontal="center"/>
    </xf>
    <xf numFmtId="9" fontId="43" fillId="20" borderId="27" xfId="23" applyFont="1" applyFill="1" applyBorder="1" applyAlignment="1">
      <alignment horizontal="center"/>
    </xf>
    <xf numFmtId="8" fontId="5" fillId="16" borderId="0" xfId="2" applyNumberFormat="1" applyFont="1" applyFill="1" applyBorder="1"/>
    <xf numFmtId="172" fontId="5" fillId="15" borderId="0" xfId="24" applyNumberFormat="1" applyFill="1" applyAlignment="1">
      <alignment horizontal="right"/>
    </xf>
    <xf numFmtId="171" fontId="5" fillId="0" borderId="0" xfId="0" applyFont="1" applyAlignment="1">
      <alignment horizontal="center" vertical="top"/>
    </xf>
    <xf numFmtId="171" fontId="5" fillId="0" borderId="0" xfId="0" applyFont="1" applyAlignment="1">
      <alignment horizontal="center"/>
    </xf>
    <xf numFmtId="171" fontId="4" fillId="0" borderId="0" xfId="0" applyFont="1" applyAlignment="1">
      <alignment horizontal="center"/>
    </xf>
    <xf numFmtId="171" fontId="44" fillId="0" borderId="17" xfId="0" applyFont="1" applyBorder="1" applyAlignment="1">
      <alignment horizontal="center"/>
    </xf>
    <xf numFmtId="171" fontId="0" fillId="0" borderId="17" xfId="0" applyBorder="1" applyAlignment="1">
      <alignment horizontal="center"/>
    </xf>
    <xf numFmtId="171" fontId="44" fillId="0" borderId="16" xfId="0" applyFont="1" applyBorder="1" applyAlignment="1">
      <alignment horizontal="center" vertical="center" wrapText="1"/>
    </xf>
    <xf numFmtId="171" fontId="44" fillId="0" borderId="18" xfId="0" applyFont="1" applyBorder="1" applyAlignment="1">
      <alignment horizontal="center" vertical="center" wrapText="1"/>
    </xf>
    <xf numFmtId="171" fontId="4" fillId="0" borderId="3" xfId="24" applyFont="1" applyBorder="1" applyAlignment="1">
      <alignment horizontal="left" vertical="top"/>
    </xf>
    <xf numFmtId="171" fontId="4" fillId="0" borderId="9" xfId="24" applyFont="1" applyBorder="1" applyAlignment="1">
      <alignment horizontal="left" vertical="top"/>
    </xf>
    <xf numFmtId="171" fontId="4" fillId="0" borderId="4" xfId="24" applyFont="1" applyBorder="1" applyAlignment="1">
      <alignment horizontal="left" vertical="top"/>
    </xf>
    <xf numFmtId="165" fontId="0" fillId="0" borderId="0" xfId="24" applyNumberFormat="1" applyFont="1" applyAlignment="1">
      <alignment horizontal="center" vertical="top" wrapText="1"/>
    </xf>
    <xf numFmtId="171" fontId="4" fillId="0" borderId="3" xfId="24" applyFont="1" applyBorder="1" applyAlignment="1">
      <alignment horizontal="center"/>
    </xf>
    <xf numFmtId="171" fontId="4" fillId="0" borderId="9" xfId="24" applyFont="1" applyBorder="1" applyAlignment="1">
      <alignment horizontal="center"/>
    </xf>
    <xf numFmtId="171" fontId="4" fillId="0" borderId="4" xfId="24" applyFont="1" applyBorder="1" applyAlignment="1">
      <alignment horizontal="center"/>
    </xf>
    <xf numFmtId="165" fontId="5" fillId="0" borderId="0" xfId="24" applyNumberFormat="1" applyAlignment="1">
      <alignment horizontal="center" vertical="top" wrapText="1"/>
    </xf>
  </cellXfs>
  <cellStyles count="32">
    <cellStyle name="Comma" xfId="1" builtinId="3"/>
    <cellStyle name="Comma 2" xfId="14" xr:uid="{00000000-0005-0000-0000-000001000000}"/>
    <cellStyle name="Comma 3" xfId="28" xr:uid="{00000000-0005-0000-0000-000002000000}"/>
    <cellStyle name="Currency" xfId="2" builtinId="4"/>
    <cellStyle name="Currency 2" xfId="15" xr:uid="{00000000-0005-0000-0000-000004000000}"/>
    <cellStyle name="Currency No Comma" xfId="16" xr:uid="{00000000-0005-0000-0000-000005000000}"/>
    <cellStyle name="Hyperlink" xfId="27" builtinId="8"/>
    <cellStyle name="Input" xfId="3" builtinId="20" customBuiltin="1"/>
    <cellStyle name="MCP" xfId="17" xr:uid="{00000000-0005-0000-0000-000008000000}"/>
    <cellStyle name="noninput" xfId="18" xr:uid="{00000000-0005-0000-0000-000009000000}"/>
    <cellStyle name="Normal" xfId="0" builtinId="0" customBuiltin="1"/>
    <cellStyle name="Normal 176" xfId="29" xr:uid="{00000000-0005-0000-0000-00000B000000}"/>
    <cellStyle name="Normal 2" xfId="9" xr:uid="{00000000-0005-0000-0000-00000C000000}"/>
    <cellStyle name="Normal 2 2" xfId="13" xr:uid="{00000000-0005-0000-0000-00000D000000}"/>
    <cellStyle name="Normal 3" xfId="10" xr:uid="{00000000-0005-0000-0000-00000E000000}"/>
    <cellStyle name="Normal 3 2" xfId="26" xr:uid="{00000000-0005-0000-0000-00000F000000}"/>
    <cellStyle name="Normal 5" xfId="12" xr:uid="{00000000-0005-0000-0000-000010000000}"/>
    <cellStyle name="Normal_Book1" xfId="30" xr:uid="{D3489703-B45D-4570-8943-D390DE335C88}"/>
    <cellStyle name="Normal_DRR AC Study - Utah Valley - 53 MW 90 CF (2.28.2005)" xfId="4" xr:uid="{00000000-0005-0000-0000-000011000000}"/>
    <cellStyle name="Normal_INF_06_03_07" xfId="25" xr:uid="{00000000-0005-0000-0000-000012000000}"/>
    <cellStyle name="Normal_OR AC Sch 37 - AC  Study (Gold) _2009 06 19" xfId="5" xr:uid="{00000000-0005-0000-0000-000013000000}"/>
    <cellStyle name="Normal_T-INF-10-15-04-TEMPLATE" xfId="6" xr:uid="{00000000-0005-0000-0000-000014000000}"/>
    <cellStyle name="Normal_UT 2008.Q2 - Compliance - Appendix B - AC Study_2008 08 05" xfId="11" xr:uid="{00000000-0005-0000-0000-000015000000}"/>
    <cellStyle name="Normal_UT AC 2004 - AC Study (As Ordered by Commission)" xfId="7" xr:uid="{00000000-0005-0000-0000-000016000000}"/>
    <cellStyle name="Normal_WY AC 2009 - AC Study (Wind Study)_2009 08 11" xfId="24" xr:uid="{00000000-0005-0000-0000-000017000000}"/>
    <cellStyle name="Normal_xAC_Demand (Avoided Cost)" xfId="31" xr:uid="{6B74703B-3678-4DBD-95FD-2FBC29A0540A}"/>
    <cellStyle name="Password" xfId="19" xr:uid="{00000000-0005-0000-0000-000018000000}"/>
    <cellStyle name="Percent" xfId="8" builtinId="5"/>
    <cellStyle name="Percent 2" xfId="23" xr:uid="{00000000-0005-0000-0000-00001A000000}"/>
    <cellStyle name="Unprot" xfId="20" xr:uid="{00000000-0005-0000-0000-00001B000000}"/>
    <cellStyle name="Unprot$" xfId="21" xr:uid="{00000000-0005-0000-0000-00001C000000}"/>
    <cellStyle name="Unprotect" xfId="22" xr:uid="{00000000-0005-0000-0000-00001D000000}"/>
  </cellStyles>
  <dxfs count="1"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4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65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5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3.xml"/><Relationship Id="rId7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6%20-%20UT2021Q2%20-%20UT%20-%202021%20Aug\Sch%2038%20Filing\4_Appendix%20B.1%20-%20UT%202021.Q2%20-%20AC%20Study%20NON-CONF%20Therm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23%20-%20Tesoro%20-%20UT%20-%202023%20Aug\Workpapers%20for%20Filing\DR_23%20-%20Tesoro%20-%201a%20-%20GRID%20AC%20Study%20CONF%20IRP2023%20_2023%2008%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/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voided Costs"/>
      <sheetName val="Delta"/>
      <sheetName val="NPC"/>
      <sheetName val="BASE"/>
    </sheetNames>
    <sheetDataSet>
      <sheetData sheetId="0" refreshError="1"/>
      <sheetData sheetId="1">
        <row r="4">
          <cell r="B4" t="str">
            <v>Year</v>
          </cell>
          <cell r="C4" t="str">
            <v>Annual</v>
          </cell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</row>
        <row r="7">
          <cell r="B7">
            <v>2024</v>
          </cell>
          <cell r="C7">
            <v>46.187980847598581</v>
          </cell>
          <cell r="D7">
            <v>52.620771655521388</v>
          </cell>
          <cell r="E7">
            <v>46.886085092185155</v>
          </cell>
          <cell r="F7">
            <v>35.502714651412106</v>
          </cell>
          <cell r="G7">
            <v>24.909014847228924</v>
          </cell>
          <cell r="H7">
            <v>23.936959047809687</v>
          </cell>
          <cell r="I7">
            <v>33.39455483350099</v>
          </cell>
          <cell r="J7">
            <v>81.164302287402975</v>
          </cell>
          <cell r="K7">
            <v>71.405268834786725</v>
          </cell>
          <cell r="L7">
            <v>45.843528817004824</v>
          </cell>
          <cell r="M7">
            <v>37.675037352824646</v>
          </cell>
          <cell r="N7">
            <v>38.612235549869489</v>
          </cell>
          <cell r="O7">
            <v>60.995736528909482</v>
          </cell>
        </row>
        <row r="8">
          <cell r="B8">
            <v>2025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2026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>
            <v>2027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>
            <v>2028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>
            <v>2029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2030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>
            <v>2031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2032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2033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</sheetData>
      <sheetData sheetId="2">
        <row r="1">
          <cell r="A1" t="str">
            <v>PacifiCorp</v>
          </cell>
        </row>
        <row r="2">
          <cell r="A2" t="str">
            <v>Avoided Cost Study</v>
          </cell>
        </row>
        <row r="3">
          <cell r="A3" t="str">
            <v>Period = 2024-2033</v>
          </cell>
          <cell r="F3">
            <v>45292</v>
          </cell>
          <cell r="G3">
            <v>45323</v>
          </cell>
          <cell r="H3">
            <v>45352</v>
          </cell>
          <cell r="I3">
            <v>45383</v>
          </cell>
          <cell r="J3">
            <v>45413</v>
          </cell>
          <cell r="K3">
            <v>45444</v>
          </cell>
          <cell r="L3">
            <v>45474</v>
          </cell>
          <cell r="M3">
            <v>45505</v>
          </cell>
          <cell r="N3">
            <v>45536</v>
          </cell>
          <cell r="O3">
            <v>45566</v>
          </cell>
          <cell r="P3">
            <v>45597</v>
          </cell>
          <cell r="Q3">
            <v>45627</v>
          </cell>
          <cell r="R3">
            <v>2025</v>
          </cell>
          <cell r="S3">
            <v>45658</v>
          </cell>
          <cell r="T3">
            <v>45689</v>
          </cell>
          <cell r="U3">
            <v>45717</v>
          </cell>
          <cell r="V3">
            <v>45748</v>
          </cell>
          <cell r="W3">
            <v>45778</v>
          </cell>
          <cell r="X3">
            <v>45809</v>
          </cell>
          <cell r="Y3">
            <v>45839</v>
          </cell>
          <cell r="Z3">
            <v>45870</v>
          </cell>
          <cell r="AA3">
            <v>45901</v>
          </cell>
          <cell r="AB3">
            <v>45931</v>
          </cell>
          <cell r="AC3">
            <v>45962</v>
          </cell>
          <cell r="AD3">
            <v>45992</v>
          </cell>
          <cell r="AE3">
            <v>2026</v>
          </cell>
          <cell r="AF3">
            <v>46023</v>
          </cell>
          <cell r="AG3">
            <v>46054</v>
          </cell>
          <cell r="AH3">
            <v>46082</v>
          </cell>
          <cell r="AI3">
            <v>46113</v>
          </cell>
          <cell r="AJ3">
            <v>46143</v>
          </cell>
          <cell r="AK3">
            <v>46174</v>
          </cell>
          <cell r="AL3">
            <v>46204</v>
          </cell>
          <cell r="AM3">
            <v>46235</v>
          </cell>
          <cell r="AN3">
            <v>46266</v>
          </cell>
          <cell r="AO3">
            <v>46296</v>
          </cell>
          <cell r="AP3">
            <v>46327</v>
          </cell>
          <cell r="AQ3">
            <v>46357</v>
          </cell>
          <cell r="AR3">
            <v>2027</v>
          </cell>
          <cell r="AS3">
            <v>46388</v>
          </cell>
          <cell r="AT3">
            <v>46419</v>
          </cell>
          <cell r="AU3">
            <v>46447</v>
          </cell>
          <cell r="AV3">
            <v>46478</v>
          </cell>
          <cell r="AW3">
            <v>46508</v>
          </cell>
          <cell r="AX3">
            <v>46539</v>
          </cell>
          <cell r="AY3">
            <v>46569</v>
          </cell>
          <cell r="AZ3">
            <v>46600</v>
          </cell>
          <cell r="BA3">
            <v>46631</v>
          </cell>
          <cell r="BB3">
            <v>46661</v>
          </cell>
          <cell r="BC3">
            <v>46692</v>
          </cell>
          <cell r="BD3">
            <v>46722</v>
          </cell>
          <cell r="BE3">
            <v>2028</v>
          </cell>
          <cell r="BF3">
            <v>46753</v>
          </cell>
          <cell r="BG3">
            <v>46784</v>
          </cell>
          <cell r="BH3">
            <v>46813</v>
          </cell>
          <cell r="BI3">
            <v>46844</v>
          </cell>
          <cell r="BJ3">
            <v>46874</v>
          </cell>
          <cell r="BK3">
            <v>46905</v>
          </cell>
          <cell r="BL3">
            <v>46935</v>
          </cell>
          <cell r="BM3">
            <v>46966</v>
          </cell>
          <cell r="BN3">
            <v>46997</v>
          </cell>
          <cell r="BO3">
            <v>47027</v>
          </cell>
          <cell r="BP3">
            <v>47058</v>
          </cell>
          <cell r="BQ3">
            <v>47088</v>
          </cell>
          <cell r="BR3">
            <v>2029</v>
          </cell>
          <cell r="BS3">
            <v>47119</v>
          </cell>
          <cell r="BT3">
            <v>47150</v>
          </cell>
          <cell r="BU3">
            <v>47178</v>
          </cell>
          <cell r="BV3">
            <v>47209</v>
          </cell>
          <cell r="BW3">
            <v>47239</v>
          </cell>
          <cell r="BX3">
            <v>47270</v>
          </cell>
          <cell r="BY3">
            <v>47300</v>
          </cell>
          <cell r="BZ3">
            <v>47331</v>
          </cell>
          <cell r="CA3">
            <v>47362</v>
          </cell>
          <cell r="CB3">
            <v>47392</v>
          </cell>
          <cell r="CC3">
            <v>47423</v>
          </cell>
          <cell r="CD3">
            <v>47453</v>
          </cell>
          <cell r="CE3">
            <v>2030</v>
          </cell>
          <cell r="CF3">
            <v>47484</v>
          </cell>
          <cell r="CG3">
            <v>47515</v>
          </cell>
          <cell r="CH3">
            <v>47543</v>
          </cell>
          <cell r="CI3">
            <v>47574</v>
          </cell>
          <cell r="CJ3">
            <v>47604</v>
          </cell>
          <cell r="CK3">
            <v>47635</v>
          </cell>
          <cell r="CL3">
            <v>47665</v>
          </cell>
          <cell r="CM3">
            <v>47696</v>
          </cell>
          <cell r="CN3">
            <v>47727</v>
          </cell>
          <cell r="CO3">
            <v>47757</v>
          </cell>
          <cell r="CP3">
            <v>47788</v>
          </cell>
          <cell r="CQ3">
            <v>47818</v>
          </cell>
          <cell r="CR3">
            <v>2031</v>
          </cell>
          <cell r="CS3">
            <v>47849</v>
          </cell>
          <cell r="CT3">
            <v>47880</v>
          </cell>
          <cell r="CU3">
            <v>47908</v>
          </cell>
          <cell r="CV3">
            <v>47939</v>
          </cell>
          <cell r="CW3">
            <v>47969</v>
          </cell>
          <cell r="CX3">
            <v>48000</v>
          </cell>
          <cell r="CY3">
            <v>48030</v>
          </cell>
          <cell r="CZ3">
            <v>48061</v>
          </cell>
          <cell r="DA3">
            <v>48092</v>
          </cell>
          <cell r="DB3">
            <v>48122</v>
          </cell>
          <cell r="DC3">
            <v>48153</v>
          </cell>
          <cell r="DD3">
            <v>48183</v>
          </cell>
          <cell r="DE3">
            <v>2032</v>
          </cell>
          <cell r="DF3">
            <v>48214</v>
          </cell>
          <cell r="DG3">
            <v>48245</v>
          </cell>
          <cell r="DH3">
            <v>48274</v>
          </cell>
          <cell r="DI3">
            <v>48305</v>
          </cell>
          <cell r="DJ3">
            <v>48335</v>
          </cell>
          <cell r="DK3">
            <v>48366</v>
          </cell>
          <cell r="DL3">
            <v>48396</v>
          </cell>
          <cell r="DM3">
            <v>48427</v>
          </cell>
          <cell r="DN3">
            <v>48458</v>
          </cell>
          <cell r="DO3">
            <v>48488</v>
          </cell>
          <cell r="DP3">
            <v>48519</v>
          </cell>
          <cell r="DQ3">
            <v>48549</v>
          </cell>
          <cell r="DR3">
            <v>2033</v>
          </cell>
          <cell r="DS3">
            <v>48580</v>
          </cell>
          <cell r="DT3">
            <v>48611</v>
          </cell>
          <cell r="DU3">
            <v>48639</v>
          </cell>
          <cell r="DV3">
            <v>48670</v>
          </cell>
          <cell r="DW3">
            <v>48700</v>
          </cell>
          <cell r="DX3">
            <v>48731</v>
          </cell>
          <cell r="DY3">
            <v>48761</v>
          </cell>
          <cell r="DZ3">
            <v>48792</v>
          </cell>
          <cell r="EA3">
            <v>48823</v>
          </cell>
          <cell r="EB3">
            <v>48853</v>
          </cell>
          <cell r="EC3">
            <v>48884</v>
          </cell>
          <cell r="ED3">
            <v>48914</v>
          </cell>
        </row>
        <row r="5">
          <cell r="R5" t="str">
            <v>$</v>
          </cell>
          <cell r="AE5" t="str">
            <v>$</v>
          </cell>
          <cell r="AR5" t="str">
            <v>$</v>
          </cell>
          <cell r="BE5" t="str">
            <v>$</v>
          </cell>
          <cell r="BR5" t="str">
            <v>$</v>
          </cell>
          <cell r="CE5" t="str">
            <v>$</v>
          </cell>
          <cell r="CR5" t="str">
            <v>$</v>
          </cell>
          <cell r="DE5" t="str">
            <v>$</v>
          </cell>
          <cell r="DR5" t="str">
            <v>$</v>
          </cell>
        </row>
        <row r="7">
          <cell r="A7" t="str">
            <v>Special Sales For Resale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</row>
        <row r="32">
          <cell r="F32">
            <v>0</v>
          </cell>
          <cell r="G32">
            <v>0</v>
          </cell>
          <cell r="H32">
            <v>2510.2000000001863</v>
          </cell>
          <cell r="I32">
            <v>0</v>
          </cell>
          <cell r="J32">
            <v>161.20000000018626</v>
          </cell>
          <cell r="K32">
            <v>0</v>
          </cell>
          <cell r="L32">
            <v>48175</v>
          </cell>
          <cell r="M32">
            <v>2896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</row>
        <row r="33">
          <cell r="F33">
            <v>96972</v>
          </cell>
          <cell r="G33">
            <v>79534</v>
          </cell>
          <cell r="H33">
            <v>37864.700000000186</v>
          </cell>
          <cell r="I33">
            <v>30545.5</v>
          </cell>
          <cell r="J33">
            <v>12437.299999999814</v>
          </cell>
          <cell r="K33">
            <v>8800</v>
          </cell>
          <cell r="L33">
            <v>59247</v>
          </cell>
          <cell r="M33">
            <v>12548</v>
          </cell>
          <cell r="N33">
            <v>11464</v>
          </cell>
          <cell r="O33">
            <v>80112</v>
          </cell>
          <cell r="P33">
            <v>90356</v>
          </cell>
          <cell r="Q33">
            <v>171814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</row>
        <row r="34">
          <cell r="F34">
            <v>19845</v>
          </cell>
          <cell r="G34">
            <v>18711.200000000186</v>
          </cell>
          <cell r="H34">
            <v>30800.200000000186</v>
          </cell>
          <cell r="I34">
            <v>5125.5</v>
          </cell>
          <cell r="J34">
            <v>25156.599999999627</v>
          </cell>
          <cell r="K34">
            <v>10578.5</v>
          </cell>
          <cell r="L34">
            <v>155544</v>
          </cell>
          <cell r="M34">
            <v>5050.2000000001863</v>
          </cell>
          <cell r="N34">
            <v>17831.299999999814</v>
          </cell>
          <cell r="O34">
            <v>7832.5</v>
          </cell>
          <cell r="P34">
            <v>3639.2999999998137</v>
          </cell>
          <cell r="Q34">
            <v>2120.7000000001863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</row>
        <row r="35">
          <cell r="F35">
            <v>37570.5</v>
          </cell>
          <cell r="G35">
            <v>41758.39999999851</v>
          </cell>
          <cell r="H35">
            <v>12143</v>
          </cell>
          <cell r="I35">
            <v>20074.899999999441</v>
          </cell>
          <cell r="J35">
            <v>13622.149999999907</v>
          </cell>
          <cell r="K35">
            <v>1033.7999999998137</v>
          </cell>
          <cell r="L35">
            <v>6973.8000000007451</v>
          </cell>
          <cell r="M35">
            <v>13272.5</v>
          </cell>
          <cell r="N35">
            <v>22302</v>
          </cell>
          <cell r="O35">
            <v>38957.5</v>
          </cell>
          <cell r="P35">
            <v>24588</v>
          </cell>
          <cell r="Q35">
            <v>44991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</row>
        <row r="36">
          <cell r="F36">
            <v>23086</v>
          </cell>
          <cell r="G36">
            <v>7990.7999999998137</v>
          </cell>
          <cell r="H36">
            <v>2637.6000000000931</v>
          </cell>
          <cell r="I36">
            <v>5264.7000000001863</v>
          </cell>
          <cell r="J36">
            <v>1712</v>
          </cell>
          <cell r="K36">
            <v>3054</v>
          </cell>
          <cell r="L36">
            <v>31876.5</v>
          </cell>
          <cell r="M36">
            <v>32329.5</v>
          </cell>
          <cell r="N36">
            <v>0</v>
          </cell>
          <cell r="O36">
            <v>8981</v>
          </cell>
          <cell r="P36">
            <v>5934.5</v>
          </cell>
          <cell r="Q36">
            <v>21980.400000000373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</row>
        <row r="38">
          <cell r="F38">
            <v>0</v>
          </cell>
          <cell r="G38">
            <v>0</v>
          </cell>
          <cell r="H38">
            <v>-61.073679999972228</v>
          </cell>
          <cell r="I38">
            <v>0</v>
          </cell>
          <cell r="J38">
            <v>-30.08543999993708</v>
          </cell>
          <cell r="K38">
            <v>0</v>
          </cell>
          <cell r="L38">
            <v>-881.88912000018172</v>
          </cell>
          <cell r="M38">
            <v>-68.040000000037253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</row>
        <row r="41">
          <cell r="F41">
            <v>177473.5</v>
          </cell>
          <cell r="G41">
            <v>147994.39999999478</v>
          </cell>
          <cell r="H41">
            <v>85894.626320000738</v>
          </cell>
          <cell r="I41">
            <v>61010.60000000149</v>
          </cell>
          <cell r="J41">
            <v>53059.164559999481</v>
          </cell>
          <cell r="K41">
            <v>23466.300000000745</v>
          </cell>
          <cell r="L41">
            <v>300934.41087999195</v>
          </cell>
          <cell r="M41">
            <v>66028.160000003874</v>
          </cell>
          <cell r="N41">
            <v>51597.29999999702</v>
          </cell>
          <cell r="O41">
            <v>135883</v>
          </cell>
          <cell r="P41">
            <v>124517.80000000447</v>
          </cell>
          <cell r="Q41">
            <v>240906.10000000894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3">
          <cell r="A43" t="str">
            <v>Total Special Sales For Resale</v>
          </cell>
          <cell r="F43">
            <v>177473.5</v>
          </cell>
          <cell r="G43">
            <v>147994.39999999478</v>
          </cell>
          <cell r="H43">
            <v>85894.626320000738</v>
          </cell>
          <cell r="I43">
            <v>61010.60000000149</v>
          </cell>
          <cell r="J43">
            <v>53059.164559999481</v>
          </cell>
          <cell r="K43">
            <v>23466.300000000745</v>
          </cell>
          <cell r="L43">
            <v>300934.41087999195</v>
          </cell>
          <cell r="M43">
            <v>66028.160000003874</v>
          </cell>
          <cell r="N43">
            <v>51597.29999999702</v>
          </cell>
          <cell r="O43">
            <v>135883</v>
          </cell>
          <cell r="P43">
            <v>124517.80000000447</v>
          </cell>
          <cell r="Q43">
            <v>240906.10000000894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</row>
        <row r="46">
          <cell r="A46" t="str">
            <v>Purchased Power &amp; Net Interchange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</row>
        <row r="104">
          <cell r="F104">
            <v>479.81884349882603</v>
          </cell>
          <cell r="G104">
            <v>320.87500723823905</v>
          </cell>
          <cell r="H104">
            <v>1384.9934008046985</v>
          </cell>
          <cell r="I104">
            <v>1700.5816605575383</v>
          </cell>
          <cell r="J104">
            <v>576.26912242174149</v>
          </cell>
          <cell r="K104">
            <v>83.512507859617472</v>
          </cell>
          <cell r="L104">
            <v>0</v>
          </cell>
          <cell r="M104">
            <v>0</v>
          </cell>
          <cell r="N104">
            <v>355.62431162595749</v>
          </cell>
          <cell r="O104">
            <v>230.77500000223517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</row>
        <row r="182">
          <cell r="F182">
            <v>479.81884349882603</v>
          </cell>
          <cell r="G182">
            <v>320.87500724196434</v>
          </cell>
          <cell r="H182">
            <v>1384.9934007972479</v>
          </cell>
          <cell r="I182">
            <v>1700.581660553813</v>
          </cell>
          <cell r="J182">
            <v>576.26912242174149</v>
          </cell>
          <cell r="K182">
            <v>83.512507870793343</v>
          </cell>
          <cell r="L182">
            <v>0</v>
          </cell>
          <cell r="M182">
            <v>0</v>
          </cell>
          <cell r="N182">
            <v>355.62431162595749</v>
          </cell>
          <cell r="O182">
            <v>230.7749999910593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</row>
        <row r="212">
          <cell r="F212">
            <v>0</v>
          </cell>
          <cell r="G212">
            <v>-7661.9100000000035</v>
          </cell>
          <cell r="H212">
            <v>-17025.190000000002</v>
          </cell>
          <cell r="I212">
            <v>-25086.650000000023</v>
          </cell>
          <cell r="J212">
            <v>-4067.2346879999968</v>
          </cell>
          <cell r="K212">
            <v>-10191.594000000041</v>
          </cell>
          <cell r="L212">
            <v>-164276.08000000007</v>
          </cell>
          <cell r="M212">
            <v>-269310</v>
          </cell>
          <cell r="N212">
            <v>-100921.79999999981</v>
          </cell>
          <cell r="O212">
            <v>-5744.2000000000116</v>
          </cell>
          <cell r="P212">
            <v>-1820.1300000000047</v>
          </cell>
          <cell r="Q212">
            <v>-13860.75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</row>
        <row r="213">
          <cell r="F213">
            <v>-7737.9399999999441</v>
          </cell>
          <cell r="G213">
            <v>-20517.810000000056</v>
          </cell>
          <cell r="H213">
            <v>-18139.360000000102</v>
          </cell>
          <cell r="I213">
            <v>-8051.039999999979</v>
          </cell>
          <cell r="J213">
            <v>-8673.6300000000047</v>
          </cell>
          <cell r="K213">
            <v>3771.6999999999971</v>
          </cell>
          <cell r="L213">
            <v>-33865.650000000023</v>
          </cell>
          <cell r="M213">
            <v>-34529.369999999995</v>
          </cell>
          <cell r="N213">
            <v>0</v>
          </cell>
          <cell r="O213">
            <v>-30930.860000000102</v>
          </cell>
          <cell r="P213">
            <v>-16633</v>
          </cell>
          <cell r="Q213">
            <v>-41388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</row>
        <row r="214">
          <cell r="F214">
            <v>-171981</v>
          </cell>
          <cell r="G214">
            <v>-153641</v>
          </cell>
          <cell r="H214">
            <v>-187856</v>
          </cell>
          <cell r="I214">
            <v>-44710.199999999953</v>
          </cell>
          <cell r="J214">
            <v>-95852</v>
          </cell>
          <cell r="K214">
            <v>-181816</v>
          </cell>
          <cell r="L214">
            <v>-379621</v>
          </cell>
          <cell r="M214">
            <v>-411500</v>
          </cell>
          <cell r="N214">
            <v>-195242</v>
          </cell>
          <cell r="O214">
            <v>-117934</v>
          </cell>
          <cell r="P214">
            <v>-65562</v>
          </cell>
          <cell r="Q214">
            <v>-187402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</row>
        <row r="215">
          <cell r="F215">
            <v>-132743.40000000037</v>
          </cell>
          <cell r="G215">
            <v>-101139.20000000019</v>
          </cell>
          <cell r="H215">
            <v>-70447.700000000186</v>
          </cell>
          <cell r="I215">
            <v>-65379.199999999721</v>
          </cell>
          <cell r="J215">
            <v>-28824.5</v>
          </cell>
          <cell r="K215">
            <v>-25519.859999999957</v>
          </cell>
          <cell r="L215">
            <v>-95899.799999999814</v>
          </cell>
          <cell r="M215">
            <v>-30115.799999999814</v>
          </cell>
          <cell r="N215">
            <v>-55700.199999999721</v>
          </cell>
          <cell r="O215">
            <v>-74463</v>
          </cell>
          <cell r="P215">
            <v>-59071</v>
          </cell>
          <cell r="Q215">
            <v>-110315.70000000019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</row>
        <row r="216">
          <cell r="F216">
            <v>-26778.300000000047</v>
          </cell>
          <cell r="G216">
            <v>-6934.3800000000047</v>
          </cell>
          <cell r="H216">
            <v>-7626.7800000000279</v>
          </cell>
          <cell r="I216">
            <v>-18.063000000000102</v>
          </cell>
          <cell r="J216">
            <v>-100.35200000000259</v>
          </cell>
          <cell r="K216">
            <v>-358.91200000000026</v>
          </cell>
          <cell r="L216">
            <v>-15966.450000000012</v>
          </cell>
          <cell r="M216">
            <v>-5419.1399999999994</v>
          </cell>
          <cell r="N216">
            <v>-5955.75</v>
          </cell>
          <cell r="O216">
            <v>-5977.3400000000256</v>
          </cell>
          <cell r="P216">
            <v>-9448.9500000000116</v>
          </cell>
          <cell r="Q216">
            <v>-9914.9099999999744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</row>
        <row r="221">
          <cell r="F221">
            <v>-339240.6400000006</v>
          </cell>
          <cell r="G221">
            <v>-289894.30000000075</v>
          </cell>
          <cell r="H221">
            <v>-301095.03000000119</v>
          </cell>
          <cell r="I221">
            <v>-143245.15299999993</v>
          </cell>
          <cell r="J221">
            <v>-137517.7166880006</v>
          </cell>
          <cell r="K221">
            <v>-214114.66600000113</v>
          </cell>
          <cell r="L221">
            <v>-689628.98000000045</v>
          </cell>
          <cell r="M221">
            <v>-750874.30999999493</v>
          </cell>
          <cell r="N221">
            <v>-357819.75000000373</v>
          </cell>
          <cell r="O221">
            <v>-235049.40000000224</v>
          </cell>
          <cell r="P221">
            <v>-152535.07999999821</v>
          </cell>
          <cell r="Q221">
            <v>-362881.3599999994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</row>
        <row r="223">
          <cell r="A223" t="str">
            <v>Total Purchased Power &amp; Net Interchange</v>
          </cell>
          <cell r="F223">
            <v>-338760.82115650177</v>
          </cell>
          <cell r="G223">
            <v>-289573.42499276251</v>
          </cell>
          <cell r="H223">
            <v>-299710.03659920394</v>
          </cell>
          <cell r="I223">
            <v>-141544.57133945078</v>
          </cell>
          <cell r="J223">
            <v>-136941.44756557792</v>
          </cell>
          <cell r="K223">
            <v>-214031.15349213034</v>
          </cell>
          <cell r="L223">
            <v>-689628.98000000417</v>
          </cell>
          <cell r="M223">
            <v>-750874.30999998748</v>
          </cell>
          <cell r="N223">
            <v>-357464.12568837404</v>
          </cell>
          <cell r="O223">
            <v>-234818.62500000745</v>
          </cell>
          <cell r="P223">
            <v>-152535.07999999821</v>
          </cell>
          <cell r="Q223">
            <v>-362881.3599999994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</row>
        <row r="224">
          <cell r="CE224" t="e">
            <v>#DIV/0!</v>
          </cell>
          <cell r="CF224" t="e">
            <v>#DIV/0!</v>
          </cell>
          <cell r="CG224" t="e">
            <v>#DIV/0!</v>
          </cell>
          <cell r="CH224" t="e">
            <v>#DIV/0!</v>
          </cell>
          <cell r="CI224" t="e">
            <v>#DIV/0!</v>
          </cell>
          <cell r="CJ224" t="e">
            <v>#DIV/0!</v>
          </cell>
          <cell r="CK224" t="e">
            <v>#DIV/0!</v>
          </cell>
          <cell r="CL224" t="e">
            <v>#DIV/0!</v>
          </cell>
          <cell r="CM224" t="e">
            <v>#DIV/0!</v>
          </cell>
          <cell r="CN224" t="e">
            <v>#DIV/0!</v>
          </cell>
        </row>
        <row r="225">
          <cell r="A225" t="str">
            <v>Wheeling &amp; U. of F. Expense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 t="e">
            <v>#N/A</v>
          </cell>
          <cell r="S227" t="e">
            <v>#N/A</v>
          </cell>
          <cell r="T227" t="e">
            <v>#N/A</v>
          </cell>
          <cell r="U227" t="e">
            <v>#N/A</v>
          </cell>
          <cell r="V227" t="e">
            <v>#N/A</v>
          </cell>
          <cell r="W227" t="e">
            <v>#N/A</v>
          </cell>
          <cell r="X227" t="e">
            <v>#N/A</v>
          </cell>
          <cell r="Y227" t="e">
            <v>#N/A</v>
          </cell>
          <cell r="Z227" t="e">
            <v>#N/A</v>
          </cell>
          <cell r="AA227" t="e">
            <v>#N/A</v>
          </cell>
          <cell r="AB227" t="e">
            <v>#N/A</v>
          </cell>
          <cell r="AC227" t="e">
            <v>#N/A</v>
          </cell>
          <cell r="AD227" t="e">
            <v>#N/A</v>
          </cell>
          <cell r="AE227" t="e">
            <v>#N/A</v>
          </cell>
          <cell r="AF227" t="e">
            <v>#N/A</v>
          </cell>
          <cell r="AG227" t="e">
            <v>#N/A</v>
          </cell>
          <cell r="AH227" t="e">
            <v>#N/A</v>
          </cell>
          <cell r="AI227" t="e">
            <v>#N/A</v>
          </cell>
          <cell r="AJ227" t="e">
            <v>#N/A</v>
          </cell>
          <cell r="AK227" t="e">
            <v>#N/A</v>
          </cell>
          <cell r="AL227" t="e">
            <v>#N/A</v>
          </cell>
          <cell r="AM227" t="e">
            <v>#N/A</v>
          </cell>
          <cell r="AN227" t="e">
            <v>#N/A</v>
          </cell>
          <cell r="AO227" t="e">
            <v>#N/A</v>
          </cell>
          <cell r="AP227" t="e">
            <v>#N/A</v>
          </cell>
          <cell r="AQ227" t="e">
            <v>#N/A</v>
          </cell>
          <cell r="AR227" t="e">
            <v>#N/A</v>
          </cell>
          <cell r="AS227" t="e">
            <v>#N/A</v>
          </cell>
          <cell r="AT227" t="e">
            <v>#N/A</v>
          </cell>
          <cell r="AU227" t="e">
            <v>#N/A</v>
          </cell>
          <cell r="AV227" t="e">
            <v>#N/A</v>
          </cell>
          <cell r="AW227" t="e">
            <v>#N/A</v>
          </cell>
          <cell r="AX227" t="e">
            <v>#N/A</v>
          </cell>
          <cell r="AY227" t="e">
            <v>#N/A</v>
          </cell>
          <cell r="AZ227" t="e">
            <v>#N/A</v>
          </cell>
          <cell r="BA227" t="e">
            <v>#N/A</v>
          </cell>
          <cell r="BB227" t="e">
            <v>#N/A</v>
          </cell>
          <cell r="BC227" t="e">
            <v>#N/A</v>
          </cell>
          <cell r="BD227" t="e">
            <v>#N/A</v>
          </cell>
          <cell r="BE227" t="e">
            <v>#N/A</v>
          </cell>
          <cell r="BF227" t="e">
            <v>#N/A</v>
          </cell>
          <cell r="BG227" t="e">
            <v>#N/A</v>
          </cell>
          <cell r="BH227" t="e">
            <v>#N/A</v>
          </cell>
          <cell r="BI227" t="e">
            <v>#N/A</v>
          </cell>
          <cell r="BJ227" t="e">
            <v>#N/A</v>
          </cell>
          <cell r="BK227" t="e">
            <v>#N/A</v>
          </cell>
          <cell r="BL227" t="e">
            <v>#N/A</v>
          </cell>
          <cell r="BM227" t="e">
            <v>#N/A</v>
          </cell>
          <cell r="BN227" t="e">
            <v>#N/A</v>
          </cell>
          <cell r="BO227" t="e">
            <v>#N/A</v>
          </cell>
          <cell r="BP227" t="e">
            <v>#N/A</v>
          </cell>
          <cell r="BQ227" t="e">
            <v>#N/A</v>
          </cell>
          <cell r="BR227" t="e">
            <v>#N/A</v>
          </cell>
          <cell r="BS227" t="e">
            <v>#N/A</v>
          </cell>
          <cell r="BT227" t="e">
            <v>#N/A</v>
          </cell>
          <cell r="BU227" t="e">
            <v>#N/A</v>
          </cell>
          <cell r="BV227" t="e">
            <v>#N/A</v>
          </cell>
          <cell r="BW227" t="e">
            <v>#N/A</v>
          </cell>
          <cell r="BX227" t="e">
            <v>#N/A</v>
          </cell>
          <cell r="BY227" t="e">
            <v>#N/A</v>
          </cell>
          <cell r="BZ227" t="e">
            <v>#N/A</v>
          </cell>
          <cell r="CA227" t="e">
            <v>#N/A</v>
          </cell>
          <cell r="CB227" t="e">
            <v>#N/A</v>
          </cell>
          <cell r="CC227" t="e">
            <v>#N/A</v>
          </cell>
          <cell r="CD227" t="e">
            <v>#N/A</v>
          </cell>
          <cell r="CE227" t="e">
            <v>#N/A</v>
          </cell>
          <cell r="CF227" t="e">
            <v>#N/A</v>
          </cell>
          <cell r="CG227" t="e">
            <v>#N/A</v>
          </cell>
          <cell r="CH227" t="e">
            <v>#N/A</v>
          </cell>
          <cell r="CI227" t="e">
            <v>#N/A</v>
          </cell>
          <cell r="CJ227" t="e">
            <v>#N/A</v>
          </cell>
          <cell r="CK227" t="e">
            <v>#N/A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R227" t="e">
            <v>#N/A</v>
          </cell>
          <cell r="CS227" t="e">
            <v>#N/A</v>
          </cell>
          <cell r="CT227" t="e">
            <v>#N/A</v>
          </cell>
          <cell r="CU227" t="e">
            <v>#N/A</v>
          </cell>
          <cell r="CV227" t="e">
            <v>#N/A</v>
          </cell>
          <cell r="CW227" t="e">
            <v>#N/A</v>
          </cell>
          <cell r="CX227" t="e">
            <v>#N/A</v>
          </cell>
          <cell r="CY227" t="e">
            <v>#N/A</v>
          </cell>
          <cell r="CZ227" t="e">
            <v>#N/A</v>
          </cell>
          <cell r="DA227" t="e">
            <v>#N/A</v>
          </cell>
          <cell r="DB227" t="e">
            <v>#N/A</v>
          </cell>
          <cell r="DC227" t="e">
            <v>#N/A</v>
          </cell>
          <cell r="DD227" t="e">
            <v>#N/A</v>
          </cell>
          <cell r="DE227" t="e">
            <v>#N/A</v>
          </cell>
          <cell r="DF227" t="e">
            <v>#N/A</v>
          </cell>
          <cell r="DG227" t="e">
            <v>#N/A</v>
          </cell>
          <cell r="DH227" t="e">
            <v>#N/A</v>
          </cell>
          <cell r="DI227" t="e">
            <v>#N/A</v>
          </cell>
          <cell r="DJ227" t="e">
            <v>#N/A</v>
          </cell>
          <cell r="DK227" t="e">
            <v>#N/A</v>
          </cell>
          <cell r="DL227" t="e">
            <v>#N/A</v>
          </cell>
          <cell r="DM227" t="e">
            <v>#N/A</v>
          </cell>
          <cell r="DN227" t="e">
            <v>#N/A</v>
          </cell>
          <cell r="DO227" t="e">
            <v>#N/A</v>
          </cell>
          <cell r="DP227" t="e">
            <v>#N/A</v>
          </cell>
          <cell r="DQ227" t="e">
            <v>#N/A</v>
          </cell>
          <cell r="DR227" t="e">
            <v>#N/A</v>
          </cell>
          <cell r="DS227" t="e">
            <v>#N/A</v>
          </cell>
          <cell r="DT227" t="e">
            <v>#N/A</v>
          </cell>
          <cell r="DU227" t="e">
            <v>#N/A</v>
          </cell>
          <cell r="DV227" t="e">
            <v>#N/A</v>
          </cell>
          <cell r="DW227" t="e">
            <v>#N/A</v>
          </cell>
          <cell r="DX227" t="e">
            <v>#N/A</v>
          </cell>
          <cell r="DY227" t="e">
            <v>#N/A</v>
          </cell>
          <cell r="DZ227" t="e">
            <v>#N/A</v>
          </cell>
          <cell r="EA227" t="e">
            <v>#N/A</v>
          </cell>
          <cell r="EB227" t="e">
            <v>#N/A</v>
          </cell>
          <cell r="EC227" t="e">
            <v>#N/A</v>
          </cell>
          <cell r="ED227" t="e">
            <v>#N/A</v>
          </cell>
        </row>
        <row r="228">
          <cell r="F228">
            <v>1709.7530000000261</v>
          </cell>
          <cell r="G228">
            <v>420.07699999999022</v>
          </cell>
          <cell r="H228">
            <v>312.57859999997891</v>
          </cell>
          <cell r="I228">
            <v>211.60130000000936</v>
          </cell>
          <cell r="J228">
            <v>42.966899999999441</v>
          </cell>
          <cell r="K228">
            <v>-66.028500000014901</v>
          </cell>
          <cell r="L228">
            <v>1696.5753000000259</v>
          </cell>
          <cell r="M228">
            <v>477.61739999998827</v>
          </cell>
          <cell r="N228">
            <v>157.98889999999665</v>
          </cell>
          <cell r="O228">
            <v>760.60959999999614</v>
          </cell>
          <cell r="P228">
            <v>141.19100000004983</v>
          </cell>
          <cell r="Q228">
            <v>1565.3349999999627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</row>
        <row r="230">
          <cell r="A230" t="str">
            <v>Total Wheeling &amp; U. of F. Expense</v>
          </cell>
          <cell r="F230">
            <v>1709.7530000004917</v>
          </cell>
          <cell r="G230">
            <v>420.07699999958277</v>
          </cell>
          <cell r="H230">
            <v>312.57860000059009</v>
          </cell>
          <cell r="I230">
            <v>211.60130000114441</v>
          </cell>
          <cell r="J230">
            <v>42.966900000348687</v>
          </cell>
          <cell r="K230">
            <v>-66.028500000014901</v>
          </cell>
          <cell r="L230">
            <v>1696.5752999968827</v>
          </cell>
          <cell r="M230">
            <v>477.61739999987185</v>
          </cell>
          <cell r="N230">
            <v>157.98890000022948</v>
          </cell>
          <cell r="O230">
            <v>760.6095999982208</v>
          </cell>
          <cell r="P230">
            <v>141.19099999964237</v>
          </cell>
          <cell r="Q230">
            <v>1565.3349999990314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  <cell r="AV230" t="e">
            <v>#N/A</v>
          </cell>
          <cell r="AW230" t="e">
            <v>#N/A</v>
          </cell>
          <cell r="AX230" t="e">
            <v>#N/A</v>
          </cell>
          <cell r="AY230" t="e">
            <v>#N/A</v>
          </cell>
          <cell r="AZ230" t="e">
            <v>#N/A</v>
          </cell>
          <cell r="BA230" t="e">
            <v>#N/A</v>
          </cell>
          <cell r="BB230" t="e">
            <v>#N/A</v>
          </cell>
          <cell r="BC230" t="e">
            <v>#N/A</v>
          </cell>
          <cell r="BD230" t="e">
            <v>#N/A</v>
          </cell>
          <cell r="BE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  <cell r="BI230" t="e">
            <v>#N/A</v>
          </cell>
          <cell r="BJ230" t="e">
            <v>#N/A</v>
          </cell>
          <cell r="BK230" t="e">
            <v>#N/A</v>
          </cell>
          <cell r="BL230" t="e">
            <v>#N/A</v>
          </cell>
          <cell r="BM230" t="e">
            <v>#N/A</v>
          </cell>
          <cell r="BN230" t="e">
            <v>#N/A</v>
          </cell>
          <cell r="BO230" t="e">
            <v>#N/A</v>
          </cell>
          <cell r="BP230" t="e">
            <v>#N/A</v>
          </cell>
          <cell r="BQ230" t="e">
            <v>#N/A</v>
          </cell>
          <cell r="BR230" t="e">
            <v>#N/A</v>
          </cell>
          <cell r="BS230" t="e">
            <v>#N/A</v>
          </cell>
          <cell r="BT230" t="e">
            <v>#N/A</v>
          </cell>
          <cell r="BU230" t="e">
            <v>#N/A</v>
          </cell>
          <cell r="BV230" t="e">
            <v>#N/A</v>
          </cell>
          <cell r="BW230" t="e">
            <v>#N/A</v>
          </cell>
          <cell r="BX230" t="e">
            <v>#N/A</v>
          </cell>
          <cell r="BY230" t="e">
            <v>#N/A</v>
          </cell>
          <cell r="BZ230" t="e">
            <v>#N/A</v>
          </cell>
          <cell r="CA230" t="e">
            <v>#N/A</v>
          </cell>
          <cell r="CB230" t="e">
            <v>#N/A</v>
          </cell>
          <cell r="CC230" t="e">
            <v>#N/A</v>
          </cell>
          <cell r="CD230" t="e">
            <v>#N/A</v>
          </cell>
          <cell r="CE230" t="e">
            <v>#N/A</v>
          </cell>
          <cell r="CF230" t="e">
            <v>#N/A</v>
          </cell>
          <cell r="CG230" t="e">
            <v>#N/A</v>
          </cell>
          <cell r="CH230" t="e">
            <v>#N/A</v>
          </cell>
          <cell r="CI230" t="e">
            <v>#N/A</v>
          </cell>
          <cell r="CJ230" t="e">
            <v>#N/A</v>
          </cell>
          <cell r="CK230" t="e">
            <v>#N/A</v>
          </cell>
          <cell r="CL230" t="e">
            <v>#N/A</v>
          </cell>
          <cell r="CM230" t="e">
            <v>#N/A</v>
          </cell>
          <cell r="CN230" t="e">
            <v>#N/A</v>
          </cell>
          <cell r="CO230" t="e">
            <v>#N/A</v>
          </cell>
          <cell r="CP230" t="e">
            <v>#N/A</v>
          </cell>
          <cell r="CQ230" t="e">
            <v>#N/A</v>
          </cell>
          <cell r="CR230" t="e">
            <v>#N/A</v>
          </cell>
          <cell r="CS230" t="e">
            <v>#N/A</v>
          </cell>
          <cell r="CT230" t="e">
            <v>#N/A</v>
          </cell>
          <cell r="CU230" t="e">
            <v>#N/A</v>
          </cell>
          <cell r="CV230" t="e">
            <v>#N/A</v>
          </cell>
          <cell r="CW230" t="e">
            <v>#N/A</v>
          </cell>
          <cell r="CX230" t="e">
            <v>#N/A</v>
          </cell>
          <cell r="CY230" t="e">
            <v>#N/A</v>
          </cell>
          <cell r="CZ230" t="e">
            <v>#N/A</v>
          </cell>
          <cell r="DA230" t="e">
            <v>#N/A</v>
          </cell>
          <cell r="DB230" t="e">
            <v>#N/A</v>
          </cell>
          <cell r="DC230" t="e">
            <v>#N/A</v>
          </cell>
          <cell r="DD230" t="e">
            <v>#N/A</v>
          </cell>
          <cell r="DE230" t="e">
            <v>#N/A</v>
          </cell>
          <cell r="DF230" t="e">
            <v>#N/A</v>
          </cell>
          <cell r="DG230" t="e">
            <v>#N/A</v>
          </cell>
          <cell r="DH230" t="e">
            <v>#N/A</v>
          </cell>
          <cell r="DI230" t="e">
            <v>#N/A</v>
          </cell>
          <cell r="DJ230" t="e">
            <v>#N/A</v>
          </cell>
          <cell r="DK230" t="e">
            <v>#N/A</v>
          </cell>
          <cell r="DL230" t="e">
            <v>#N/A</v>
          </cell>
          <cell r="DM230" t="e">
            <v>#N/A</v>
          </cell>
          <cell r="DN230" t="e">
            <v>#N/A</v>
          </cell>
          <cell r="DO230" t="e">
            <v>#N/A</v>
          </cell>
          <cell r="DP230" t="e">
            <v>#N/A</v>
          </cell>
          <cell r="DQ230" t="e">
            <v>#N/A</v>
          </cell>
          <cell r="DR230" t="e">
            <v>#N/A</v>
          </cell>
          <cell r="DS230" t="e">
            <v>#N/A</v>
          </cell>
          <cell r="DT230" t="e">
            <v>#N/A</v>
          </cell>
          <cell r="DU230" t="e">
            <v>#N/A</v>
          </cell>
          <cell r="DV230" t="e">
            <v>#N/A</v>
          </cell>
          <cell r="DW230" t="e">
            <v>#N/A</v>
          </cell>
          <cell r="DX230" t="e">
            <v>#N/A</v>
          </cell>
          <cell r="DY230" t="e">
            <v>#N/A</v>
          </cell>
          <cell r="DZ230" t="e">
            <v>#N/A</v>
          </cell>
          <cell r="EA230" t="e">
            <v>#N/A</v>
          </cell>
          <cell r="EB230" t="e">
            <v>#N/A</v>
          </cell>
          <cell r="EC230" t="e">
            <v>#N/A</v>
          </cell>
          <cell r="ED230" t="e">
            <v>#N/A</v>
          </cell>
          <cell r="EE230">
            <v>0</v>
          </cell>
        </row>
        <row r="232">
          <cell r="A232" t="str">
            <v>Coal Fuel Burn Expense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</row>
        <row r="235">
          <cell r="F235">
            <v>-1760.2745896666311</v>
          </cell>
          <cell r="G235">
            <v>-1538.6523647466674</v>
          </cell>
          <cell r="H235">
            <v>-1320.0320027838461</v>
          </cell>
          <cell r="I235">
            <v>-1148.388099699514</v>
          </cell>
          <cell r="J235">
            <v>-2295.225387445651</v>
          </cell>
          <cell r="K235">
            <v>-2944.4863763262983</v>
          </cell>
          <cell r="L235">
            <v>-1643.4796172245406</v>
          </cell>
          <cell r="M235">
            <v>-1317.0500307269394</v>
          </cell>
          <cell r="N235">
            <v>-2046.5665531838313</v>
          </cell>
          <cell r="O235">
            <v>-1931.4613440225367</v>
          </cell>
          <cell r="P235">
            <v>-297.50421502417885</v>
          </cell>
          <cell r="Q235">
            <v>-2507.1661791522056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</row>
        <row r="236">
          <cell r="F236">
            <v>-29.347631801851094</v>
          </cell>
          <cell r="G236">
            <v>-15.674303341656923</v>
          </cell>
          <cell r="H236">
            <v>-1188.2789613236673</v>
          </cell>
          <cell r="I236">
            <v>-3934.5280493404716</v>
          </cell>
          <cell r="J236">
            <v>-7771.497486258857</v>
          </cell>
          <cell r="K236">
            <v>-3111.2936312956735</v>
          </cell>
          <cell r="L236">
            <v>-810.72832839936018</v>
          </cell>
          <cell r="M236">
            <v>-1.0244548320770264E-8</v>
          </cell>
          <cell r="N236">
            <v>-1516.8501387243159</v>
          </cell>
          <cell r="O236">
            <v>-142.29155336413532</v>
          </cell>
          <cell r="P236">
            <v>-66.877038029488176</v>
          </cell>
          <cell r="Q236">
            <v>-14.117989546619356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</row>
        <row r="237">
          <cell r="F237">
            <v>-1846.3370356191881</v>
          </cell>
          <cell r="G237">
            <v>-1805.6236564156134</v>
          </cell>
          <cell r="H237">
            <v>-2804.1095227382611</v>
          </cell>
          <cell r="I237">
            <v>-2130.9793887624983</v>
          </cell>
          <cell r="J237">
            <v>-4080.328027908341</v>
          </cell>
          <cell r="K237">
            <v>-3640.0492719934555</v>
          </cell>
          <cell r="L237">
            <v>-2521.1123384514358</v>
          </cell>
          <cell r="M237">
            <v>-1522.6702138319379</v>
          </cell>
          <cell r="N237">
            <v>-957.7638100720942</v>
          </cell>
          <cell r="O237">
            <v>-129.29995154519565</v>
          </cell>
          <cell r="P237">
            <v>-4070.456817924045</v>
          </cell>
          <cell r="Q237">
            <v>-1946.5629045780515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</row>
        <row r="238">
          <cell r="F238">
            <v>-65212.757284039631</v>
          </cell>
          <cell r="G238">
            <v>-60704.454672355205</v>
          </cell>
          <cell r="H238">
            <v>-43689.431084649637</v>
          </cell>
          <cell r="I238">
            <v>-70275.433813856915</v>
          </cell>
          <cell r="J238">
            <v>-75414.826171984896</v>
          </cell>
          <cell r="K238">
            <v>-64866.628227664158</v>
          </cell>
          <cell r="L238">
            <v>-45434.148508576676</v>
          </cell>
          <cell r="M238">
            <v>-50050.488777307793</v>
          </cell>
          <cell r="N238">
            <v>-66497.406764239073</v>
          </cell>
          <cell r="O238">
            <v>-48556.80004231073</v>
          </cell>
          <cell r="P238">
            <v>-52819.067304152995</v>
          </cell>
          <cell r="Q238">
            <v>-49117.188652941957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</row>
        <row r="239">
          <cell r="F239">
            <v>-36296.768621264026</v>
          </cell>
          <cell r="G239">
            <v>-28604.869239840657</v>
          </cell>
          <cell r="H239">
            <v>-30599.924377927557</v>
          </cell>
          <cell r="I239">
            <v>-42681.753671683371</v>
          </cell>
          <cell r="J239">
            <v>-41049.281076867133</v>
          </cell>
          <cell r="K239">
            <v>-32639.238437667489</v>
          </cell>
          <cell r="L239">
            <v>-9457.1486928425729</v>
          </cell>
          <cell r="M239">
            <v>-18177.216431194916</v>
          </cell>
          <cell r="N239">
            <v>-33794.438348416239</v>
          </cell>
          <cell r="O239">
            <v>-29255.347427755594</v>
          </cell>
          <cell r="P239">
            <v>-23142.299284636974</v>
          </cell>
          <cell r="Q239">
            <v>-14187.53169653751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</row>
        <row r="240">
          <cell r="F240">
            <v>-8474.9015258951113</v>
          </cell>
          <cell r="G240">
            <v>-15591.162648787722</v>
          </cell>
          <cell r="H240">
            <v>-9888.7807877622545</v>
          </cell>
          <cell r="I240">
            <v>-13288.907687491737</v>
          </cell>
          <cell r="J240">
            <v>-15321.138761076145</v>
          </cell>
          <cell r="K240">
            <v>-4566.4598297169432</v>
          </cell>
          <cell r="L240">
            <v>-2591.0835791705176</v>
          </cell>
          <cell r="M240">
            <v>-2684.5194889781997</v>
          </cell>
          <cell r="N240">
            <v>-8409.9665145436302</v>
          </cell>
          <cell r="O240">
            <v>-8432.5909177120775</v>
          </cell>
          <cell r="P240">
            <v>-4493.0038558486849</v>
          </cell>
          <cell r="Q240">
            <v>-3.5390257835388184E-8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</row>
        <row r="241">
          <cell r="F241">
            <v>-34883.489063149318</v>
          </cell>
          <cell r="G241">
            <v>-34366.091635683086</v>
          </cell>
          <cell r="H241">
            <v>-22648.157481185161</v>
          </cell>
          <cell r="I241">
            <v>-11983.847340653418</v>
          </cell>
          <cell r="J241">
            <v>-14756.415489382576</v>
          </cell>
          <cell r="K241">
            <v>-12510.147661749274</v>
          </cell>
          <cell r="L241">
            <v>-8360.8124084006995</v>
          </cell>
          <cell r="M241">
            <v>-19163.170242712833</v>
          </cell>
          <cell r="N241">
            <v>-17428.287684598472</v>
          </cell>
          <cell r="O241">
            <v>-8849.0959095023572</v>
          </cell>
          <cell r="P241">
            <v>-18357.320824875962</v>
          </cell>
          <cell r="Q241">
            <v>-18703.360979185905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</row>
        <row r="242">
          <cell r="F242">
            <v>-268.96586584229954</v>
          </cell>
          <cell r="G242">
            <v>-390.36275305179879</v>
          </cell>
          <cell r="H242">
            <v>-2325.0242149662226</v>
          </cell>
          <cell r="I242">
            <v>-2059.163477038499</v>
          </cell>
          <cell r="J242">
            <v>-1499.4956512837671</v>
          </cell>
          <cell r="K242">
            <v>-2564.564954040572</v>
          </cell>
          <cell r="L242">
            <v>-395.98161082994193</v>
          </cell>
          <cell r="M242">
            <v>-1079.2642932385206</v>
          </cell>
          <cell r="N242">
            <v>-2753.5360280335881</v>
          </cell>
          <cell r="O242">
            <v>-446.99492512922734</v>
          </cell>
          <cell r="P242">
            <v>-10.942008635727689</v>
          </cell>
          <cell r="Q242">
            <v>-41.697839648928493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</row>
        <row r="244">
          <cell r="A244" t="str">
            <v>Total Coal Fuel Burn Expense</v>
          </cell>
          <cell r="F244">
            <v>-148772.84161727875</v>
          </cell>
          <cell r="G244">
            <v>-143016.89127422869</v>
          </cell>
          <cell r="H244">
            <v>-114463.7384333387</v>
          </cell>
          <cell r="I244">
            <v>-147503.00152853504</v>
          </cell>
          <cell r="J244">
            <v>-162188.20805220306</v>
          </cell>
          <cell r="K244">
            <v>-126842.86839045584</v>
          </cell>
          <cell r="L244">
            <v>-71214.495083890855</v>
          </cell>
          <cell r="M244">
            <v>-93994.379478000104</v>
          </cell>
          <cell r="N244">
            <v>-133404.81584181637</v>
          </cell>
          <cell r="O244">
            <v>-97743.882071346045</v>
          </cell>
          <cell r="P244">
            <v>-103257.47134912759</v>
          </cell>
          <cell r="Q244">
            <v>-86517.626241631806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</row>
        <row r="246">
          <cell r="A246" t="str">
            <v>Gas Fuel Burn Expense</v>
          </cell>
        </row>
        <row r="247">
          <cell r="F247">
            <v>-76658.954292342067</v>
          </cell>
          <cell r="G247">
            <v>-43649.458342595026</v>
          </cell>
          <cell r="H247">
            <v>-20444.06208993122</v>
          </cell>
          <cell r="I247">
            <v>-2575.8414238421246</v>
          </cell>
          <cell r="J247">
            <v>-4241.3633885029703</v>
          </cell>
          <cell r="K247">
            <v>-4571.2772125769407</v>
          </cell>
          <cell r="L247">
            <v>-9743.8945163916796</v>
          </cell>
          <cell r="M247">
            <v>-14937.402260287665</v>
          </cell>
          <cell r="N247">
            <v>-15668.422706708312</v>
          </cell>
          <cell r="O247">
            <v>-11529.254476189613</v>
          </cell>
          <cell r="P247">
            <v>-28949.799472954124</v>
          </cell>
          <cell r="Q247">
            <v>-35903.855734942481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</row>
        <row r="249">
          <cell r="F249">
            <v>-25921.0895261392</v>
          </cell>
          <cell r="G249">
            <v>-27762.304447708651</v>
          </cell>
          <cell r="H249">
            <v>-17993.845464168116</v>
          </cell>
          <cell r="I249">
            <v>-4601.5929198386148</v>
          </cell>
          <cell r="J249">
            <v>-2843.4595351554453</v>
          </cell>
          <cell r="K249">
            <v>-6561.8491510255262</v>
          </cell>
          <cell r="L249">
            <v>-7255.5916565917432</v>
          </cell>
          <cell r="M249">
            <v>-10268.80838935636</v>
          </cell>
          <cell r="N249">
            <v>-9834.844052426517</v>
          </cell>
          <cell r="O249">
            <v>-1369.4091500723734</v>
          </cell>
          <cell r="P249">
            <v>-22563.545959305018</v>
          </cell>
          <cell r="Q249">
            <v>-33079.045465698466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</row>
        <row r="250">
          <cell r="F250">
            <v>-731.5581900163088</v>
          </cell>
          <cell r="G250">
            <v>-330.81404070160352</v>
          </cell>
          <cell r="H250">
            <v>192.37841425975785</v>
          </cell>
          <cell r="I250">
            <v>44.451987203792669</v>
          </cell>
          <cell r="J250">
            <v>36.157672732952051</v>
          </cell>
          <cell r="K250">
            <v>76.660988763906062</v>
          </cell>
          <cell r="L250">
            <v>35.809211994754151</v>
          </cell>
          <cell r="M250">
            <v>27.776322141522542</v>
          </cell>
          <cell r="N250">
            <v>53.992524380329996</v>
          </cell>
          <cell r="O250">
            <v>184.19455360551365</v>
          </cell>
          <cell r="P250">
            <v>268.46633860329166</v>
          </cell>
          <cell r="Q250">
            <v>-219.51401799218729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</row>
        <row r="251">
          <cell r="F251">
            <v>-769.42700702138245</v>
          </cell>
          <cell r="G251">
            <v>-1204.8227341275197</v>
          </cell>
          <cell r="H251">
            <v>119.02622863370925</v>
          </cell>
          <cell r="I251">
            <v>-1319.8248580803629</v>
          </cell>
          <cell r="J251">
            <v>-5018.035531049245</v>
          </cell>
          <cell r="K251">
            <v>-745.66908589121886</v>
          </cell>
          <cell r="L251">
            <v>27.97707679332234</v>
          </cell>
          <cell r="M251">
            <v>-280.69076234055683</v>
          </cell>
          <cell r="N251">
            <v>-125.57680270564742</v>
          </cell>
          <cell r="O251">
            <v>-1532.1842355765402</v>
          </cell>
          <cell r="P251">
            <v>175.22422791761346</v>
          </cell>
          <cell r="Q251">
            <v>-186.58431424805894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</row>
        <row r="252">
          <cell r="F252">
            <v>-15072.475007660687</v>
          </cell>
          <cell r="G252">
            <v>-9830.2339574042708</v>
          </cell>
          <cell r="H252">
            <v>79.372889930382371</v>
          </cell>
          <cell r="I252">
            <v>-807.41377615882084</v>
          </cell>
          <cell r="J252">
            <v>-1049.0354114957154</v>
          </cell>
          <cell r="K252">
            <v>-2568.3747874228284</v>
          </cell>
          <cell r="L252">
            <v>-780.30818360811099</v>
          </cell>
          <cell r="M252">
            <v>-637.10473971208557</v>
          </cell>
          <cell r="N252">
            <v>-859.08229329157621</v>
          </cell>
          <cell r="O252">
            <v>-3892.7294238107279</v>
          </cell>
          <cell r="P252">
            <v>-1924.5864270478487</v>
          </cell>
          <cell r="Q252">
            <v>-6776.0598650556058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</row>
        <row r="253">
          <cell r="F253">
            <v>-3833.9385002646595</v>
          </cell>
          <cell r="G253">
            <v>-5441.1887224130332</v>
          </cell>
          <cell r="H253">
            <v>147.61064440477639</v>
          </cell>
          <cell r="I253">
            <v>-14178.75594569277</v>
          </cell>
          <cell r="J253">
            <v>-3030.8544112974778</v>
          </cell>
          <cell r="K253">
            <v>-9765.8392857918516</v>
          </cell>
          <cell r="L253">
            <v>-3558.9653199641034</v>
          </cell>
          <cell r="M253">
            <v>-6650.4515344966203</v>
          </cell>
          <cell r="N253">
            <v>-6027.0384151674807</v>
          </cell>
          <cell r="O253">
            <v>-3039.4673855751753</v>
          </cell>
          <cell r="P253">
            <v>-3186.319046119228</v>
          </cell>
          <cell r="Q253">
            <v>-2826.6881766524166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</row>
        <row r="254">
          <cell r="F254">
            <v>-38389.232604667544</v>
          </cell>
          <cell r="G254">
            <v>-13459.807928543538</v>
          </cell>
          <cell r="H254">
            <v>-6666.2319291401654</v>
          </cell>
          <cell r="I254">
            <v>-6102.8420262718573</v>
          </cell>
          <cell r="J254">
            <v>-3145.0595308300108</v>
          </cell>
          <cell r="K254">
            <v>-10082.170311016962</v>
          </cell>
          <cell r="L254">
            <v>-9686.826530566439</v>
          </cell>
          <cell r="M254">
            <v>-7014.1418208945543</v>
          </cell>
          <cell r="N254">
            <v>-9028.4123976901174</v>
          </cell>
          <cell r="O254">
            <v>-7825.2730462215841</v>
          </cell>
          <cell r="P254">
            <v>-12564.255268167704</v>
          </cell>
          <cell r="Q254">
            <v>-12664.259885421023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</row>
        <row r="255">
          <cell r="F255">
            <v>-7260.3149718912318</v>
          </cell>
          <cell r="G255">
            <v>-5220.8379265062977</v>
          </cell>
          <cell r="H255">
            <v>-2683.2134939886746</v>
          </cell>
          <cell r="I255">
            <v>-5209.5484373194631</v>
          </cell>
          <cell r="J255">
            <v>-2751.0607444001944</v>
          </cell>
          <cell r="K255">
            <v>-3080.32092503889</v>
          </cell>
          <cell r="L255">
            <v>-6418.8679816673975</v>
          </cell>
          <cell r="M255">
            <v>-5416.8107150545111</v>
          </cell>
          <cell r="N255">
            <v>-3468.9949263893068</v>
          </cell>
          <cell r="O255">
            <v>-6590.6191661595367</v>
          </cell>
          <cell r="P255">
            <v>-13818.316322927712</v>
          </cell>
          <cell r="Q255">
            <v>-10290.383639987558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</row>
        <row r="256">
          <cell r="F256">
            <v>-168636.99010000378</v>
          </cell>
          <cell r="G256">
            <v>-106899.4681000039</v>
          </cell>
          <cell r="H256">
            <v>-47248.964800000191</v>
          </cell>
          <cell r="I256">
            <v>-34751.367400001734</v>
          </cell>
          <cell r="J256">
            <v>-22042.710880000144</v>
          </cell>
          <cell r="K256">
            <v>-37298.839769996703</v>
          </cell>
          <cell r="L256">
            <v>-37380.667899996042</v>
          </cell>
          <cell r="M256">
            <v>-45177.633900001645</v>
          </cell>
          <cell r="N256">
            <v>-44958.379070006311</v>
          </cell>
          <cell r="O256">
            <v>-35594.742330007255</v>
          </cell>
          <cell r="P256">
            <v>-82563.13193000108</v>
          </cell>
          <cell r="Q256">
            <v>-101946.39110000432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</row>
        <row r="262">
          <cell r="A262" t="str">
            <v>Total Gas Fuel Burn Expense</v>
          </cell>
          <cell r="F262">
            <v>-168636.99010000378</v>
          </cell>
          <cell r="G262">
            <v>-106899.4681000039</v>
          </cell>
          <cell r="H262">
            <v>-47248.964800000191</v>
          </cell>
          <cell r="I262">
            <v>-34751.36740000546</v>
          </cell>
          <cell r="J262">
            <v>-22042.710880000144</v>
          </cell>
          <cell r="K262">
            <v>-37298.839769996703</v>
          </cell>
          <cell r="L262">
            <v>-37380.667899996042</v>
          </cell>
          <cell r="M262">
            <v>-45177.633900001645</v>
          </cell>
          <cell r="N262">
            <v>-44958.379070006311</v>
          </cell>
          <cell r="O262">
            <v>-35594.742330007255</v>
          </cell>
          <cell r="P262">
            <v>-82563.13193000108</v>
          </cell>
          <cell r="Q262">
            <v>-101946.39110000432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</row>
        <row r="264">
          <cell r="A264" t="str">
            <v>Other Generation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</row>
        <row r="290">
          <cell r="F290">
            <v>0</v>
          </cell>
          <cell r="G290">
            <v>38.882853584115765</v>
          </cell>
          <cell r="H290">
            <v>-1463.1680862687572</v>
          </cell>
          <cell r="I290">
            <v>0</v>
          </cell>
          <cell r="J290">
            <v>-34.70938809410427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198.5161032326796</v>
          </cell>
          <cell r="P290">
            <v>19.44826616087812</v>
          </cell>
          <cell r="Q290">
            <v>971.92771959162201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</row>
        <row r="292">
          <cell r="A292" t="str">
            <v>Total Other Generation</v>
          </cell>
          <cell r="F292">
            <v>0</v>
          </cell>
          <cell r="G292">
            <v>38.882853584364057</v>
          </cell>
          <cell r="H292">
            <v>-1463.1680862689391</v>
          </cell>
          <cell r="I292">
            <v>4437.3378053945489</v>
          </cell>
          <cell r="J292">
            <v>-34.70938809402287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198.51610323274508</v>
          </cell>
          <cell r="P292">
            <v>19.448266160674393</v>
          </cell>
          <cell r="Q292">
            <v>971.92771959118545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</row>
        <row r="294">
          <cell r="A294" t="str">
            <v>IRP Resources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-52378.478999999817</v>
          </cell>
          <cell r="L309">
            <v>-47813.551400000229</v>
          </cell>
          <cell r="M309">
            <v>-73095.504699999467</v>
          </cell>
          <cell r="N309">
            <v>-66991.572400000412</v>
          </cell>
          <cell r="O309">
            <v>-45929.486600000411</v>
          </cell>
          <cell r="P309">
            <v>-66891.415500000119</v>
          </cell>
          <cell r="Q309">
            <v>-87994.053199999966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-49144.500800000038</v>
          </cell>
          <cell r="L310">
            <v>-50451.159199999645</v>
          </cell>
          <cell r="M310">
            <v>-74800.569600000046</v>
          </cell>
          <cell r="N310">
            <v>-47147.786799999885</v>
          </cell>
          <cell r="O310">
            <v>-45811.101400000043</v>
          </cell>
          <cell r="P310">
            <v>-61162.94439999992</v>
          </cell>
          <cell r="Q310">
            <v>-81921.00569999963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</row>
        <row r="403">
          <cell r="A403" t="str">
            <v>Total IRP Resources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-101522.97979999892</v>
          </cell>
          <cell r="L403">
            <v>-98264.71059999615</v>
          </cell>
          <cell r="M403">
            <v>-147896.07429999858</v>
          </cell>
          <cell r="N403">
            <v>-114139.35919999983</v>
          </cell>
          <cell r="O403">
            <v>-91740.588000001386</v>
          </cell>
          <cell r="P403">
            <v>-128054.35989999957</v>
          </cell>
          <cell r="Q403">
            <v>-169915.05890000053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</row>
        <row r="405">
          <cell r="A405" t="str">
            <v>Growth Station Resources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</row>
        <row r="410">
          <cell r="F410">
            <v>0</v>
          </cell>
          <cell r="G410">
            <v>-6419.9739999999874</v>
          </cell>
          <cell r="H410">
            <v>-12829.963000000018</v>
          </cell>
          <cell r="I410">
            <v>-947.32600000000093</v>
          </cell>
          <cell r="J410">
            <v>-4220.0489999999991</v>
          </cell>
          <cell r="K410">
            <v>-7708.5189999999984</v>
          </cell>
          <cell r="L410">
            <v>-57550.379999999888</v>
          </cell>
          <cell r="M410">
            <v>-14032.040000000008</v>
          </cell>
          <cell r="N410">
            <v>0</v>
          </cell>
          <cell r="O410">
            <v>-820.62885000000006</v>
          </cell>
          <cell r="P410">
            <v>0</v>
          </cell>
          <cell r="Q410">
            <v>-4713.3209999999999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-3730.2200000000012</v>
          </cell>
          <cell r="M411">
            <v>-6814.8600000001024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-22470.17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-3730.1600000000326</v>
          </cell>
          <cell r="M414">
            <v>-4577.4599999999627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</row>
        <row r="416">
          <cell r="A416" t="str">
            <v>Total Growth Station Resources</v>
          </cell>
          <cell r="F416">
            <v>0</v>
          </cell>
          <cell r="G416">
            <v>-6419.9739999994636</v>
          </cell>
          <cell r="H416">
            <v>-12829.963000000454</v>
          </cell>
          <cell r="I416">
            <v>-947.32599999988452</v>
          </cell>
          <cell r="J416">
            <v>-4220.0490000001155</v>
          </cell>
          <cell r="K416">
            <v>-7708.5189999998547</v>
          </cell>
          <cell r="L416">
            <v>-87480.929999999702</v>
          </cell>
          <cell r="M416">
            <v>-25424.360000001267</v>
          </cell>
          <cell r="N416">
            <v>0</v>
          </cell>
          <cell r="O416">
            <v>-820.62884999997914</v>
          </cell>
          <cell r="P416">
            <v>0</v>
          </cell>
          <cell r="Q416">
            <v>-4713.3209999995306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</row>
        <row r="417">
          <cell r="F417" t="str">
            <v>=</v>
          </cell>
          <cell r="G417" t="str">
            <v>=</v>
          </cell>
          <cell r="H417" t="str">
            <v>=</v>
          </cell>
          <cell r="I417" t="str">
            <v>=</v>
          </cell>
          <cell r="J417" t="str">
            <v>=</v>
          </cell>
          <cell r="K417" t="str">
            <v>=</v>
          </cell>
          <cell r="L417" t="str">
            <v>=</v>
          </cell>
          <cell r="M417" t="str">
            <v>=</v>
          </cell>
          <cell r="N417" t="str">
            <v>=</v>
          </cell>
          <cell r="O417" t="str">
            <v>=</v>
          </cell>
          <cell r="P417" t="str">
            <v>=</v>
          </cell>
          <cell r="Q417" t="str">
            <v>=</v>
          </cell>
          <cell r="R417" t="str">
            <v>=</v>
          </cell>
          <cell r="S417" t="str">
            <v>=</v>
          </cell>
          <cell r="T417" t="str">
            <v>=</v>
          </cell>
          <cell r="U417" t="str">
            <v>=</v>
          </cell>
          <cell r="V417" t="str">
            <v>=</v>
          </cell>
          <cell r="W417" t="str">
            <v>=</v>
          </cell>
          <cell r="X417" t="str">
            <v>=</v>
          </cell>
          <cell r="Y417" t="str">
            <v>=</v>
          </cell>
          <cell r="Z417" t="str">
            <v>=</v>
          </cell>
          <cell r="AA417" t="str">
            <v>=</v>
          </cell>
          <cell r="AB417" t="str">
            <v>=</v>
          </cell>
          <cell r="AC417" t="str">
            <v>=</v>
          </cell>
          <cell r="AD417" t="str">
            <v>=</v>
          </cell>
          <cell r="AE417" t="str">
            <v>=</v>
          </cell>
          <cell r="AF417" t="str">
            <v>=</v>
          </cell>
          <cell r="AG417" t="str">
            <v>=</v>
          </cell>
          <cell r="AH417" t="str">
            <v>=</v>
          </cell>
          <cell r="AI417" t="str">
            <v>=</v>
          </cell>
          <cell r="AJ417" t="str">
            <v>=</v>
          </cell>
          <cell r="AK417" t="str">
            <v>=</v>
          </cell>
          <cell r="AL417" t="str">
            <v>=</v>
          </cell>
          <cell r="AM417" t="str">
            <v>=</v>
          </cell>
          <cell r="AN417" t="str">
            <v>=</v>
          </cell>
          <cell r="AO417" t="str">
            <v>=</v>
          </cell>
          <cell r="AP417" t="str">
            <v>=</v>
          </cell>
          <cell r="AQ417" t="str">
            <v>=</v>
          </cell>
          <cell r="AR417" t="str">
            <v>=</v>
          </cell>
          <cell r="AS417" t="str">
            <v>=</v>
          </cell>
          <cell r="AT417" t="str">
            <v>=</v>
          </cell>
          <cell r="AU417" t="str">
            <v>=</v>
          </cell>
          <cell r="AV417" t="str">
            <v>=</v>
          </cell>
          <cell r="AW417" t="str">
            <v>=</v>
          </cell>
          <cell r="AX417" t="str">
            <v>=</v>
          </cell>
          <cell r="AY417" t="str">
            <v>=</v>
          </cell>
          <cell r="AZ417" t="str">
            <v>=</v>
          </cell>
          <cell r="BA417" t="str">
            <v>=</v>
          </cell>
          <cell r="BB417" t="str">
            <v>=</v>
          </cell>
          <cell r="BC417" t="str">
            <v>=</v>
          </cell>
          <cell r="BD417" t="str">
            <v>=</v>
          </cell>
          <cell r="BE417" t="str">
            <v>=</v>
          </cell>
          <cell r="BF417" t="str">
            <v>=</v>
          </cell>
          <cell r="BG417" t="str">
            <v>=</v>
          </cell>
          <cell r="BH417" t="str">
            <v>=</v>
          </cell>
          <cell r="BI417" t="str">
            <v>=</v>
          </cell>
          <cell r="BJ417" t="str">
            <v>=</v>
          </cell>
          <cell r="BK417" t="str">
            <v>=</v>
          </cell>
          <cell r="BL417" t="str">
            <v>=</v>
          </cell>
          <cell r="BM417" t="str">
            <v>=</v>
          </cell>
          <cell r="BN417" t="str">
            <v>=</v>
          </cell>
          <cell r="BO417" t="str">
            <v>=</v>
          </cell>
          <cell r="BP417" t="str">
            <v>=</v>
          </cell>
          <cell r="BQ417" t="str">
            <v>=</v>
          </cell>
          <cell r="BR417" t="str">
            <v>=</v>
          </cell>
          <cell r="BS417" t="str">
            <v>=</v>
          </cell>
          <cell r="BT417" t="str">
            <v>=</v>
          </cell>
          <cell r="BU417" t="str">
            <v>=</v>
          </cell>
          <cell r="BV417" t="str">
            <v>=</v>
          </cell>
          <cell r="BW417" t="str">
            <v>=</v>
          </cell>
          <cell r="BX417" t="str">
            <v>=</v>
          </cell>
          <cell r="BY417" t="str">
            <v>=</v>
          </cell>
          <cell r="BZ417" t="str">
            <v>=</v>
          </cell>
          <cell r="CA417" t="str">
            <v>=</v>
          </cell>
          <cell r="CB417" t="str">
            <v>=</v>
          </cell>
          <cell r="CC417" t="str">
            <v>=</v>
          </cell>
          <cell r="CD417" t="str">
            <v>=</v>
          </cell>
          <cell r="CE417" t="str">
            <v>=</v>
          </cell>
          <cell r="CF417" t="str">
            <v>=</v>
          </cell>
          <cell r="CG417" t="str">
            <v>=</v>
          </cell>
          <cell r="CH417" t="str">
            <v>=</v>
          </cell>
          <cell r="CI417" t="str">
            <v>=</v>
          </cell>
          <cell r="CJ417" t="str">
            <v>=</v>
          </cell>
          <cell r="CK417" t="str">
            <v>=</v>
          </cell>
          <cell r="CL417" t="str">
            <v>=</v>
          </cell>
          <cell r="CM417" t="str">
            <v>=</v>
          </cell>
          <cell r="CN417" t="str">
            <v>=</v>
          </cell>
          <cell r="CO417" t="str">
            <v>=</v>
          </cell>
          <cell r="CP417" t="str">
            <v>=</v>
          </cell>
          <cell r="CQ417" t="str">
            <v>=</v>
          </cell>
          <cell r="CR417" t="str">
            <v>=</v>
          </cell>
          <cell r="CS417" t="str">
            <v>=</v>
          </cell>
          <cell r="CT417" t="str">
            <v>=</v>
          </cell>
          <cell r="CU417" t="str">
            <v>=</v>
          </cell>
          <cell r="CV417" t="str">
            <v>=</v>
          </cell>
          <cell r="CW417" t="str">
            <v>=</v>
          </cell>
          <cell r="CX417" t="str">
            <v>=</v>
          </cell>
          <cell r="CY417" t="str">
            <v>=</v>
          </cell>
          <cell r="CZ417" t="str">
            <v>=</v>
          </cell>
          <cell r="DA417" t="str">
            <v>=</v>
          </cell>
          <cell r="DB417" t="str">
            <v>=</v>
          </cell>
          <cell r="DC417" t="str">
            <v>=</v>
          </cell>
          <cell r="DD417" t="str">
            <v>=</v>
          </cell>
          <cell r="DE417" t="str">
            <v>=</v>
          </cell>
          <cell r="DF417" t="str">
            <v>=</v>
          </cell>
          <cell r="DG417" t="str">
            <v>=</v>
          </cell>
          <cell r="DH417" t="str">
            <v>=</v>
          </cell>
          <cell r="DI417" t="str">
            <v>=</v>
          </cell>
          <cell r="DJ417" t="str">
            <v>=</v>
          </cell>
          <cell r="DK417" t="str">
            <v>=</v>
          </cell>
          <cell r="DL417" t="str">
            <v>=</v>
          </cell>
          <cell r="DM417" t="str">
            <v>=</v>
          </cell>
          <cell r="DN417" t="str">
            <v>=</v>
          </cell>
          <cell r="DO417" t="str">
            <v>=</v>
          </cell>
          <cell r="DP417" t="str">
            <v>=</v>
          </cell>
          <cell r="DQ417" t="str">
            <v>=</v>
          </cell>
          <cell r="DR417" t="str">
            <v>=</v>
          </cell>
          <cell r="DS417" t="str">
            <v>=</v>
          </cell>
          <cell r="DT417" t="str">
            <v>=</v>
          </cell>
          <cell r="DU417" t="str">
            <v>=</v>
          </cell>
          <cell r="DV417" t="str">
            <v>=</v>
          </cell>
          <cell r="DW417" t="str">
            <v>=</v>
          </cell>
          <cell r="DX417" t="str">
            <v>=</v>
          </cell>
          <cell r="DY417" t="str">
            <v>=</v>
          </cell>
          <cell r="DZ417" t="str">
            <v>=</v>
          </cell>
          <cell r="EA417" t="str">
            <v>=</v>
          </cell>
          <cell r="EB417" t="str">
            <v>=</v>
          </cell>
          <cell r="EC417" t="str">
            <v>=</v>
          </cell>
          <cell r="ED417" t="str">
            <v>=</v>
          </cell>
        </row>
        <row r="418">
          <cell r="A418" t="str">
            <v>Net Power Cost</v>
          </cell>
          <cell r="F418">
            <v>-831934.39987379313</v>
          </cell>
          <cell r="G418">
            <v>-693445.19851341844</v>
          </cell>
          <cell r="H418">
            <v>-561297.91863882542</v>
          </cell>
          <cell r="I418">
            <v>-381107.92716260254</v>
          </cell>
          <cell r="J418">
            <v>-378443.32254587114</v>
          </cell>
          <cell r="K418">
            <v>-510936.68895256519</v>
          </cell>
          <cell r="L418">
            <v>-1283207.619163841</v>
          </cell>
          <cell r="M418">
            <v>-1128917.3002779782</v>
          </cell>
          <cell r="N418">
            <v>-701405.99090017378</v>
          </cell>
          <cell r="O418">
            <v>-595642.34054815769</v>
          </cell>
          <cell r="P418">
            <v>-590767.20391300321</v>
          </cell>
          <cell r="Q418">
            <v>-964342.59452205896</v>
          </cell>
          <cell r="R418" t="e">
            <v>#N/A</v>
          </cell>
          <cell r="S418" t="e">
            <v>#N/A</v>
          </cell>
          <cell r="T418" t="e">
            <v>#N/A</v>
          </cell>
          <cell r="U418" t="e">
            <v>#N/A</v>
          </cell>
          <cell r="V418" t="e">
            <v>#N/A</v>
          </cell>
          <cell r="W418" t="e">
            <v>#N/A</v>
          </cell>
          <cell r="X418" t="e">
            <v>#N/A</v>
          </cell>
          <cell r="Y418" t="e">
            <v>#N/A</v>
          </cell>
          <cell r="Z418" t="e">
            <v>#N/A</v>
          </cell>
          <cell r="AA418" t="e">
            <v>#N/A</v>
          </cell>
          <cell r="AB418" t="e">
            <v>#N/A</v>
          </cell>
          <cell r="AC418" t="e">
            <v>#N/A</v>
          </cell>
          <cell r="AD418" t="e">
            <v>#N/A</v>
          </cell>
          <cell r="AE418" t="e">
            <v>#N/A</v>
          </cell>
          <cell r="AF418" t="e">
            <v>#N/A</v>
          </cell>
          <cell r="AG418" t="e">
            <v>#N/A</v>
          </cell>
          <cell r="AH418" t="e">
            <v>#N/A</v>
          </cell>
          <cell r="AI418" t="e">
            <v>#N/A</v>
          </cell>
          <cell r="AJ418" t="e">
            <v>#N/A</v>
          </cell>
          <cell r="AK418" t="e">
            <v>#N/A</v>
          </cell>
          <cell r="AL418" t="e">
            <v>#N/A</v>
          </cell>
          <cell r="AM418" t="e">
            <v>#N/A</v>
          </cell>
          <cell r="AN418" t="e">
            <v>#N/A</v>
          </cell>
          <cell r="AO418" t="e">
            <v>#N/A</v>
          </cell>
          <cell r="AP418" t="e">
            <v>#N/A</v>
          </cell>
          <cell r="AQ418" t="e">
            <v>#N/A</v>
          </cell>
          <cell r="AR418" t="e">
            <v>#N/A</v>
          </cell>
          <cell r="AS418" t="e">
            <v>#N/A</v>
          </cell>
          <cell r="AT418" t="e">
            <v>#N/A</v>
          </cell>
          <cell r="AU418" t="e">
            <v>#N/A</v>
          </cell>
          <cell r="AV418" t="e">
            <v>#N/A</v>
          </cell>
          <cell r="AW418" t="e">
            <v>#N/A</v>
          </cell>
          <cell r="AX418" t="e">
            <v>#N/A</v>
          </cell>
          <cell r="AY418" t="e">
            <v>#N/A</v>
          </cell>
          <cell r="AZ418" t="e">
            <v>#N/A</v>
          </cell>
          <cell r="BA418" t="e">
            <v>#N/A</v>
          </cell>
          <cell r="BB418" t="e">
            <v>#N/A</v>
          </cell>
          <cell r="BC418" t="e">
            <v>#N/A</v>
          </cell>
          <cell r="BD418" t="e">
            <v>#N/A</v>
          </cell>
          <cell r="BE418" t="e">
            <v>#N/A</v>
          </cell>
          <cell r="BF418" t="e">
            <v>#N/A</v>
          </cell>
          <cell r="BG418" t="e">
            <v>#N/A</v>
          </cell>
          <cell r="BH418" t="e">
            <v>#N/A</v>
          </cell>
          <cell r="BI418" t="e">
            <v>#N/A</v>
          </cell>
          <cell r="BJ418" t="e">
            <v>#N/A</v>
          </cell>
          <cell r="BK418" t="e">
            <v>#N/A</v>
          </cell>
          <cell r="BL418" t="e">
            <v>#N/A</v>
          </cell>
          <cell r="BM418" t="e">
            <v>#N/A</v>
          </cell>
          <cell r="BN418" t="e">
            <v>#N/A</v>
          </cell>
          <cell r="BO418" t="e">
            <v>#N/A</v>
          </cell>
          <cell r="BP418" t="e">
            <v>#N/A</v>
          </cell>
          <cell r="BQ418" t="e">
            <v>#N/A</v>
          </cell>
          <cell r="BR418" t="e">
            <v>#N/A</v>
          </cell>
          <cell r="BS418" t="e">
            <v>#N/A</v>
          </cell>
          <cell r="BT418" t="e">
            <v>#N/A</v>
          </cell>
          <cell r="BU418" t="e">
            <v>#N/A</v>
          </cell>
          <cell r="BV418" t="e">
            <v>#N/A</v>
          </cell>
          <cell r="BW418" t="e">
            <v>#N/A</v>
          </cell>
          <cell r="BX418" t="e">
            <v>#N/A</v>
          </cell>
          <cell r="BY418" t="e">
            <v>#N/A</v>
          </cell>
          <cell r="BZ418" t="e">
            <v>#N/A</v>
          </cell>
          <cell r="CA418" t="e">
            <v>#N/A</v>
          </cell>
          <cell r="CB418" t="e">
            <v>#N/A</v>
          </cell>
          <cell r="CC418" t="e">
            <v>#N/A</v>
          </cell>
          <cell r="CD418" t="e">
            <v>#N/A</v>
          </cell>
          <cell r="CE418" t="e">
            <v>#N/A</v>
          </cell>
          <cell r="CF418" t="e">
            <v>#N/A</v>
          </cell>
          <cell r="CG418" t="e">
            <v>#N/A</v>
          </cell>
          <cell r="CH418" t="e">
            <v>#N/A</v>
          </cell>
          <cell r="CI418" t="e">
            <v>#N/A</v>
          </cell>
          <cell r="CJ418" t="e">
            <v>#N/A</v>
          </cell>
          <cell r="CK418" t="e">
            <v>#N/A</v>
          </cell>
          <cell r="CL418" t="e">
            <v>#N/A</v>
          </cell>
          <cell r="CM418" t="e">
            <v>#N/A</v>
          </cell>
          <cell r="CN418" t="e">
            <v>#N/A</v>
          </cell>
          <cell r="CO418" t="e">
            <v>#N/A</v>
          </cell>
          <cell r="CP418" t="e">
            <v>#N/A</v>
          </cell>
          <cell r="CQ418" t="e">
            <v>#N/A</v>
          </cell>
          <cell r="CR418" t="e">
            <v>#N/A</v>
          </cell>
          <cell r="CS418" t="e">
            <v>#N/A</v>
          </cell>
          <cell r="CT418" t="e">
            <v>#N/A</v>
          </cell>
          <cell r="CU418" t="e">
            <v>#N/A</v>
          </cell>
          <cell r="CV418" t="e">
            <v>#N/A</v>
          </cell>
          <cell r="CW418" t="e">
            <v>#N/A</v>
          </cell>
          <cell r="CX418" t="e">
            <v>#N/A</v>
          </cell>
          <cell r="CY418" t="e">
            <v>#N/A</v>
          </cell>
          <cell r="CZ418" t="e">
            <v>#N/A</v>
          </cell>
          <cell r="DA418" t="e">
            <v>#N/A</v>
          </cell>
          <cell r="DB418" t="e">
            <v>#N/A</v>
          </cell>
          <cell r="DC418" t="e">
            <v>#N/A</v>
          </cell>
          <cell r="DD418" t="e">
            <v>#N/A</v>
          </cell>
          <cell r="DE418" t="e">
            <v>#N/A</v>
          </cell>
          <cell r="DF418" t="e">
            <v>#N/A</v>
          </cell>
          <cell r="DG418" t="e">
            <v>#N/A</v>
          </cell>
          <cell r="DH418" t="e">
            <v>#N/A</v>
          </cell>
          <cell r="DI418" t="e">
            <v>#N/A</v>
          </cell>
          <cell r="DJ418" t="e">
            <v>#N/A</v>
          </cell>
          <cell r="DK418" t="e">
            <v>#N/A</v>
          </cell>
          <cell r="DL418" t="e">
            <v>#N/A</v>
          </cell>
          <cell r="DM418" t="e">
            <v>#N/A</v>
          </cell>
          <cell r="DN418" t="e">
            <v>#N/A</v>
          </cell>
          <cell r="DO418" t="e">
            <v>#N/A</v>
          </cell>
          <cell r="DP418" t="e">
            <v>#N/A</v>
          </cell>
          <cell r="DQ418" t="e">
            <v>#N/A</v>
          </cell>
          <cell r="DR418" t="e">
            <v>#N/A</v>
          </cell>
          <cell r="DS418" t="e">
            <v>#N/A</v>
          </cell>
          <cell r="DT418" t="e">
            <v>#N/A</v>
          </cell>
          <cell r="DU418" t="e">
            <v>#N/A</v>
          </cell>
          <cell r="DV418" t="e">
            <v>#N/A</v>
          </cell>
          <cell r="DW418" t="e">
            <v>#N/A</v>
          </cell>
          <cell r="DX418" t="e">
            <v>#N/A</v>
          </cell>
          <cell r="DY418" t="e">
            <v>#N/A</v>
          </cell>
          <cell r="DZ418" t="e">
            <v>#N/A</v>
          </cell>
          <cell r="EA418" t="e">
            <v>#N/A</v>
          </cell>
          <cell r="EB418" t="e">
            <v>#N/A</v>
          </cell>
          <cell r="EC418" t="e">
            <v>#N/A</v>
          </cell>
          <cell r="ED418" t="e">
            <v>#N/A</v>
          </cell>
        </row>
        <row r="419">
          <cell r="F419" t="str">
            <v>=</v>
          </cell>
          <cell r="G419" t="str">
            <v>=</v>
          </cell>
          <cell r="H419" t="str">
            <v>=</v>
          </cell>
          <cell r="I419" t="str">
            <v>=</v>
          </cell>
          <cell r="J419" t="str">
            <v>=</v>
          </cell>
          <cell r="K419" t="str">
            <v>=</v>
          </cell>
          <cell r="L419" t="str">
            <v>=</v>
          </cell>
          <cell r="M419" t="str">
            <v>=</v>
          </cell>
          <cell r="N419" t="str">
            <v>=</v>
          </cell>
          <cell r="O419" t="str">
            <v>=</v>
          </cell>
          <cell r="P419" t="str">
            <v>=</v>
          </cell>
          <cell r="Q419" t="str">
            <v>=</v>
          </cell>
          <cell r="R419" t="str">
            <v>=</v>
          </cell>
          <cell r="S419" t="str">
            <v>=</v>
          </cell>
          <cell r="T419" t="str">
            <v>=</v>
          </cell>
          <cell r="U419" t="str">
            <v>=</v>
          </cell>
          <cell r="V419" t="str">
            <v>=</v>
          </cell>
          <cell r="W419" t="str">
            <v>=</v>
          </cell>
          <cell r="X419" t="str">
            <v>=</v>
          </cell>
          <cell r="Y419" t="str">
            <v>=</v>
          </cell>
          <cell r="Z419" t="str">
            <v>=</v>
          </cell>
          <cell r="AA419" t="str">
            <v>=</v>
          </cell>
          <cell r="AB419" t="str">
            <v>=</v>
          </cell>
          <cell r="AC419" t="str">
            <v>=</v>
          </cell>
          <cell r="AD419" t="str">
            <v>=</v>
          </cell>
          <cell r="AE419" t="str">
            <v>=</v>
          </cell>
          <cell r="AF419" t="str">
            <v>=</v>
          </cell>
          <cell r="AG419" t="str">
            <v>=</v>
          </cell>
          <cell r="AH419" t="str">
            <v>=</v>
          </cell>
          <cell r="AI419" t="str">
            <v>=</v>
          </cell>
          <cell r="AJ419" t="str">
            <v>=</v>
          </cell>
          <cell r="AK419" t="str">
            <v>=</v>
          </cell>
          <cell r="AL419" t="str">
            <v>=</v>
          </cell>
          <cell r="AM419" t="str">
            <v>=</v>
          </cell>
          <cell r="AN419" t="str">
            <v>=</v>
          </cell>
          <cell r="AO419" t="str">
            <v>=</v>
          </cell>
          <cell r="AP419" t="str">
            <v>=</v>
          </cell>
          <cell r="AQ419" t="str">
            <v>=</v>
          </cell>
          <cell r="AR419" t="str">
            <v>=</v>
          </cell>
          <cell r="AS419" t="str">
            <v>=</v>
          </cell>
          <cell r="AT419" t="str">
            <v>=</v>
          </cell>
          <cell r="AU419" t="str">
            <v>=</v>
          </cell>
          <cell r="AV419" t="str">
            <v>=</v>
          </cell>
          <cell r="AW419" t="str">
            <v>=</v>
          </cell>
          <cell r="AX419" t="str">
            <v>=</v>
          </cell>
          <cell r="AY419" t="str">
            <v>=</v>
          </cell>
          <cell r="AZ419" t="str">
            <v>=</v>
          </cell>
          <cell r="BA419" t="str">
            <v>=</v>
          </cell>
          <cell r="BB419" t="str">
            <v>=</v>
          </cell>
          <cell r="BC419" t="str">
            <v>=</v>
          </cell>
          <cell r="BD419" t="str">
            <v>=</v>
          </cell>
          <cell r="BE419" t="str">
            <v>=</v>
          </cell>
          <cell r="BF419" t="str">
            <v>=</v>
          </cell>
          <cell r="BG419" t="str">
            <v>=</v>
          </cell>
          <cell r="BH419" t="str">
            <v>=</v>
          </cell>
          <cell r="BI419" t="str">
            <v>=</v>
          </cell>
          <cell r="BJ419" t="str">
            <v>=</v>
          </cell>
          <cell r="BK419" t="str">
            <v>=</v>
          </cell>
          <cell r="BL419" t="str">
            <v>=</v>
          </cell>
          <cell r="BM419" t="str">
            <v>=</v>
          </cell>
          <cell r="BN419" t="str">
            <v>=</v>
          </cell>
          <cell r="BO419" t="str">
            <v>=</v>
          </cell>
          <cell r="BP419" t="str">
            <v>=</v>
          </cell>
          <cell r="BQ419" t="str">
            <v>=</v>
          </cell>
          <cell r="BR419" t="str">
            <v>=</v>
          </cell>
          <cell r="BS419" t="str">
            <v>=</v>
          </cell>
          <cell r="BT419" t="str">
            <v>=</v>
          </cell>
          <cell r="BU419" t="str">
            <v>=</v>
          </cell>
          <cell r="BV419" t="str">
            <v>=</v>
          </cell>
          <cell r="BW419" t="str">
            <v>=</v>
          </cell>
          <cell r="BX419" t="str">
            <v>=</v>
          </cell>
          <cell r="BY419" t="str">
            <v>=</v>
          </cell>
          <cell r="BZ419" t="str">
            <v>=</v>
          </cell>
          <cell r="CA419" t="str">
            <v>=</v>
          </cell>
          <cell r="CB419" t="str">
            <v>=</v>
          </cell>
          <cell r="CC419" t="str">
            <v>=</v>
          </cell>
          <cell r="CD419" t="str">
            <v>=</v>
          </cell>
          <cell r="CE419" t="str">
            <v>=</v>
          </cell>
          <cell r="CF419" t="str">
            <v>=</v>
          </cell>
          <cell r="CG419" t="str">
            <v>=</v>
          </cell>
          <cell r="CH419" t="str">
            <v>=</v>
          </cell>
          <cell r="CI419" t="str">
            <v>=</v>
          </cell>
          <cell r="CJ419" t="str">
            <v>=</v>
          </cell>
          <cell r="CK419" t="str">
            <v>=</v>
          </cell>
          <cell r="CL419" t="str">
            <v>=</v>
          </cell>
          <cell r="CM419" t="str">
            <v>=</v>
          </cell>
          <cell r="CN419" t="str">
            <v>=</v>
          </cell>
          <cell r="CO419" t="str">
            <v>=</v>
          </cell>
          <cell r="CP419" t="str">
            <v>=</v>
          </cell>
          <cell r="CQ419" t="str">
            <v>=</v>
          </cell>
          <cell r="CR419" t="str">
            <v>=</v>
          </cell>
          <cell r="CS419" t="str">
            <v>=</v>
          </cell>
          <cell r="CT419" t="str">
            <v>=</v>
          </cell>
          <cell r="CU419" t="str">
            <v>=</v>
          </cell>
          <cell r="CV419" t="str">
            <v>=</v>
          </cell>
          <cell r="CW419" t="str">
            <v>=</v>
          </cell>
          <cell r="CX419" t="str">
            <v>=</v>
          </cell>
          <cell r="CY419" t="str">
            <v>=</v>
          </cell>
          <cell r="CZ419" t="str">
            <v>=</v>
          </cell>
          <cell r="DA419" t="str">
            <v>=</v>
          </cell>
          <cell r="DB419" t="str">
            <v>=</v>
          </cell>
          <cell r="DC419" t="str">
            <v>=</v>
          </cell>
          <cell r="DD419" t="str">
            <v>=</v>
          </cell>
          <cell r="DE419" t="str">
            <v>=</v>
          </cell>
          <cell r="DF419" t="str">
            <v>=</v>
          </cell>
          <cell r="DG419" t="str">
            <v>=</v>
          </cell>
          <cell r="DH419" t="str">
            <v>=</v>
          </cell>
          <cell r="DI419" t="str">
            <v>=</v>
          </cell>
          <cell r="DJ419" t="str">
            <v>=</v>
          </cell>
          <cell r="DK419" t="str">
            <v>=</v>
          </cell>
          <cell r="DL419" t="str">
            <v>=</v>
          </cell>
          <cell r="DM419" t="str">
            <v>=</v>
          </cell>
          <cell r="DN419" t="str">
            <v>=</v>
          </cell>
          <cell r="DO419" t="str">
            <v>=</v>
          </cell>
          <cell r="DP419" t="str">
            <v>=</v>
          </cell>
          <cell r="DQ419" t="str">
            <v>=</v>
          </cell>
          <cell r="DR419" t="str">
            <v>=</v>
          </cell>
          <cell r="DS419" t="str">
            <v>=</v>
          </cell>
          <cell r="DT419" t="str">
            <v>=</v>
          </cell>
          <cell r="DU419" t="str">
            <v>=</v>
          </cell>
          <cell r="DV419" t="str">
            <v>=</v>
          </cell>
          <cell r="DW419" t="str">
            <v>=</v>
          </cell>
          <cell r="DX419" t="str">
            <v>=</v>
          </cell>
          <cell r="DY419" t="str">
            <v>=</v>
          </cell>
          <cell r="DZ419" t="str">
            <v>=</v>
          </cell>
          <cell r="EA419" t="str">
            <v>=</v>
          </cell>
          <cell r="EB419" t="str">
            <v>=</v>
          </cell>
          <cell r="EC419" t="str">
            <v>=</v>
          </cell>
          <cell r="ED419" t="str">
            <v>=</v>
          </cell>
        </row>
        <row r="420">
          <cell r="A420" t="str">
            <v>Net Power Cost/Net System Load</v>
          </cell>
          <cell r="C420" t="str">
            <v>Net Power Cost/Net System Load</v>
          </cell>
          <cell r="F420">
            <v>-0.15143030619828934</v>
          </cell>
          <cell r="G420">
            <v>-0.13757692071096272</v>
          </cell>
          <cell r="H420">
            <v>-0.11099262132731624</v>
          </cell>
          <cell r="I420">
            <v>-7.9983155755087409E-2</v>
          </cell>
          <cell r="J420">
            <v>-7.527315141864932E-2</v>
          </cell>
          <cell r="K420">
            <v>-9.3715198737733374E-2</v>
          </cell>
          <cell r="L420">
            <v>-0.2037915515658355</v>
          </cell>
          <cell r="M420">
            <v>-0.18606532688052013</v>
          </cell>
          <cell r="N420">
            <v>-0.13344046597364922</v>
          </cell>
          <cell r="O420">
            <v>-0.1176065723056432</v>
          </cell>
          <cell r="P420">
            <v>-0.11424872918923157</v>
          </cell>
          <cell r="Q420">
            <v>-0.16972415950985109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</row>
        <row r="421">
          <cell r="C421">
            <v>0</v>
          </cell>
          <cell r="F421">
            <v>52.620771655521388</v>
          </cell>
          <cell r="G421">
            <v>46.886085092185155</v>
          </cell>
          <cell r="H421">
            <v>35.502714651412106</v>
          </cell>
          <cell r="I421">
            <v>24.909014847228924</v>
          </cell>
          <cell r="J421">
            <v>23.936959047809687</v>
          </cell>
          <cell r="K421">
            <v>33.39455483350099</v>
          </cell>
          <cell r="L421">
            <v>81.164302287402975</v>
          </cell>
          <cell r="M421">
            <v>71.405268834786725</v>
          </cell>
          <cell r="N421">
            <v>45.843528817004824</v>
          </cell>
          <cell r="O421">
            <v>37.675037352824646</v>
          </cell>
          <cell r="P421">
            <v>38.612235549869489</v>
          </cell>
          <cell r="Q421">
            <v>60.995736528909482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</row>
        <row r="423">
          <cell r="A423" t="str">
            <v>Adjustments to Load</v>
          </cell>
        </row>
        <row r="424">
          <cell r="C424" t="str">
            <v>Station Service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</row>
        <row r="425">
          <cell r="C425" t="str">
            <v>MagCorp Curtailment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</row>
        <row r="426">
          <cell r="C426" t="str">
            <v>Monsanto Curtailment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</row>
        <row r="427">
          <cell r="C427" t="str">
            <v>Utah Private Generation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</row>
        <row r="428">
          <cell r="C428" t="str">
            <v>Line Loss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</row>
        <row r="431">
          <cell r="C431" t="str">
            <v>System Load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</row>
        <row r="432">
          <cell r="A432" t="str">
            <v>Net System Load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</row>
        <row r="434">
          <cell r="A434" t="str">
            <v>Special Sales For Resale</v>
          </cell>
        </row>
        <row r="436">
          <cell r="C436" t="str">
            <v>Black Hills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</row>
        <row r="437">
          <cell r="C437" t="str">
            <v>BPA Wind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</row>
        <row r="438">
          <cell r="C438" t="str">
            <v>East Area Sales (WCA Sale)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</row>
        <row r="439">
          <cell r="C439" t="str">
            <v>Hurricane Sale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</row>
        <row r="440">
          <cell r="C440" t="str">
            <v>LADWP (IPP Layoff)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</row>
        <row r="441">
          <cell r="C441" t="str">
            <v>Shell Sale 2013-2014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</row>
        <row r="442">
          <cell r="C442" t="str">
            <v>SMUD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</row>
        <row r="443">
          <cell r="C443" t="str">
            <v>UMPA II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</row>
        <row r="448">
          <cell r="C448" t="str">
            <v>COB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</row>
        <row r="449">
          <cell r="C449" t="str">
            <v>Four Corners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</row>
        <row r="450">
          <cell r="C450" t="str">
            <v>Mid Columbia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</row>
        <row r="451">
          <cell r="C451" t="str">
            <v>Mona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</row>
        <row r="452">
          <cell r="C452" t="str">
            <v>Palo Verde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</row>
        <row r="453">
          <cell r="C453" t="str">
            <v>SP15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</row>
        <row r="454">
          <cell r="C454" t="str">
            <v>STF Index Trades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</row>
        <row r="459">
          <cell r="C459" t="str">
            <v>COB</v>
          </cell>
          <cell r="F459">
            <v>0</v>
          </cell>
          <cell r="G459">
            <v>0</v>
          </cell>
          <cell r="H459">
            <v>20.63300000000163</v>
          </cell>
          <cell r="I459">
            <v>0</v>
          </cell>
          <cell r="J459">
            <v>10.163999999997031</v>
          </cell>
          <cell r="K459">
            <v>0</v>
          </cell>
          <cell r="L459">
            <v>155.53600000000733</v>
          </cell>
          <cell r="M459">
            <v>12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</row>
        <row r="460">
          <cell r="C460" t="str">
            <v>Four Corners</v>
          </cell>
          <cell r="F460">
            <v>1122.3700000000099</v>
          </cell>
          <cell r="G460">
            <v>982.65999999998894</v>
          </cell>
          <cell r="H460">
            <v>704.54000000000815</v>
          </cell>
          <cell r="I460">
            <v>854.16999999999825</v>
          </cell>
          <cell r="J460">
            <v>430.85399999999936</v>
          </cell>
          <cell r="K460">
            <v>61.897000000004482</v>
          </cell>
          <cell r="L460">
            <v>253.16399999999703</v>
          </cell>
          <cell r="M460">
            <v>45.345000000001164</v>
          </cell>
          <cell r="N460">
            <v>60.703999999997905</v>
          </cell>
          <cell r="O460">
            <v>1407.1499999999942</v>
          </cell>
          <cell r="P460">
            <v>1397.609999999986</v>
          </cell>
          <cell r="Q460">
            <v>1837.3149999999878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</row>
        <row r="461">
          <cell r="C461" t="str">
            <v>Mid Columbia</v>
          </cell>
          <cell r="F461">
            <v>212.81599999999889</v>
          </cell>
          <cell r="G461">
            <v>201.35499999999593</v>
          </cell>
          <cell r="H461">
            <v>655.20999999999913</v>
          </cell>
          <cell r="I461">
            <v>162.40000000000873</v>
          </cell>
          <cell r="J461">
            <v>624.39999999999418</v>
          </cell>
          <cell r="K461">
            <v>185.93399999999383</v>
          </cell>
          <cell r="L461">
            <v>1202.8600000000151</v>
          </cell>
          <cell r="M461">
            <v>53.277000000001863</v>
          </cell>
          <cell r="N461">
            <v>249.9800000000032</v>
          </cell>
          <cell r="O461">
            <v>125.29000000000087</v>
          </cell>
          <cell r="P461">
            <v>46.094000000004598</v>
          </cell>
          <cell r="Q461">
            <v>20.763999999999214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</row>
        <row r="462">
          <cell r="C462" t="str">
            <v>Mona</v>
          </cell>
          <cell r="F462">
            <v>428.91000000000349</v>
          </cell>
          <cell r="G462">
            <v>523.37200000000303</v>
          </cell>
          <cell r="H462">
            <v>274.69599999999627</v>
          </cell>
          <cell r="I462">
            <v>427.0789999999979</v>
          </cell>
          <cell r="J462">
            <v>439.80400000000373</v>
          </cell>
          <cell r="K462">
            <v>10.369999999995343</v>
          </cell>
          <cell r="L462">
            <v>33.813999999998487</v>
          </cell>
          <cell r="M462">
            <v>116.97599999999511</v>
          </cell>
          <cell r="N462">
            <v>104.54999999998836</v>
          </cell>
          <cell r="O462">
            <v>601.54300000000512</v>
          </cell>
          <cell r="P462">
            <v>388.89899999997579</v>
          </cell>
          <cell r="Q462">
            <v>472.91400000000431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</row>
        <row r="463">
          <cell r="C463" t="str">
            <v>Palo Verde</v>
          </cell>
          <cell r="F463">
            <v>245.05099999999948</v>
          </cell>
          <cell r="G463">
            <v>101.42699999999968</v>
          </cell>
          <cell r="H463">
            <v>79.659999999999854</v>
          </cell>
          <cell r="I463">
            <v>114.30199999999604</v>
          </cell>
          <cell r="J463">
            <v>44.432000000000698</v>
          </cell>
          <cell r="K463">
            <v>32.628000000004249</v>
          </cell>
          <cell r="L463">
            <v>144.67199999999866</v>
          </cell>
          <cell r="M463">
            <v>245.10700000000361</v>
          </cell>
          <cell r="N463">
            <v>0</v>
          </cell>
          <cell r="O463">
            <v>139.30099999999948</v>
          </cell>
          <cell r="P463">
            <v>83.881999999999607</v>
          </cell>
          <cell r="Q463">
            <v>224.85300000000279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</row>
        <row r="464">
          <cell r="C464" t="str">
            <v>SP15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</row>
        <row r="465">
          <cell r="C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</row>
        <row r="466">
          <cell r="C466" t="str">
            <v>Trapped Energy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</row>
        <row r="467">
          <cell r="F467">
            <v>2009.1470000000554</v>
          </cell>
          <cell r="G467">
            <v>1808.814000000013</v>
          </cell>
          <cell r="H467">
            <v>1734.7390000000014</v>
          </cell>
          <cell r="I467">
            <v>1557.9509999999427</v>
          </cell>
          <cell r="J467">
            <v>1549.6539999999804</v>
          </cell>
          <cell r="K467">
            <v>290.8289999999688</v>
          </cell>
          <cell r="L467">
            <v>1790.0460000000312</v>
          </cell>
          <cell r="M467">
            <v>472.7050000000163</v>
          </cell>
          <cell r="N467">
            <v>415.23399999993853</v>
          </cell>
          <cell r="O467">
            <v>2273.2840000000433</v>
          </cell>
          <cell r="P467">
            <v>1916.484999999986</v>
          </cell>
          <cell r="Q467">
            <v>2555.8460000000196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</row>
        <row r="469">
          <cell r="A469" t="str">
            <v>Total Special Sales For Resale</v>
          </cell>
          <cell r="F469">
            <v>2009.1470000000554</v>
          </cell>
          <cell r="G469">
            <v>1808.814000000013</v>
          </cell>
          <cell r="H469">
            <v>1734.7390000000014</v>
          </cell>
          <cell r="I469">
            <v>1557.9509999999427</v>
          </cell>
          <cell r="J469">
            <v>1549.6539999999804</v>
          </cell>
          <cell r="K469">
            <v>290.8289999999688</v>
          </cell>
          <cell r="L469">
            <v>1790.0460000000312</v>
          </cell>
          <cell r="M469">
            <v>472.7050000000163</v>
          </cell>
          <cell r="N469">
            <v>415.23399999993853</v>
          </cell>
          <cell r="O469">
            <v>2273.2840000000433</v>
          </cell>
          <cell r="P469">
            <v>1916.484999999986</v>
          </cell>
          <cell r="Q469">
            <v>2555.8460000000196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</row>
        <row r="470">
          <cell r="F470" t="str">
            <v>=</v>
          </cell>
          <cell r="G470" t="str">
            <v>=</v>
          </cell>
          <cell r="H470" t="str">
            <v>=</v>
          </cell>
          <cell r="I470" t="str">
            <v>=</v>
          </cell>
          <cell r="J470" t="str">
            <v>=</v>
          </cell>
          <cell r="K470" t="str">
            <v>=</v>
          </cell>
          <cell r="L470" t="str">
            <v>=</v>
          </cell>
          <cell r="M470" t="str">
            <v>=</v>
          </cell>
          <cell r="N470" t="str">
            <v>=</v>
          </cell>
          <cell r="O470" t="str">
            <v>=</v>
          </cell>
          <cell r="P470" t="str">
            <v>=</v>
          </cell>
          <cell r="Q470" t="str">
            <v>=</v>
          </cell>
          <cell r="R470" t="str">
            <v>=</v>
          </cell>
          <cell r="S470" t="str">
            <v>=</v>
          </cell>
          <cell r="T470" t="str">
            <v>=</v>
          </cell>
          <cell r="U470" t="str">
            <v>=</v>
          </cell>
          <cell r="V470" t="str">
            <v>=</v>
          </cell>
          <cell r="W470" t="str">
            <v>=</v>
          </cell>
          <cell r="X470" t="str">
            <v>=</v>
          </cell>
          <cell r="Y470" t="str">
            <v>=</v>
          </cell>
          <cell r="Z470" t="str">
            <v>=</v>
          </cell>
          <cell r="AA470" t="str">
            <v>=</v>
          </cell>
          <cell r="AB470" t="str">
            <v>=</v>
          </cell>
          <cell r="AC470" t="str">
            <v>=</v>
          </cell>
          <cell r="AD470" t="str">
            <v>=</v>
          </cell>
          <cell r="AE470" t="str">
            <v>=</v>
          </cell>
          <cell r="AF470" t="str">
            <v>=</v>
          </cell>
          <cell r="AG470" t="str">
            <v>=</v>
          </cell>
          <cell r="AH470" t="str">
            <v>=</v>
          </cell>
          <cell r="AI470" t="str">
            <v>=</v>
          </cell>
          <cell r="AJ470" t="str">
            <v>=</v>
          </cell>
          <cell r="AK470" t="str">
            <v>=</v>
          </cell>
          <cell r="AL470" t="str">
            <v>=</v>
          </cell>
          <cell r="AM470" t="str">
            <v>=</v>
          </cell>
          <cell r="AN470" t="str">
            <v>=</v>
          </cell>
          <cell r="AO470" t="str">
            <v>=</v>
          </cell>
          <cell r="AP470" t="str">
            <v>=</v>
          </cell>
          <cell r="AQ470" t="str">
            <v>=</v>
          </cell>
          <cell r="AR470" t="str">
            <v>=</v>
          </cell>
          <cell r="AS470" t="str">
            <v>=</v>
          </cell>
          <cell r="AT470" t="str">
            <v>=</v>
          </cell>
          <cell r="AU470" t="str">
            <v>=</v>
          </cell>
          <cell r="AV470" t="str">
            <v>=</v>
          </cell>
          <cell r="AW470" t="str">
            <v>=</v>
          </cell>
          <cell r="AX470" t="str">
            <v>=</v>
          </cell>
          <cell r="AY470" t="str">
            <v>=</v>
          </cell>
          <cell r="AZ470" t="str">
            <v>=</v>
          </cell>
          <cell r="BA470" t="str">
            <v>=</v>
          </cell>
          <cell r="BB470" t="str">
            <v>=</v>
          </cell>
          <cell r="BC470" t="str">
            <v>=</v>
          </cell>
          <cell r="BD470" t="str">
            <v>=</v>
          </cell>
          <cell r="BE470" t="str">
            <v>=</v>
          </cell>
          <cell r="BF470" t="str">
            <v>=</v>
          </cell>
          <cell r="BG470" t="str">
            <v>=</v>
          </cell>
          <cell r="BH470" t="str">
            <v>=</v>
          </cell>
          <cell r="BI470" t="str">
            <v>=</v>
          </cell>
          <cell r="BJ470" t="str">
            <v>=</v>
          </cell>
          <cell r="BK470" t="str">
            <v>=</v>
          </cell>
          <cell r="BL470" t="str">
            <v>=</v>
          </cell>
          <cell r="BM470" t="str">
            <v>=</v>
          </cell>
          <cell r="BN470" t="str">
            <v>=</v>
          </cell>
          <cell r="BO470" t="str">
            <v>=</v>
          </cell>
          <cell r="BP470" t="str">
            <v>=</v>
          </cell>
          <cell r="BQ470" t="str">
            <v>=</v>
          </cell>
          <cell r="BR470" t="str">
            <v>=</v>
          </cell>
          <cell r="BS470" t="str">
            <v>=</v>
          </cell>
          <cell r="BT470" t="str">
            <v>=</v>
          </cell>
          <cell r="BU470" t="str">
            <v>=</v>
          </cell>
          <cell r="BV470" t="str">
            <v>=</v>
          </cell>
          <cell r="BW470" t="str">
            <v>=</v>
          </cell>
          <cell r="BX470" t="str">
            <v>=</v>
          </cell>
          <cell r="BY470" t="str">
            <v>=</v>
          </cell>
          <cell r="BZ470" t="str">
            <v>=</v>
          </cell>
          <cell r="CA470" t="str">
            <v>=</v>
          </cell>
          <cell r="CB470" t="str">
            <v>=</v>
          </cell>
          <cell r="CC470" t="str">
            <v>=</v>
          </cell>
          <cell r="CD470" t="str">
            <v>=</v>
          </cell>
          <cell r="CE470" t="str">
            <v>=</v>
          </cell>
          <cell r="CF470" t="str">
            <v>=</v>
          </cell>
          <cell r="CG470" t="str">
            <v>=</v>
          </cell>
          <cell r="CH470" t="str">
            <v>=</v>
          </cell>
          <cell r="CI470" t="str">
            <v>=</v>
          </cell>
          <cell r="CJ470" t="str">
            <v>=</v>
          </cell>
          <cell r="CK470" t="str">
            <v>=</v>
          </cell>
          <cell r="CL470" t="str">
            <v>=</v>
          </cell>
          <cell r="CM470" t="str">
            <v>=</v>
          </cell>
          <cell r="CN470" t="str">
            <v>=</v>
          </cell>
          <cell r="CO470" t="str">
            <v>=</v>
          </cell>
          <cell r="CP470" t="str">
            <v>=</v>
          </cell>
          <cell r="CQ470" t="str">
            <v>=</v>
          </cell>
          <cell r="CR470" t="str">
            <v>=</v>
          </cell>
          <cell r="CS470" t="str">
            <v>=</v>
          </cell>
          <cell r="CT470" t="str">
            <v>=</v>
          </cell>
          <cell r="CU470" t="str">
            <v>=</v>
          </cell>
          <cell r="CV470" t="str">
            <v>=</v>
          </cell>
          <cell r="CW470" t="str">
            <v>=</v>
          </cell>
          <cell r="CX470" t="str">
            <v>=</v>
          </cell>
          <cell r="CY470" t="str">
            <v>=</v>
          </cell>
          <cell r="CZ470" t="str">
            <v>=</v>
          </cell>
          <cell r="DA470" t="str">
            <v>=</v>
          </cell>
          <cell r="DB470" t="str">
            <v>=</v>
          </cell>
          <cell r="DC470" t="str">
            <v>=</v>
          </cell>
          <cell r="DD470" t="str">
            <v>=</v>
          </cell>
          <cell r="DE470" t="str">
            <v>=</v>
          </cell>
          <cell r="DF470" t="str">
            <v>=</v>
          </cell>
          <cell r="DG470" t="str">
            <v>=</v>
          </cell>
          <cell r="DH470" t="str">
            <v>=</v>
          </cell>
          <cell r="DI470" t="str">
            <v>=</v>
          </cell>
          <cell r="DJ470" t="str">
            <v>=</v>
          </cell>
          <cell r="DK470" t="str">
            <v>=</v>
          </cell>
          <cell r="DL470" t="str">
            <v>=</v>
          </cell>
          <cell r="DM470" t="str">
            <v>=</v>
          </cell>
          <cell r="DN470" t="str">
            <v>=</v>
          </cell>
          <cell r="DO470" t="str">
            <v>=</v>
          </cell>
          <cell r="DP470" t="str">
            <v>=</v>
          </cell>
          <cell r="DQ470" t="str">
            <v>=</v>
          </cell>
          <cell r="DR470" t="str">
            <v>=</v>
          </cell>
          <cell r="DS470" t="str">
            <v>=</v>
          </cell>
          <cell r="DT470" t="str">
            <v>=</v>
          </cell>
          <cell r="DU470" t="str">
            <v>=</v>
          </cell>
          <cell r="DV470" t="str">
            <v>=</v>
          </cell>
          <cell r="DW470" t="str">
            <v>=</v>
          </cell>
          <cell r="DX470" t="str">
            <v>=</v>
          </cell>
          <cell r="DY470" t="str">
            <v>=</v>
          </cell>
          <cell r="DZ470" t="str">
            <v>=</v>
          </cell>
          <cell r="EA470" t="str">
            <v>=</v>
          </cell>
          <cell r="EB470" t="str">
            <v>=</v>
          </cell>
          <cell r="EC470" t="str">
            <v>=</v>
          </cell>
          <cell r="ED470" t="str">
            <v>=</v>
          </cell>
        </row>
        <row r="471">
          <cell r="A471" t="str">
            <v>Total Requirements</v>
          </cell>
          <cell r="F471">
            <v>2009.1469999998808</v>
          </cell>
          <cell r="G471">
            <v>1808.8140000002459</v>
          </cell>
          <cell r="H471">
            <v>1734.7390000000596</v>
          </cell>
          <cell r="I471">
            <v>1557.9509999994189</v>
          </cell>
          <cell r="J471">
            <v>1549.6540000000969</v>
          </cell>
          <cell r="K471">
            <v>290.82899999991059</v>
          </cell>
          <cell r="L471">
            <v>1790.0460000000894</v>
          </cell>
          <cell r="M471">
            <v>472.70499999914318</v>
          </cell>
          <cell r="N471">
            <v>415.23399999924004</v>
          </cell>
          <cell r="O471">
            <v>2273.2839999999851</v>
          </cell>
          <cell r="P471">
            <v>1916.4850000003353</v>
          </cell>
          <cell r="Q471">
            <v>2555.8459999999031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</row>
        <row r="472">
          <cell r="F472" t="str">
            <v>=</v>
          </cell>
          <cell r="G472" t="str">
            <v>=</v>
          </cell>
          <cell r="H472" t="str">
            <v>=</v>
          </cell>
          <cell r="I472" t="str">
            <v>=</v>
          </cell>
          <cell r="J472" t="str">
            <v>=</v>
          </cell>
          <cell r="K472" t="str">
            <v>=</v>
          </cell>
          <cell r="L472" t="str">
            <v>=</v>
          </cell>
          <cell r="M472" t="str">
            <v>=</v>
          </cell>
          <cell r="N472" t="str">
            <v>=</v>
          </cell>
          <cell r="O472" t="str">
            <v>=</v>
          </cell>
          <cell r="P472" t="str">
            <v>=</v>
          </cell>
          <cell r="Q472" t="str">
            <v>=</v>
          </cell>
          <cell r="R472" t="str">
            <v>=</v>
          </cell>
          <cell r="S472" t="str">
            <v>=</v>
          </cell>
          <cell r="T472" t="str">
            <v>=</v>
          </cell>
          <cell r="U472" t="str">
            <v>=</v>
          </cell>
          <cell r="V472" t="str">
            <v>=</v>
          </cell>
          <cell r="W472" t="str">
            <v>=</v>
          </cell>
          <cell r="X472" t="str">
            <v>=</v>
          </cell>
          <cell r="Y472" t="str">
            <v>=</v>
          </cell>
          <cell r="Z472" t="str">
            <v>=</v>
          </cell>
          <cell r="AA472" t="str">
            <v>=</v>
          </cell>
          <cell r="AB472" t="str">
            <v>=</v>
          </cell>
          <cell r="AC472" t="str">
            <v>=</v>
          </cell>
          <cell r="AD472" t="str">
            <v>=</v>
          </cell>
          <cell r="AE472" t="str">
            <v>=</v>
          </cell>
          <cell r="AF472" t="str">
            <v>=</v>
          </cell>
          <cell r="AG472" t="str">
            <v>=</v>
          </cell>
          <cell r="AH472" t="str">
            <v>=</v>
          </cell>
          <cell r="AI472" t="str">
            <v>=</v>
          </cell>
          <cell r="AJ472" t="str">
            <v>=</v>
          </cell>
          <cell r="AK472" t="str">
            <v>=</v>
          </cell>
          <cell r="AL472" t="str">
            <v>=</v>
          </cell>
          <cell r="AM472" t="str">
            <v>=</v>
          </cell>
          <cell r="AN472" t="str">
            <v>=</v>
          </cell>
          <cell r="AO472" t="str">
            <v>=</v>
          </cell>
          <cell r="AP472" t="str">
            <v>=</v>
          </cell>
          <cell r="AQ472" t="str">
            <v>=</v>
          </cell>
          <cell r="AR472" t="str">
            <v>=</v>
          </cell>
          <cell r="AS472" t="str">
            <v>=</v>
          </cell>
          <cell r="AT472" t="str">
            <v>=</v>
          </cell>
          <cell r="AU472" t="str">
            <v>=</v>
          </cell>
          <cell r="AV472" t="str">
            <v>=</v>
          </cell>
          <cell r="AW472" t="str">
            <v>=</v>
          </cell>
          <cell r="AX472" t="str">
            <v>=</v>
          </cell>
          <cell r="AY472" t="str">
            <v>=</v>
          </cell>
          <cell r="AZ472" t="str">
            <v>=</v>
          </cell>
          <cell r="BA472" t="str">
            <v>=</v>
          </cell>
          <cell r="BB472" t="str">
            <v>=</v>
          </cell>
          <cell r="BC472" t="str">
            <v>=</v>
          </cell>
          <cell r="BD472" t="str">
            <v>=</v>
          </cell>
          <cell r="BE472" t="str">
            <v>=</v>
          </cell>
          <cell r="BF472" t="str">
            <v>=</v>
          </cell>
          <cell r="BG472" t="str">
            <v>=</v>
          </cell>
          <cell r="BH472" t="str">
            <v>=</v>
          </cell>
          <cell r="BI472" t="str">
            <v>=</v>
          </cell>
          <cell r="BJ472" t="str">
            <v>=</v>
          </cell>
          <cell r="BK472" t="str">
            <v>=</v>
          </cell>
          <cell r="BL472" t="str">
            <v>=</v>
          </cell>
          <cell r="BM472" t="str">
            <v>=</v>
          </cell>
          <cell r="BN472" t="str">
            <v>=</v>
          </cell>
          <cell r="BO472" t="str">
            <v>=</v>
          </cell>
          <cell r="BP472" t="str">
            <v>=</v>
          </cell>
          <cell r="BQ472" t="str">
            <v>=</v>
          </cell>
          <cell r="BR472" t="str">
            <v>=</v>
          </cell>
          <cell r="BS472" t="str">
            <v>=</v>
          </cell>
          <cell r="BT472" t="str">
            <v>=</v>
          </cell>
          <cell r="BU472" t="str">
            <v>=</v>
          </cell>
          <cell r="BV472" t="str">
            <v>=</v>
          </cell>
          <cell r="BW472" t="str">
            <v>=</v>
          </cell>
          <cell r="BX472" t="str">
            <v>=</v>
          </cell>
          <cell r="BY472" t="str">
            <v>=</v>
          </cell>
          <cell r="BZ472" t="str">
            <v>=</v>
          </cell>
          <cell r="CA472" t="str">
            <v>=</v>
          </cell>
          <cell r="CB472" t="str">
            <v>=</v>
          </cell>
          <cell r="CC472" t="str">
            <v>=</v>
          </cell>
          <cell r="CD472" t="str">
            <v>=</v>
          </cell>
          <cell r="CE472" t="str">
            <v>=</v>
          </cell>
          <cell r="CF472" t="str">
            <v>=</v>
          </cell>
          <cell r="CG472" t="str">
            <v>=</v>
          </cell>
          <cell r="CH472" t="str">
            <v>=</v>
          </cell>
          <cell r="CI472" t="str">
            <v>=</v>
          </cell>
          <cell r="CJ472" t="str">
            <v>=</v>
          </cell>
          <cell r="CK472" t="str">
            <v>=</v>
          </cell>
          <cell r="CL472" t="str">
            <v>=</v>
          </cell>
          <cell r="CM472" t="str">
            <v>=</v>
          </cell>
          <cell r="CN472" t="str">
            <v>=</v>
          </cell>
          <cell r="CO472" t="str">
            <v>=</v>
          </cell>
          <cell r="CP472" t="str">
            <v>=</v>
          </cell>
          <cell r="CQ472" t="str">
            <v>=</v>
          </cell>
          <cell r="CR472" t="str">
            <v>=</v>
          </cell>
          <cell r="CS472" t="str">
            <v>=</v>
          </cell>
          <cell r="CT472" t="str">
            <v>=</v>
          </cell>
          <cell r="CU472" t="str">
            <v>=</v>
          </cell>
          <cell r="CV472" t="str">
            <v>=</v>
          </cell>
          <cell r="CW472" t="str">
            <v>=</v>
          </cell>
          <cell r="CX472" t="str">
            <v>=</v>
          </cell>
          <cell r="CY472" t="str">
            <v>=</v>
          </cell>
          <cell r="CZ472" t="str">
            <v>=</v>
          </cell>
          <cell r="DA472" t="str">
            <v>=</v>
          </cell>
          <cell r="DB472" t="str">
            <v>=</v>
          </cell>
          <cell r="DC472" t="str">
            <v>=</v>
          </cell>
          <cell r="DD472" t="str">
            <v>=</v>
          </cell>
          <cell r="DE472" t="str">
            <v>=</v>
          </cell>
          <cell r="DF472" t="str">
            <v>=</v>
          </cell>
          <cell r="DG472" t="str">
            <v>=</v>
          </cell>
          <cell r="DH472" t="str">
            <v>=</v>
          </cell>
          <cell r="DI472" t="str">
            <v>=</v>
          </cell>
          <cell r="DJ472" t="str">
            <v>=</v>
          </cell>
          <cell r="DK472" t="str">
            <v>=</v>
          </cell>
          <cell r="DL472" t="str">
            <v>=</v>
          </cell>
          <cell r="DM472" t="str">
            <v>=</v>
          </cell>
          <cell r="DN472" t="str">
            <v>=</v>
          </cell>
          <cell r="DO472" t="str">
            <v>=</v>
          </cell>
          <cell r="DP472" t="str">
            <v>=</v>
          </cell>
          <cell r="DQ472" t="str">
            <v>=</v>
          </cell>
          <cell r="DR472" t="str">
            <v>=</v>
          </cell>
          <cell r="DS472" t="str">
            <v>=</v>
          </cell>
          <cell r="DT472" t="str">
            <v>=</v>
          </cell>
          <cell r="DU472" t="str">
            <v>=</v>
          </cell>
          <cell r="DV472" t="str">
            <v>=</v>
          </cell>
          <cell r="DW472" t="str">
            <v>=</v>
          </cell>
          <cell r="DX472" t="str">
            <v>=</v>
          </cell>
          <cell r="DY472" t="str">
            <v>=</v>
          </cell>
          <cell r="DZ472" t="str">
            <v>=</v>
          </cell>
          <cell r="EA472" t="str">
            <v>=</v>
          </cell>
          <cell r="EB472" t="str">
            <v>=</v>
          </cell>
          <cell r="EC472" t="str">
            <v>=</v>
          </cell>
          <cell r="ED472" t="str">
            <v>=</v>
          </cell>
        </row>
        <row r="474">
          <cell r="A474" t="str">
            <v>Purchased Power &amp; Net Interchange</v>
          </cell>
        </row>
        <row r="476">
          <cell r="C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</row>
        <row r="477">
          <cell r="C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</row>
        <row r="478">
          <cell r="C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</row>
        <row r="479">
          <cell r="C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</row>
        <row r="480">
          <cell r="C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</row>
        <row r="481">
          <cell r="C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</row>
        <row r="482">
          <cell r="C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</row>
        <row r="483">
          <cell r="C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</row>
        <row r="484">
          <cell r="C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</row>
        <row r="485">
          <cell r="C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</row>
        <row r="486">
          <cell r="C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</row>
        <row r="487">
          <cell r="C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</row>
        <row r="488">
          <cell r="C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</row>
        <row r="489">
          <cell r="C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</row>
        <row r="490">
          <cell r="C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</row>
        <row r="491">
          <cell r="C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</row>
        <row r="492">
          <cell r="C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</row>
        <row r="493">
          <cell r="C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</row>
        <row r="494">
          <cell r="C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</row>
        <row r="495">
          <cell r="C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</row>
        <row r="496">
          <cell r="C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</row>
        <row r="497">
          <cell r="C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</row>
        <row r="498">
          <cell r="C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</row>
        <row r="499">
          <cell r="C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</row>
        <row r="500">
          <cell r="C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</row>
        <row r="501">
          <cell r="C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</row>
        <row r="502">
          <cell r="C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</row>
        <row r="503">
          <cell r="C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</row>
        <row r="504">
          <cell r="C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</row>
        <row r="505">
          <cell r="C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</row>
        <row r="506">
          <cell r="C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</row>
        <row r="507">
          <cell r="C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</row>
        <row r="508">
          <cell r="C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</row>
        <row r="509">
          <cell r="C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</row>
        <row r="510">
          <cell r="C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</row>
        <row r="511">
          <cell r="C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</row>
        <row r="512">
          <cell r="C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</row>
        <row r="513">
          <cell r="C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</row>
        <row r="514">
          <cell r="C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</row>
        <row r="515">
          <cell r="C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</row>
        <row r="516">
          <cell r="C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</row>
        <row r="517">
          <cell r="C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</row>
        <row r="518">
          <cell r="C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</row>
        <row r="519">
          <cell r="C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</row>
        <row r="520">
          <cell r="C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</row>
        <row r="521">
          <cell r="C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</row>
        <row r="522">
          <cell r="C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</row>
        <row r="523">
          <cell r="C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</row>
        <row r="524">
          <cell r="C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</row>
        <row r="525">
          <cell r="C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</row>
        <row r="526">
          <cell r="C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</row>
        <row r="527">
          <cell r="C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</row>
        <row r="528">
          <cell r="C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</row>
        <row r="529">
          <cell r="C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</row>
        <row r="530">
          <cell r="C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</row>
        <row r="532">
          <cell r="F532">
            <v>-130.10772470000666</v>
          </cell>
          <cell r="G532">
            <v>-148.74999699997716</v>
          </cell>
          <cell r="H532">
            <v>-456.61481619998813</v>
          </cell>
          <cell r="I532">
            <v>-524.22586189990398</v>
          </cell>
          <cell r="J532">
            <v>-257.22916600003373</v>
          </cell>
          <cell r="K532">
            <v>-21.250002000015229</v>
          </cell>
          <cell r="L532">
            <v>0</v>
          </cell>
          <cell r="M532">
            <v>0</v>
          </cell>
          <cell r="N532">
            <v>-128.12622599990573</v>
          </cell>
          <cell r="O532">
            <v>-81.279189999913797</v>
          </cell>
          <cell r="P532">
            <v>-37.199930000002496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</row>
        <row r="535">
          <cell r="C535" t="str">
            <v>QF - 435 - UT - Gas</v>
          </cell>
          <cell r="F535">
            <v>15810</v>
          </cell>
          <cell r="G535">
            <v>14790</v>
          </cell>
          <cell r="H535">
            <v>15810</v>
          </cell>
          <cell r="I535">
            <v>15300</v>
          </cell>
          <cell r="J535">
            <v>15810</v>
          </cell>
          <cell r="K535">
            <v>15300</v>
          </cell>
          <cell r="L535">
            <v>15810</v>
          </cell>
          <cell r="M535">
            <v>15810</v>
          </cell>
          <cell r="N535">
            <v>15300</v>
          </cell>
          <cell r="O535">
            <v>15810</v>
          </cell>
          <cell r="P535">
            <v>15300</v>
          </cell>
          <cell r="Q535">
            <v>15810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</row>
        <row r="536">
          <cell r="C536" t="str">
            <v>Curtailment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</row>
        <row r="537">
          <cell r="C537" t="str">
            <v>Net Generation</v>
          </cell>
          <cell r="F537">
            <v>15810</v>
          </cell>
          <cell r="G537">
            <v>14790</v>
          </cell>
          <cell r="H537">
            <v>15810</v>
          </cell>
          <cell r="I537">
            <v>15300</v>
          </cell>
          <cell r="J537">
            <v>15810</v>
          </cell>
          <cell r="K537">
            <v>15300</v>
          </cell>
          <cell r="L537">
            <v>15810</v>
          </cell>
          <cell r="M537">
            <v>15810</v>
          </cell>
          <cell r="N537">
            <v>15300</v>
          </cell>
          <cell r="O537">
            <v>15810</v>
          </cell>
          <cell r="P537">
            <v>15300</v>
          </cell>
          <cell r="Q537">
            <v>15810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</row>
        <row r="539">
          <cell r="C539" t="str">
            <v>Potential QFs  -  Central Oregon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0</v>
          </cell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T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</row>
        <row r="602">
          <cell r="F602">
            <v>15810</v>
          </cell>
          <cell r="G602">
            <v>14789.999999999942</v>
          </cell>
          <cell r="H602">
            <v>15810</v>
          </cell>
          <cell r="I602">
            <v>15300</v>
          </cell>
          <cell r="J602">
            <v>15810</v>
          </cell>
          <cell r="K602">
            <v>15300</v>
          </cell>
          <cell r="L602">
            <v>15810</v>
          </cell>
          <cell r="M602">
            <v>15810</v>
          </cell>
          <cell r="N602">
            <v>15300</v>
          </cell>
          <cell r="O602">
            <v>15810</v>
          </cell>
          <cell r="P602">
            <v>15300</v>
          </cell>
          <cell r="Q602">
            <v>15810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</row>
        <row r="612">
          <cell r="F612">
            <v>15679.892275299993</v>
          </cell>
          <cell r="G612">
            <v>14641.250002999965</v>
          </cell>
          <cell r="H612">
            <v>15353.385183800012</v>
          </cell>
          <cell r="I612">
            <v>14775.774138100096</v>
          </cell>
          <cell r="J612">
            <v>15552.770833999966</v>
          </cell>
          <cell r="K612">
            <v>15278.749997999985</v>
          </cell>
          <cell r="L612">
            <v>15810</v>
          </cell>
          <cell r="M612">
            <v>15810</v>
          </cell>
          <cell r="N612">
            <v>15171.873774000094</v>
          </cell>
          <cell r="O612">
            <v>15728.720810000086</v>
          </cell>
          <cell r="P612">
            <v>15262.800069999998</v>
          </cell>
          <cell r="Q612">
            <v>15810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</row>
        <row r="641">
          <cell r="F641">
            <v>0</v>
          </cell>
          <cell r="G641">
            <v>-83.144239999999968</v>
          </cell>
          <cell r="H641">
            <v>-221.08299999999963</v>
          </cell>
          <cell r="I641">
            <v>-386.68899999999849</v>
          </cell>
          <cell r="J641">
            <v>-211.33899999999994</v>
          </cell>
          <cell r="K641">
            <v>-103.15819999999985</v>
          </cell>
          <cell r="L641">
            <v>-1015.1204899999939</v>
          </cell>
          <cell r="M641">
            <v>-1177.8629999999976</v>
          </cell>
          <cell r="N641">
            <v>-469.26000000000204</v>
          </cell>
          <cell r="O641">
            <v>-50.771079999999984</v>
          </cell>
          <cell r="P641">
            <v>-20.631710000000112</v>
          </cell>
          <cell r="Q641">
            <v>-103.15826000000004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</row>
        <row r="642">
          <cell r="F642">
            <v>-57.376900000000205</v>
          </cell>
          <cell r="G642">
            <v>-249.18100000000049</v>
          </cell>
          <cell r="H642">
            <v>-409.89799999999741</v>
          </cell>
          <cell r="I642">
            <v>-298.38000000000102</v>
          </cell>
          <cell r="J642">
            <v>-535.25599999999758</v>
          </cell>
          <cell r="K642">
            <v>-0.51710000000002765</v>
          </cell>
          <cell r="L642">
            <v>-170.15090000000009</v>
          </cell>
          <cell r="M642">
            <v>-120.50160000000005</v>
          </cell>
          <cell r="N642">
            <v>0</v>
          </cell>
          <cell r="O642">
            <v>-541.42699999999968</v>
          </cell>
          <cell r="P642">
            <v>-261.94000000000051</v>
          </cell>
          <cell r="Q642">
            <v>-439.80900000000111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</row>
        <row r="643">
          <cell r="F643">
            <v>-1428.9900000000052</v>
          </cell>
          <cell r="G643">
            <v>-1365.5500000000029</v>
          </cell>
          <cell r="H643">
            <v>-3405.210000000021</v>
          </cell>
          <cell r="I643">
            <v>-893.34399999999732</v>
          </cell>
          <cell r="J643">
            <v>-2343.8300000000017</v>
          </cell>
          <cell r="K643">
            <v>-2576.4100000000035</v>
          </cell>
          <cell r="L643">
            <v>-3414.2799999999988</v>
          </cell>
          <cell r="M643">
            <v>-2106.5899999999965</v>
          </cell>
          <cell r="N643">
            <v>-1215.8600000000006</v>
          </cell>
          <cell r="O643">
            <v>-1562.4899999999907</v>
          </cell>
          <cell r="P643">
            <v>-662.09500000000116</v>
          </cell>
          <cell r="Q643">
            <v>-1452.5100000000093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</row>
        <row r="644">
          <cell r="F644">
            <v>-1537.5219999999972</v>
          </cell>
          <cell r="G644">
            <v>-1393.8800000000047</v>
          </cell>
          <cell r="H644">
            <v>-1730.2099999999919</v>
          </cell>
          <cell r="I644">
            <v>-2001.5600000000122</v>
          </cell>
          <cell r="J644">
            <v>-915.59599999999045</v>
          </cell>
          <cell r="K644">
            <v>-260.41769999999997</v>
          </cell>
          <cell r="L644">
            <v>-378.3036000000011</v>
          </cell>
          <cell r="M644">
            <v>-308.24670000000151</v>
          </cell>
          <cell r="N644">
            <v>-266.82549999999901</v>
          </cell>
          <cell r="O644">
            <v>-1283.2560000000012</v>
          </cell>
          <cell r="P644">
            <v>-947.36300000000119</v>
          </cell>
          <cell r="Q644">
            <v>-1225.3669999999984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</row>
        <row r="645">
          <cell r="F645">
            <v>-283.6857</v>
          </cell>
          <cell r="G645">
            <v>-73.238800000000083</v>
          </cell>
          <cell r="H645">
            <v>-224.42499999999927</v>
          </cell>
          <cell r="I645">
            <v>-21.249900000000025</v>
          </cell>
          <cell r="J645">
            <v>-45.000500000000102</v>
          </cell>
          <cell r="K645">
            <v>-21.25</v>
          </cell>
          <cell r="L645">
            <v>-51.005130000000008</v>
          </cell>
          <cell r="M645">
            <v>-56.777589999999918</v>
          </cell>
          <cell r="N645">
            <v>-91.881000000000313</v>
          </cell>
          <cell r="O645">
            <v>-100.92199999999957</v>
          </cell>
          <cell r="P645">
            <v>-162.13569999999982</v>
          </cell>
          <cell r="Q645">
            <v>-95.745499999999993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</row>
        <row r="647">
          <cell r="F647">
            <v>0</v>
          </cell>
          <cell r="G647">
            <v>-82.526859999983571</v>
          </cell>
          <cell r="H647">
            <v>-254.7332000000024</v>
          </cell>
          <cell r="I647">
            <v>-42.5</v>
          </cell>
          <cell r="J647">
            <v>-167.49239999999554</v>
          </cell>
          <cell r="K647">
            <v>-82.527885000003153</v>
          </cell>
          <cell r="L647">
            <v>-326.17030000000523</v>
          </cell>
          <cell r="M647">
            <v>-61.895160000000033</v>
          </cell>
          <cell r="N647">
            <v>0</v>
          </cell>
          <cell r="O647">
            <v>-11.124151000003621</v>
          </cell>
          <cell r="P647">
            <v>0</v>
          </cell>
          <cell r="Q647">
            <v>-41.263460000001942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</row>
        <row r="649">
          <cell r="F649">
            <v>-3307.5745999999926</v>
          </cell>
          <cell r="G649">
            <v>-3247.5208999999741</v>
          </cell>
          <cell r="H649">
            <v>-6245.5592000000179</v>
          </cell>
          <cell r="I649">
            <v>-3643.7228999999934</v>
          </cell>
          <cell r="J649">
            <v>-4218.5138999999908</v>
          </cell>
          <cell r="K649">
            <v>-3044.2808850000438</v>
          </cell>
          <cell r="L649">
            <v>-5355.0304200000537</v>
          </cell>
          <cell r="M649">
            <v>-3831.874049999984</v>
          </cell>
          <cell r="N649">
            <v>-2043.8265000000247</v>
          </cell>
          <cell r="O649">
            <v>-3549.9902310000034</v>
          </cell>
          <cell r="P649">
            <v>-2054.165410000016</v>
          </cell>
          <cell r="Q649">
            <v>-3357.8532200000482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</row>
        <row r="651">
          <cell r="A651" t="str">
            <v xml:space="preserve">Total Purchased Power &amp; Net Interchange </v>
          </cell>
          <cell r="F651">
            <v>12372.317675300175</v>
          </cell>
          <cell r="G651">
            <v>11393.729103000136</v>
          </cell>
          <cell r="H651">
            <v>9107.825983799994</v>
          </cell>
          <cell r="I651">
            <v>11132.051238100044</v>
          </cell>
          <cell r="J651">
            <v>11334.256933999946</v>
          </cell>
          <cell r="K651">
            <v>12234.46911299997</v>
          </cell>
          <cell r="L651">
            <v>10454.969580000034</v>
          </cell>
          <cell r="M651">
            <v>11978.125950000016</v>
          </cell>
          <cell r="N651">
            <v>13128.047274000011</v>
          </cell>
          <cell r="O651">
            <v>12178.730578999966</v>
          </cell>
          <cell r="P651">
            <v>13208.634659999982</v>
          </cell>
          <cell r="Q651">
            <v>12452.146780000068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</row>
        <row r="653">
          <cell r="A653" t="str">
            <v>Coal Generation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</row>
        <row r="656">
          <cell r="F656">
            <v>-89.68698700000823</v>
          </cell>
          <cell r="G656">
            <v>-79.815700999999535</v>
          </cell>
          <cell r="H656">
            <v>-67.054472999996506</v>
          </cell>
          <cell r="I656">
            <v>-58.032858999999007</v>
          </cell>
          <cell r="J656">
            <v>-115.15927000000374</v>
          </cell>
          <cell r="K656">
            <v>-150.53378800000064</v>
          </cell>
          <cell r="L656">
            <v>-85.00000299999374</v>
          </cell>
          <cell r="M656">
            <v>-67.252332000003662</v>
          </cell>
          <cell r="N656">
            <v>-103.49958399999014</v>
          </cell>
          <cell r="O656">
            <v>-97.694221999990987</v>
          </cell>
          <cell r="P656">
            <v>-14.939731999998912</v>
          </cell>
          <cell r="Q656">
            <v>-127.66793199999665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</row>
        <row r="657">
          <cell r="F657">
            <v>-2.4735839999630116</v>
          </cell>
          <cell r="G657">
            <v>-1.2370200000004843</v>
          </cell>
          <cell r="H657">
            <v>-98.203210000006948</v>
          </cell>
          <cell r="I657">
            <v>-327.56984899996314</v>
          </cell>
          <cell r="J657">
            <v>-658.8394659999758</v>
          </cell>
          <cell r="K657">
            <v>-255.00024700001813</v>
          </cell>
          <cell r="L657">
            <v>-63.749999999941792</v>
          </cell>
          <cell r="M657">
            <v>0</v>
          </cell>
          <cell r="N657">
            <v>-127.5</v>
          </cell>
          <cell r="O657">
            <v>-11.907660000026226</v>
          </cell>
          <cell r="P657">
            <v>-5.9183300000149757</v>
          </cell>
          <cell r="Q657">
            <v>-1.237009999982547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</row>
        <row r="658">
          <cell r="F658">
            <v>-85.024379000002227</v>
          </cell>
          <cell r="G658">
            <v>-83.297930000000633</v>
          </cell>
          <cell r="H658">
            <v>-128.22490000000107</v>
          </cell>
          <cell r="I658">
            <v>-98.167606000002706</v>
          </cell>
          <cell r="J658">
            <v>-187.8487049999967</v>
          </cell>
          <cell r="K658">
            <v>-166.68539500000043</v>
          </cell>
          <cell r="L658">
            <v>-115.24705099999846</v>
          </cell>
          <cell r="M658">
            <v>-69.712476999993669</v>
          </cell>
          <cell r="N658">
            <v>-44.516216999996686</v>
          </cell>
          <cell r="O658">
            <v>-6.0000060000020312</v>
          </cell>
          <cell r="P658">
            <v>-185.92985800000315</v>
          </cell>
          <cell r="Q658">
            <v>-89.513921999998274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</row>
        <row r="659">
          <cell r="F659">
            <v>-3044.729747000034</v>
          </cell>
          <cell r="G659">
            <v>-2853.3677750000497</v>
          </cell>
          <cell r="H659">
            <v>-2063.8828650000505</v>
          </cell>
          <cell r="I659">
            <v>-3348.5599750000401</v>
          </cell>
          <cell r="J659">
            <v>-3671.2680159999873</v>
          </cell>
          <cell r="K659">
            <v>-3085.4903520000516</v>
          </cell>
          <cell r="L659">
            <v>-2136.3962649998721</v>
          </cell>
          <cell r="M659">
            <v>-2354.000907999929</v>
          </cell>
          <cell r="N659">
            <v>-3115.6380529999733</v>
          </cell>
          <cell r="O659">
            <v>-2316.8496959999902</v>
          </cell>
          <cell r="P659">
            <v>-2501.199580000015</v>
          </cell>
          <cell r="Q659">
            <v>-2324.5914999999804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</row>
        <row r="660">
          <cell r="F660">
            <v>-1832.7291609999957</v>
          </cell>
          <cell r="G660">
            <v>-1450.5786239999579</v>
          </cell>
          <cell r="H660">
            <v>-1558.2153560000006</v>
          </cell>
          <cell r="I660">
            <v>-2159.5416350000305</v>
          </cell>
          <cell r="J660">
            <v>-2087.9350450000493</v>
          </cell>
          <cell r="K660">
            <v>-1691.8075490000192</v>
          </cell>
          <cell r="L660">
            <v>-472.90329500008374</v>
          </cell>
          <cell r="M660">
            <v>-930.50615599995945</v>
          </cell>
          <cell r="N660">
            <v>-1697.965933999978</v>
          </cell>
          <cell r="O660">
            <v>-1509.1698140000226</v>
          </cell>
          <cell r="P660">
            <v>-1160.2601549999672</v>
          </cell>
          <cell r="Q660">
            <v>-702.40656500007026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</row>
        <row r="661">
          <cell r="F661">
            <v>-542.87737599993125</v>
          </cell>
          <cell r="G661">
            <v>-1003.2492650000495</v>
          </cell>
          <cell r="H661">
            <v>-659.32773700001417</v>
          </cell>
          <cell r="I661">
            <v>-890.79856500006281</v>
          </cell>
          <cell r="J661">
            <v>-1023.6161900000297</v>
          </cell>
          <cell r="K661">
            <v>-297.60386999999173</v>
          </cell>
          <cell r="L661">
            <v>-170.0000299999956</v>
          </cell>
          <cell r="M661">
            <v>-173.23511999996845</v>
          </cell>
          <cell r="N661">
            <v>-546.27286000002641</v>
          </cell>
          <cell r="O661">
            <v>-538.33907599997474</v>
          </cell>
          <cell r="P661">
            <v>-280.48288000002503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T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</row>
        <row r="662">
          <cell r="F662">
            <v>-1398.0191130000167</v>
          </cell>
          <cell r="G662">
            <v>-1415.1932709999965</v>
          </cell>
          <cell r="H662">
            <v>-937.64853700001549</v>
          </cell>
          <cell r="I662">
            <v>-517.4492739999987</v>
          </cell>
          <cell r="J662">
            <v>-647.54609599999094</v>
          </cell>
          <cell r="K662">
            <v>-542.36300500000652</v>
          </cell>
          <cell r="L662">
            <v>-363.16018999999505</v>
          </cell>
          <cell r="M662">
            <v>-822.97077700000955</v>
          </cell>
          <cell r="N662">
            <v>-757.69193200000154</v>
          </cell>
          <cell r="O662">
            <v>-387.69855999999709</v>
          </cell>
          <cell r="P662">
            <v>-760.85474100001738</v>
          </cell>
          <cell r="Q662">
            <v>-758.88488500000676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</row>
        <row r="663">
          <cell r="F663">
            <v>-16.218349999995553</v>
          </cell>
          <cell r="G663">
            <v>-22.48750000000291</v>
          </cell>
          <cell r="H663">
            <v>-136.77603500000259</v>
          </cell>
          <cell r="I663">
            <v>-120.04422999999952</v>
          </cell>
          <cell r="J663">
            <v>-88.102895000003628</v>
          </cell>
          <cell r="K663">
            <v>-149.9568200000067</v>
          </cell>
          <cell r="L663">
            <v>-23.105270000000019</v>
          </cell>
          <cell r="M663">
            <v>-63.75</v>
          </cell>
          <cell r="N663">
            <v>-162.13090999999258</v>
          </cell>
          <cell r="O663">
            <v>-26.194669999997132</v>
          </cell>
          <cell r="P663">
            <v>-0.61828999999852385</v>
          </cell>
          <cell r="Q663">
            <v>-2.4725699999980861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</row>
        <row r="666">
          <cell r="A666" t="str">
            <v>Total Coal Generation</v>
          </cell>
          <cell r="F666">
            <v>-7011.7586970003322</v>
          </cell>
          <cell r="G666">
            <v>-6909.2270859996788</v>
          </cell>
          <cell r="H666">
            <v>-5649.3331130000297</v>
          </cell>
          <cell r="I666">
            <v>-7520.1639929995872</v>
          </cell>
          <cell r="J666">
            <v>-8480.3156829995569</v>
          </cell>
          <cell r="K666">
            <v>-6339.441026000306</v>
          </cell>
          <cell r="L666">
            <v>-3429.5621040002443</v>
          </cell>
          <cell r="M666">
            <v>-4481.4277699994855</v>
          </cell>
          <cell r="N666">
            <v>-6555.2154899998568</v>
          </cell>
          <cell r="O666">
            <v>-4893.8537040003575</v>
          </cell>
          <cell r="P666">
            <v>-4910.2035659998655</v>
          </cell>
          <cell r="Q666">
            <v>-4006.7743840003386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T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</row>
        <row r="668">
          <cell r="A668" t="str">
            <v>Gas Generation</v>
          </cell>
        </row>
        <row r="669">
          <cell r="F669">
            <v>-1282.4925400000066</v>
          </cell>
          <cell r="G669">
            <v>-849.50112999998964</v>
          </cell>
          <cell r="H669">
            <v>-596.01042000000598</v>
          </cell>
          <cell r="I669">
            <v>-131.53495000000112</v>
          </cell>
          <cell r="J669">
            <v>-244.46318000002066</v>
          </cell>
          <cell r="K669">
            <v>-225.47635000001173</v>
          </cell>
          <cell r="L669">
            <v>-462.00852999999188</v>
          </cell>
          <cell r="M669">
            <v>-691.03376999998</v>
          </cell>
          <cell r="N669">
            <v>-741.24781000000075</v>
          </cell>
          <cell r="O669">
            <v>-537.17027000000235</v>
          </cell>
          <cell r="P669">
            <v>-811.56391999998596</v>
          </cell>
          <cell r="Q669">
            <v>-732.10051999997813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T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T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</row>
        <row r="671">
          <cell r="F671">
            <v>-706.1565169999958</v>
          </cell>
          <cell r="G671">
            <v>-802.21130600001197</v>
          </cell>
          <cell r="H671">
            <v>-638.49142700000084</v>
          </cell>
          <cell r="I671">
            <v>-247.74750800000038</v>
          </cell>
          <cell r="J671">
            <v>-175.37823799997568</v>
          </cell>
          <cell r="K671">
            <v>-360.29942200001096</v>
          </cell>
          <cell r="L671">
            <v>-363.22214100003475</v>
          </cell>
          <cell r="M671">
            <v>-500.97899899998447</v>
          </cell>
          <cell r="N671">
            <v>-511.12241800001357</v>
          </cell>
          <cell r="O671">
            <v>-76.211060000001453</v>
          </cell>
          <cell r="P671">
            <v>-778.34481199999573</v>
          </cell>
          <cell r="Q671">
            <v>-946.18002799997339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T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</row>
        <row r="673">
          <cell r="F673">
            <v>0</v>
          </cell>
          <cell r="G673">
            <v>-21.867769000000408</v>
          </cell>
          <cell r="H673">
            <v>-1.8553170000013779</v>
          </cell>
          <cell r="I673">
            <v>-61.219671000000744</v>
          </cell>
          <cell r="J673">
            <v>-211.89281700000356</v>
          </cell>
          <cell r="K673">
            <v>-29.289961999998923</v>
          </cell>
          <cell r="L673">
            <v>0</v>
          </cell>
          <cell r="M673">
            <v>-13.021998999996867</v>
          </cell>
          <cell r="N673">
            <v>-10.483119999997143</v>
          </cell>
          <cell r="O673">
            <v>-58.305865000002086</v>
          </cell>
          <cell r="P673">
            <v>-2.4721380000009958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</row>
        <row r="674">
          <cell r="F674">
            <v>-494.21490000002086</v>
          </cell>
          <cell r="G674">
            <v>-339.15252999999211</v>
          </cell>
          <cell r="H674">
            <v>-27.810200000007171</v>
          </cell>
          <cell r="I674">
            <v>-56.704450000004726</v>
          </cell>
          <cell r="J674">
            <v>-69.816259999999602</v>
          </cell>
          <cell r="K674">
            <v>-160.36048000000301</v>
          </cell>
          <cell r="L674">
            <v>-42.499999999985448</v>
          </cell>
          <cell r="M674">
            <v>-39.264899999980116</v>
          </cell>
          <cell r="N674">
            <v>-51.325469999981578</v>
          </cell>
          <cell r="O674">
            <v>-231.81463999999687</v>
          </cell>
          <cell r="P674">
            <v>-100.2554700000037</v>
          </cell>
          <cell r="Q674">
            <v>-253.37695999999414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</row>
        <row r="675">
          <cell r="F675">
            <v>-1.2364999999990687</v>
          </cell>
          <cell r="G675">
            <v>-101.18957999997656</v>
          </cell>
          <cell r="H675">
            <v>-45.092360000009649</v>
          </cell>
          <cell r="I675">
            <v>-718.26258999999845</v>
          </cell>
          <cell r="J675">
            <v>-180.28659999999218</v>
          </cell>
          <cell r="K675">
            <v>-520.62792999995872</v>
          </cell>
          <cell r="L675">
            <v>-167.74285999999847</v>
          </cell>
          <cell r="M675">
            <v>-332.32922000001417</v>
          </cell>
          <cell r="N675">
            <v>-305.19933999999193</v>
          </cell>
          <cell r="O675">
            <v>-163.12475000001723</v>
          </cell>
          <cell r="P675">
            <v>-172.1995300000126</v>
          </cell>
          <cell r="Q675">
            <v>-56.105240000004414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T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</row>
        <row r="676">
          <cell r="F676">
            <v>-494.23000599996885</v>
          </cell>
          <cell r="G676">
            <v>-327.32002899999497</v>
          </cell>
          <cell r="H676">
            <v>-262.83076000001165</v>
          </cell>
          <cell r="I676">
            <v>-305.99569300000439</v>
          </cell>
          <cell r="J676">
            <v>-176.54207999998471</v>
          </cell>
          <cell r="K676">
            <v>-525.81620000000112</v>
          </cell>
          <cell r="L676">
            <v>-454.54216000001179</v>
          </cell>
          <cell r="M676">
            <v>-317.425270000007</v>
          </cell>
          <cell r="N676">
            <v>-460.04862199997297</v>
          </cell>
          <cell r="O676">
            <v>-374.81458000000566</v>
          </cell>
          <cell r="P676">
            <v>-481.96872999996413</v>
          </cell>
          <cell r="Q676">
            <v>-310.54483599995729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</row>
        <row r="677">
          <cell r="F677">
            <v>-373.1070622999996</v>
          </cell>
          <cell r="G677">
            <v>-234.4641462999989</v>
          </cell>
          <cell r="H677">
            <v>-151.69470900000124</v>
          </cell>
          <cell r="I677">
            <v>-404.96948390000034</v>
          </cell>
          <cell r="J677">
            <v>-245.87349940000058</v>
          </cell>
          <cell r="K677">
            <v>-283.95062790000156</v>
          </cell>
          <cell r="L677">
            <v>-488.89549869999973</v>
          </cell>
          <cell r="M677">
            <v>-418.44516459999795</v>
          </cell>
          <cell r="N677">
            <v>-346.3325748999996</v>
          </cell>
          <cell r="O677">
            <v>-505.92064640000171</v>
          </cell>
          <cell r="P677">
            <v>-827.46208740000111</v>
          </cell>
          <cell r="Q677">
            <v>-542.72259370000029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T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</row>
        <row r="679">
          <cell r="A679" t="str">
            <v>Total Gas Generation</v>
          </cell>
          <cell r="F679">
            <v>-3351.4375253000762</v>
          </cell>
          <cell r="G679">
            <v>-2675.7064903001301</v>
          </cell>
          <cell r="H679">
            <v>-1723.7851929998724</v>
          </cell>
          <cell r="I679">
            <v>-1926.4343459000811</v>
          </cell>
          <cell r="J679">
            <v>-1304.2526743998751</v>
          </cell>
          <cell r="K679">
            <v>-2105.8209718998987</v>
          </cell>
          <cell r="L679">
            <v>-1978.911189700244</v>
          </cell>
          <cell r="M679">
            <v>-2312.4993225997314</v>
          </cell>
          <cell r="N679">
            <v>-2425.7593549001031</v>
          </cell>
          <cell r="O679">
            <v>-1947.3618113999255</v>
          </cell>
          <cell r="P679">
            <v>-3174.2666874004062</v>
          </cell>
          <cell r="Q679">
            <v>-2841.0301776998676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T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</row>
        <row r="681">
          <cell r="A681" t="str">
            <v>Hydro Generation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  <cell r="DD682">
            <v>0</v>
          </cell>
          <cell r="DE682">
            <v>0</v>
          </cell>
          <cell r="DF682">
            <v>0</v>
          </cell>
          <cell r="DG682">
            <v>0</v>
          </cell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T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P683">
            <v>0</v>
          </cell>
          <cell r="CQ683">
            <v>0</v>
          </cell>
          <cell r="CR683">
            <v>0</v>
          </cell>
          <cell r="CS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0</v>
          </cell>
          <cell r="CY683">
            <v>0</v>
          </cell>
          <cell r="CZ683">
            <v>0</v>
          </cell>
          <cell r="DA683">
            <v>0</v>
          </cell>
          <cell r="DB683">
            <v>0</v>
          </cell>
          <cell r="DC683">
            <v>0</v>
          </cell>
          <cell r="DD683">
            <v>0</v>
          </cell>
          <cell r="DE683">
            <v>0</v>
          </cell>
          <cell r="DF683">
            <v>0</v>
          </cell>
          <cell r="DG683">
            <v>0</v>
          </cell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T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</row>
        <row r="685">
          <cell r="A685" t="str">
            <v>Total Hydro Generation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0</v>
          </cell>
          <cell r="DA685">
            <v>0</v>
          </cell>
          <cell r="DB685">
            <v>0</v>
          </cell>
          <cell r="DC685">
            <v>0</v>
          </cell>
          <cell r="DD685">
            <v>0</v>
          </cell>
          <cell r="DE685">
            <v>0</v>
          </cell>
          <cell r="DF685">
            <v>0</v>
          </cell>
          <cell r="DG685">
            <v>0</v>
          </cell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T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</row>
        <row r="687">
          <cell r="A687" t="str">
            <v>Other Generation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  <cell r="DD688">
            <v>0</v>
          </cell>
          <cell r="DE688">
            <v>0</v>
          </cell>
          <cell r="DF688">
            <v>0</v>
          </cell>
          <cell r="DG688">
            <v>0</v>
          </cell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T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T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E692">
            <v>0</v>
          </cell>
          <cell r="DF692">
            <v>0</v>
          </cell>
          <cell r="DG692">
            <v>0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T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</row>
        <row r="693"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  <cell r="DD693">
            <v>0</v>
          </cell>
          <cell r="DE693">
            <v>0</v>
          </cell>
          <cell r="DF693">
            <v>0</v>
          </cell>
          <cell r="DG693">
            <v>0</v>
          </cell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T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E694">
            <v>0</v>
          </cell>
          <cell r="DF694">
            <v>0</v>
          </cell>
          <cell r="DG694">
            <v>0</v>
          </cell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T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</row>
        <row r="695"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  <cell r="DD695">
            <v>0</v>
          </cell>
          <cell r="DE695">
            <v>0</v>
          </cell>
          <cell r="DF695">
            <v>0</v>
          </cell>
          <cell r="DG695">
            <v>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T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E696">
            <v>0</v>
          </cell>
          <cell r="DF696">
            <v>0</v>
          </cell>
          <cell r="DG696">
            <v>0</v>
          </cell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T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</row>
        <row r="697"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0</v>
          </cell>
          <cell r="CY697">
            <v>0</v>
          </cell>
          <cell r="CZ697">
            <v>0</v>
          </cell>
          <cell r="DA697">
            <v>0</v>
          </cell>
          <cell r="DB697">
            <v>0</v>
          </cell>
          <cell r="DC697">
            <v>0</v>
          </cell>
          <cell r="DD697">
            <v>0</v>
          </cell>
          <cell r="DE697">
            <v>0</v>
          </cell>
          <cell r="DF697">
            <v>0</v>
          </cell>
          <cell r="DG697">
            <v>0</v>
          </cell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T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  <cell r="DD698">
            <v>0</v>
          </cell>
          <cell r="DE698">
            <v>0</v>
          </cell>
          <cell r="DF698">
            <v>0</v>
          </cell>
          <cell r="DG698">
            <v>0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T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</row>
        <row r="700"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  <cell r="DD700">
            <v>0</v>
          </cell>
          <cell r="DE700">
            <v>0</v>
          </cell>
          <cell r="DF700">
            <v>0</v>
          </cell>
          <cell r="DG700">
            <v>0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T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  <cell r="DD701">
            <v>0</v>
          </cell>
          <cell r="DE701">
            <v>0</v>
          </cell>
          <cell r="DF701">
            <v>0</v>
          </cell>
          <cell r="DG701">
            <v>0</v>
          </cell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T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  <cell r="DD702">
            <v>0</v>
          </cell>
          <cell r="DE702">
            <v>0</v>
          </cell>
          <cell r="DF702">
            <v>0</v>
          </cell>
          <cell r="DG702">
            <v>0</v>
          </cell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T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  <cell r="DD703">
            <v>0</v>
          </cell>
          <cell r="DE703">
            <v>0</v>
          </cell>
          <cell r="DF703">
            <v>0</v>
          </cell>
          <cell r="DG703">
            <v>0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T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</row>
        <row r="704"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</row>
        <row r="706"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  <cell r="DD706">
            <v>0</v>
          </cell>
          <cell r="DE706">
            <v>0</v>
          </cell>
          <cell r="DF706">
            <v>0</v>
          </cell>
          <cell r="DG706">
            <v>0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T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0</v>
          </cell>
          <cell r="CH707">
            <v>0</v>
          </cell>
          <cell r="CI707">
            <v>0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P707">
            <v>0</v>
          </cell>
          <cell r="CQ707">
            <v>0</v>
          </cell>
          <cell r="CR707">
            <v>0</v>
          </cell>
          <cell r="CS707">
            <v>0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Y707">
            <v>0</v>
          </cell>
          <cell r="CZ707">
            <v>0</v>
          </cell>
          <cell r="DA707">
            <v>0</v>
          </cell>
          <cell r="DB707">
            <v>0</v>
          </cell>
          <cell r="DC707">
            <v>0</v>
          </cell>
          <cell r="DD707">
            <v>0</v>
          </cell>
          <cell r="DE707">
            <v>0</v>
          </cell>
          <cell r="DF707">
            <v>0</v>
          </cell>
          <cell r="DG707">
            <v>0</v>
          </cell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T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</row>
        <row r="708"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0</v>
          </cell>
          <cell r="CA708">
            <v>0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P708">
            <v>0</v>
          </cell>
          <cell r="CQ708">
            <v>0</v>
          </cell>
          <cell r="CR708">
            <v>0</v>
          </cell>
          <cell r="CS708">
            <v>0</v>
          </cell>
          <cell r="CT708">
            <v>0</v>
          </cell>
          <cell r="CU708">
            <v>0</v>
          </cell>
          <cell r="CV708">
            <v>0</v>
          </cell>
          <cell r="CW708">
            <v>0</v>
          </cell>
          <cell r="CX708">
            <v>0</v>
          </cell>
          <cell r="CY708">
            <v>0</v>
          </cell>
          <cell r="CZ708">
            <v>0</v>
          </cell>
          <cell r="DA708">
            <v>0</v>
          </cell>
          <cell r="DB708">
            <v>0</v>
          </cell>
          <cell r="DC708">
            <v>0</v>
          </cell>
          <cell r="DD708">
            <v>0</v>
          </cell>
          <cell r="DE708">
            <v>0</v>
          </cell>
          <cell r="DF708">
            <v>0</v>
          </cell>
          <cell r="DG708">
            <v>0</v>
          </cell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T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</row>
        <row r="709"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0</v>
          </cell>
          <cell r="CA709">
            <v>0</v>
          </cell>
          <cell r="CB709">
            <v>0</v>
          </cell>
          <cell r="CC709">
            <v>0</v>
          </cell>
          <cell r="CD709">
            <v>0</v>
          </cell>
          <cell r="CE709">
            <v>0</v>
          </cell>
          <cell r="CF709">
            <v>0</v>
          </cell>
          <cell r="CG709">
            <v>0</v>
          </cell>
          <cell r="CH709">
            <v>0</v>
          </cell>
          <cell r="CI709">
            <v>0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P709">
            <v>0</v>
          </cell>
          <cell r="CQ709">
            <v>0</v>
          </cell>
          <cell r="CR709">
            <v>0</v>
          </cell>
          <cell r="CS709">
            <v>0</v>
          </cell>
          <cell r="CT709">
            <v>0</v>
          </cell>
          <cell r="CU709">
            <v>0</v>
          </cell>
          <cell r="CV709">
            <v>0</v>
          </cell>
          <cell r="CW709">
            <v>0</v>
          </cell>
          <cell r="CX709">
            <v>0</v>
          </cell>
          <cell r="CY709">
            <v>0</v>
          </cell>
          <cell r="CZ709">
            <v>0</v>
          </cell>
          <cell r="DA709">
            <v>0</v>
          </cell>
          <cell r="DB709">
            <v>0</v>
          </cell>
          <cell r="DC709">
            <v>0</v>
          </cell>
          <cell r="DD709">
            <v>0</v>
          </cell>
          <cell r="DE709">
            <v>0</v>
          </cell>
          <cell r="DF709">
            <v>0</v>
          </cell>
          <cell r="DG709">
            <v>0</v>
          </cell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T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</row>
        <row r="710"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G710">
            <v>0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P710">
            <v>0</v>
          </cell>
          <cell r="CQ710">
            <v>0</v>
          </cell>
          <cell r="CR710">
            <v>0</v>
          </cell>
          <cell r="CS710">
            <v>0</v>
          </cell>
          <cell r="CT710">
            <v>0</v>
          </cell>
          <cell r="CU710">
            <v>0</v>
          </cell>
          <cell r="CV710">
            <v>0</v>
          </cell>
          <cell r="CW710">
            <v>0</v>
          </cell>
          <cell r="CX710">
            <v>0</v>
          </cell>
          <cell r="CY710">
            <v>0</v>
          </cell>
          <cell r="CZ710">
            <v>0</v>
          </cell>
          <cell r="DA710">
            <v>0</v>
          </cell>
          <cell r="DB710">
            <v>0</v>
          </cell>
          <cell r="DC710">
            <v>0</v>
          </cell>
          <cell r="DD710">
            <v>0</v>
          </cell>
          <cell r="DE710">
            <v>0</v>
          </cell>
          <cell r="DF710">
            <v>0</v>
          </cell>
          <cell r="DG710">
            <v>0</v>
          </cell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T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0</v>
          </cell>
          <cell r="CD711">
            <v>0</v>
          </cell>
          <cell r="CE711">
            <v>0</v>
          </cell>
          <cell r="CF711">
            <v>0</v>
          </cell>
          <cell r="CG711">
            <v>0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P711">
            <v>0</v>
          </cell>
          <cell r="CQ711">
            <v>0</v>
          </cell>
          <cell r="CR711">
            <v>0</v>
          </cell>
          <cell r="CS711">
            <v>0</v>
          </cell>
          <cell r="CT711">
            <v>0</v>
          </cell>
          <cell r="CU711">
            <v>0</v>
          </cell>
          <cell r="CV711">
            <v>0</v>
          </cell>
          <cell r="CW711">
            <v>0</v>
          </cell>
          <cell r="CX711">
            <v>0</v>
          </cell>
          <cell r="CY711">
            <v>0</v>
          </cell>
          <cell r="CZ711">
            <v>0</v>
          </cell>
          <cell r="DA711">
            <v>0</v>
          </cell>
          <cell r="DB711">
            <v>0</v>
          </cell>
          <cell r="DC711">
            <v>0</v>
          </cell>
          <cell r="DD711">
            <v>0</v>
          </cell>
          <cell r="DE711">
            <v>0</v>
          </cell>
          <cell r="DF711">
            <v>0</v>
          </cell>
          <cell r="DG711">
            <v>0</v>
          </cell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T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0</v>
          </cell>
          <cell r="CB713">
            <v>0</v>
          </cell>
          <cell r="CC713">
            <v>0</v>
          </cell>
          <cell r="CD713">
            <v>0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P713">
            <v>0</v>
          </cell>
          <cell r="CQ713">
            <v>0</v>
          </cell>
          <cell r="CR713">
            <v>0</v>
          </cell>
          <cell r="CS713">
            <v>0</v>
          </cell>
          <cell r="CT713">
            <v>0</v>
          </cell>
          <cell r="CU713">
            <v>0</v>
          </cell>
          <cell r="CV713">
            <v>0</v>
          </cell>
          <cell r="CW713">
            <v>0</v>
          </cell>
          <cell r="CX713">
            <v>0</v>
          </cell>
          <cell r="CY713">
            <v>0</v>
          </cell>
          <cell r="CZ713">
            <v>0</v>
          </cell>
          <cell r="DA713">
            <v>0</v>
          </cell>
          <cell r="DB713">
            <v>0</v>
          </cell>
          <cell r="DC713">
            <v>0</v>
          </cell>
          <cell r="DD713">
            <v>0</v>
          </cell>
          <cell r="DE713">
            <v>0</v>
          </cell>
          <cell r="DF713">
            <v>0</v>
          </cell>
          <cell r="DG713">
            <v>0</v>
          </cell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T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</row>
        <row r="715">
          <cell r="A715" t="str">
            <v>Total Other Generation</v>
          </cell>
          <cell r="F715">
            <v>0</v>
          </cell>
          <cell r="G715">
            <v>0</v>
          </cell>
          <cell r="H715">
            <v>0</v>
          </cell>
          <cell r="I715">
            <v>-127.49999799998477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0</v>
          </cell>
          <cell r="BP715">
            <v>0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0</v>
          </cell>
          <cell r="CD715">
            <v>0</v>
          </cell>
          <cell r="CE715">
            <v>0</v>
          </cell>
          <cell r="CF715">
            <v>0</v>
          </cell>
          <cell r="CG715">
            <v>0</v>
          </cell>
          <cell r="CH715">
            <v>0</v>
          </cell>
          <cell r="CI715">
            <v>0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P715">
            <v>0</v>
          </cell>
          <cell r="CQ715">
            <v>0</v>
          </cell>
          <cell r="CR715">
            <v>0</v>
          </cell>
          <cell r="CS715">
            <v>0</v>
          </cell>
          <cell r="CT715">
            <v>0</v>
          </cell>
          <cell r="CU715">
            <v>0</v>
          </cell>
          <cell r="CV715">
            <v>0</v>
          </cell>
          <cell r="CW715">
            <v>0</v>
          </cell>
          <cell r="CX715">
            <v>0</v>
          </cell>
          <cell r="CY715">
            <v>0</v>
          </cell>
          <cell r="CZ715">
            <v>0</v>
          </cell>
          <cell r="DA715">
            <v>0</v>
          </cell>
          <cell r="DB715">
            <v>0</v>
          </cell>
          <cell r="DC715">
            <v>0</v>
          </cell>
          <cell r="DD715">
            <v>0</v>
          </cell>
          <cell r="DE715">
            <v>0</v>
          </cell>
          <cell r="DF715">
            <v>0</v>
          </cell>
          <cell r="DG715">
            <v>0</v>
          </cell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T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</row>
        <row r="717">
          <cell r="A717" t="str">
            <v>IRP Resources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T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T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P722">
            <v>0</v>
          </cell>
          <cell r="CQ722">
            <v>0</v>
          </cell>
          <cell r="CR722">
            <v>0</v>
          </cell>
          <cell r="CS722">
            <v>0</v>
          </cell>
          <cell r="CT722">
            <v>0</v>
          </cell>
          <cell r="CU722">
            <v>0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0</v>
          </cell>
          <cell r="DC722">
            <v>0</v>
          </cell>
          <cell r="DD722">
            <v>0</v>
          </cell>
          <cell r="DE722">
            <v>0</v>
          </cell>
          <cell r="DF722">
            <v>0</v>
          </cell>
          <cell r="DG722">
            <v>0</v>
          </cell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T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0</v>
          </cell>
          <cell r="CU723">
            <v>0</v>
          </cell>
          <cell r="CV723">
            <v>0</v>
          </cell>
          <cell r="CW723">
            <v>0</v>
          </cell>
          <cell r="CX723">
            <v>0</v>
          </cell>
          <cell r="CY723">
            <v>0</v>
          </cell>
          <cell r="CZ723">
            <v>0</v>
          </cell>
          <cell r="DA723">
            <v>0</v>
          </cell>
          <cell r="DB723">
            <v>0</v>
          </cell>
          <cell r="DC723">
            <v>0</v>
          </cell>
          <cell r="DD723">
            <v>0</v>
          </cell>
          <cell r="DE723">
            <v>0</v>
          </cell>
          <cell r="DF723">
            <v>0</v>
          </cell>
          <cell r="DG723">
            <v>0</v>
          </cell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T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  <cell r="DD724">
            <v>0</v>
          </cell>
          <cell r="DE724">
            <v>0</v>
          </cell>
          <cell r="DF724">
            <v>0</v>
          </cell>
          <cell r="DG724">
            <v>0</v>
          </cell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T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0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  <cell r="CF725">
            <v>0</v>
          </cell>
          <cell r="CG725">
            <v>0</v>
          </cell>
          <cell r="CH725">
            <v>0</v>
          </cell>
          <cell r="CI725">
            <v>0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P725">
            <v>0</v>
          </cell>
          <cell r="CQ725">
            <v>0</v>
          </cell>
          <cell r="CR725">
            <v>0</v>
          </cell>
          <cell r="CS725">
            <v>0</v>
          </cell>
          <cell r="CT725">
            <v>0</v>
          </cell>
          <cell r="CU725">
            <v>0</v>
          </cell>
          <cell r="CV725">
            <v>0</v>
          </cell>
          <cell r="CW725">
            <v>0</v>
          </cell>
          <cell r="CX725">
            <v>0</v>
          </cell>
          <cell r="CY725">
            <v>0</v>
          </cell>
          <cell r="CZ725">
            <v>0</v>
          </cell>
          <cell r="DA725">
            <v>0</v>
          </cell>
          <cell r="DB725">
            <v>0</v>
          </cell>
          <cell r="DC725">
            <v>0</v>
          </cell>
          <cell r="DD725">
            <v>0</v>
          </cell>
          <cell r="DE725">
            <v>0</v>
          </cell>
          <cell r="DF725">
            <v>0</v>
          </cell>
          <cell r="DG725">
            <v>0</v>
          </cell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T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0</v>
          </cell>
          <cell r="CA726">
            <v>0</v>
          </cell>
          <cell r="CB726">
            <v>0</v>
          </cell>
          <cell r="CC726">
            <v>0</v>
          </cell>
          <cell r="CD726">
            <v>0</v>
          </cell>
          <cell r="CE726">
            <v>0</v>
          </cell>
          <cell r="CF726">
            <v>0</v>
          </cell>
          <cell r="CG726">
            <v>0</v>
          </cell>
          <cell r="CH726">
            <v>0</v>
          </cell>
          <cell r="CI726">
            <v>0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P726">
            <v>0</v>
          </cell>
          <cell r="CQ726">
            <v>0</v>
          </cell>
          <cell r="CR726">
            <v>0</v>
          </cell>
          <cell r="CS726">
            <v>0</v>
          </cell>
          <cell r="CT726">
            <v>0</v>
          </cell>
          <cell r="CU726">
            <v>0</v>
          </cell>
          <cell r="CV726">
            <v>0</v>
          </cell>
          <cell r="CW726">
            <v>0</v>
          </cell>
          <cell r="CX726">
            <v>0</v>
          </cell>
          <cell r="CY726">
            <v>0</v>
          </cell>
          <cell r="CZ726">
            <v>0</v>
          </cell>
          <cell r="DA726">
            <v>0</v>
          </cell>
          <cell r="DB726">
            <v>0</v>
          </cell>
          <cell r="DC726">
            <v>0</v>
          </cell>
          <cell r="DD726">
            <v>0</v>
          </cell>
          <cell r="DE726">
            <v>0</v>
          </cell>
          <cell r="DF726">
            <v>0</v>
          </cell>
          <cell r="DG726">
            <v>0</v>
          </cell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T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P727">
            <v>0</v>
          </cell>
          <cell r="CQ727">
            <v>0</v>
          </cell>
          <cell r="CR727">
            <v>0</v>
          </cell>
          <cell r="CS727">
            <v>0</v>
          </cell>
          <cell r="CT727">
            <v>0</v>
          </cell>
          <cell r="CU727">
            <v>0</v>
          </cell>
          <cell r="CV727">
            <v>0</v>
          </cell>
          <cell r="CW727">
            <v>0</v>
          </cell>
          <cell r="CX727">
            <v>0</v>
          </cell>
          <cell r="CY727">
            <v>0</v>
          </cell>
          <cell r="CZ727">
            <v>0</v>
          </cell>
          <cell r="DA727">
            <v>0</v>
          </cell>
          <cell r="DB727">
            <v>0</v>
          </cell>
          <cell r="DC727">
            <v>0</v>
          </cell>
          <cell r="DD727">
            <v>0</v>
          </cell>
          <cell r="DE727">
            <v>0</v>
          </cell>
          <cell r="DF727">
            <v>0</v>
          </cell>
          <cell r="DG727">
            <v>0</v>
          </cell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T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0</v>
          </cell>
          <cell r="CA728">
            <v>0</v>
          </cell>
          <cell r="CB728">
            <v>0</v>
          </cell>
          <cell r="CC728">
            <v>0</v>
          </cell>
          <cell r="CD728">
            <v>0</v>
          </cell>
          <cell r="CE728">
            <v>0</v>
          </cell>
          <cell r="CF728">
            <v>0</v>
          </cell>
          <cell r="CG728">
            <v>0</v>
          </cell>
          <cell r="CH728">
            <v>0</v>
          </cell>
          <cell r="CI728">
            <v>0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P728">
            <v>0</v>
          </cell>
          <cell r="CQ728">
            <v>0</v>
          </cell>
          <cell r="CR728">
            <v>0</v>
          </cell>
          <cell r="CS728">
            <v>0</v>
          </cell>
          <cell r="CT728">
            <v>0</v>
          </cell>
          <cell r="CU728">
            <v>0</v>
          </cell>
          <cell r="CV728">
            <v>0</v>
          </cell>
          <cell r="CW728">
            <v>0</v>
          </cell>
          <cell r="CX728">
            <v>0</v>
          </cell>
          <cell r="CY728">
            <v>0</v>
          </cell>
          <cell r="CZ728">
            <v>0</v>
          </cell>
          <cell r="DA728">
            <v>0</v>
          </cell>
          <cell r="DB728">
            <v>0</v>
          </cell>
          <cell r="DC728">
            <v>0</v>
          </cell>
          <cell r="DD728">
            <v>0</v>
          </cell>
          <cell r="DE728">
            <v>0</v>
          </cell>
          <cell r="DF728">
            <v>0</v>
          </cell>
          <cell r="DG728">
            <v>0</v>
          </cell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T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</row>
        <row r="729"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G729">
            <v>0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M729">
            <v>0</v>
          </cell>
          <cell r="CN729">
            <v>0</v>
          </cell>
          <cell r="CO729">
            <v>0</v>
          </cell>
          <cell r="CP729">
            <v>0</v>
          </cell>
          <cell r="CQ729">
            <v>0</v>
          </cell>
          <cell r="CR729">
            <v>0</v>
          </cell>
          <cell r="CS729">
            <v>0</v>
          </cell>
          <cell r="CT729">
            <v>0</v>
          </cell>
          <cell r="CU729">
            <v>0</v>
          </cell>
          <cell r="CV729">
            <v>0</v>
          </cell>
          <cell r="CW729">
            <v>0</v>
          </cell>
          <cell r="CX729">
            <v>0</v>
          </cell>
          <cell r="CY729">
            <v>0</v>
          </cell>
          <cell r="CZ729">
            <v>0</v>
          </cell>
          <cell r="DA729">
            <v>0</v>
          </cell>
          <cell r="DB729">
            <v>0</v>
          </cell>
          <cell r="DC729">
            <v>0</v>
          </cell>
          <cell r="DD729">
            <v>0</v>
          </cell>
          <cell r="DE729">
            <v>0</v>
          </cell>
          <cell r="DF729">
            <v>0</v>
          </cell>
          <cell r="DG729">
            <v>0</v>
          </cell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T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M730">
            <v>0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0</v>
          </cell>
          <cell r="CT730">
            <v>0</v>
          </cell>
          <cell r="CU730">
            <v>0</v>
          </cell>
          <cell r="CV730">
            <v>0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0</v>
          </cell>
          <cell r="DC730">
            <v>0</v>
          </cell>
          <cell r="DD730">
            <v>0</v>
          </cell>
          <cell r="DE730">
            <v>0</v>
          </cell>
          <cell r="DF730">
            <v>0</v>
          </cell>
          <cell r="DG730">
            <v>0</v>
          </cell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T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M731">
            <v>0</v>
          </cell>
          <cell r="CN731">
            <v>0</v>
          </cell>
          <cell r="CO731">
            <v>0</v>
          </cell>
          <cell r="CP731">
            <v>0</v>
          </cell>
          <cell r="CQ731">
            <v>0</v>
          </cell>
          <cell r="CR731">
            <v>0</v>
          </cell>
          <cell r="CS731">
            <v>0</v>
          </cell>
          <cell r="CT731">
            <v>0</v>
          </cell>
          <cell r="CU731">
            <v>0</v>
          </cell>
          <cell r="CV731">
            <v>0</v>
          </cell>
          <cell r="CW731">
            <v>0</v>
          </cell>
          <cell r="CX731">
            <v>0</v>
          </cell>
          <cell r="CY731">
            <v>0</v>
          </cell>
          <cell r="CZ731">
            <v>0</v>
          </cell>
          <cell r="DA731">
            <v>0</v>
          </cell>
          <cell r="DB731">
            <v>0</v>
          </cell>
          <cell r="DC731">
            <v>0</v>
          </cell>
          <cell r="DD731">
            <v>0</v>
          </cell>
          <cell r="DE731">
            <v>0</v>
          </cell>
          <cell r="DF731">
            <v>0</v>
          </cell>
          <cell r="DG731">
            <v>0</v>
          </cell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T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-1824.6871399999945</v>
          </cell>
          <cell r="L732">
            <v>-1515.3005769999872</v>
          </cell>
          <cell r="M732">
            <v>-2314.7175149999966</v>
          </cell>
          <cell r="N732">
            <v>-2181.6661460000032</v>
          </cell>
          <cell r="O732">
            <v>-1538.862180999975</v>
          </cell>
          <cell r="P732">
            <v>-1662.7442840000003</v>
          </cell>
          <cell r="Q732">
            <v>-1585.8197119999968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0</v>
          </cell>
          <cell r="CU732">
            <v>0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0</v>
          </cell>
          <cell r="DA732">
            <v>0</v>
          </cell>
          <cell r="DB732">
            <v>0</v>
          </cell>
          <cell r="DC732">
            <v>0</v>
          </cell>
          <cell r="DD732">
            <v>0</v>
          </cell>
          <cell r="DE732">
            <v>0</v>
          </cell>
          <cell r="DF732">
            <v>0</v>
          </cell>
          <cell r="DG732">
            <v>0</v>
          </cell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T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</row>
        <row r="733"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-1673.6973560000042</v>
          </cell>
          <cell r="L733">
            <v>-1604.7593069999712</v>
          </cell>
          <cell r="M733">
            <v>-2355.4941589999944</v>
          </cell>
          <cell r="N733">
            <v>-1550.1640030000126</v>
          </cell>
          <cell r="O733">
            <v>-1525.3446330000006</v>
          </cell>
          <cell r="P733">
            <v>-1544.9745800000092</v>
          </cell>
          <cell r="Q733">
            <v>-1462.649550999995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T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T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T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  <cell r="DD738">
            <v>0</v>
          </cell>
          <cell r="DE738">
            <v>0</v>
          </cell>
          <cell r="DF738">
            <v>0</v>
          </cell>
          <cell r="DG738">
            <v>0</v>
          </cell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T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0</v>
          </cell>
          <cell r="CU739">
            <v>0</v>
          </cell>
          <cell r="CV739">
            <v>0</v>
          </cell>
          <cell r="CW739">
            <v>0</v>
          </cell>
          <cell r="CX739">
            <v>0</v>
          </cell>
          <cell r="CY739">
            <v>0</v>
          </cell>
          <cell r="CZ739">
            <v>0</v>
          </cell>
          <cell r="DA739">
            <v>0</v>
          </cell>
          <cell r="DB739">
            <v>0</v>
          </cell>
          <cell r="DC739">
            <v>0</v>
          </cell>
          <cell r="DD739">
            <v>0</v>
          </cell>
          <cell r="DE739">
            <v>0</v>
          </cell>
          <cell r="DF739">
            <v>0</v>
          </cell>
          <cell r="DG739">
            <v>0</v>
          </cell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T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</row>
        <row r="740"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T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</row>
        <row r="744"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</row>
        <row r="745"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</row>
        <row r="746"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</row>
        <row r="751"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</row>
        <row r="762"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</row>
        <row r="764"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</row>
        <row r="765"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</row>
        <row r="766"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</row>
        <row r="767"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</row>
        <row r="768"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</row>
        <row r="769"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</row>
        <row r="770"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</row>
        <row r="771"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</row>
        <row r="772"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</row>
        <row r="775"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</row>
        <row r="776"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</row>
        <row r="778"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</row>
        <row r="779"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</row>
        <row r="780"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</row>
        <row r="787"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</row>
        <row r="788"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</row>
        <row r="789"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</row>
        <row r="792"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</row>
        <row r="793"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</row>
        <row r="794"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</row>
        <row r="796"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</row>
        <row r="798"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</row>
        <row r="799"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</row>
        <row r="804"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</row>
        <row r="805"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</row>
        <row r="806"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</row>
        <row r="809"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  <cell r="CF809">
            <v>0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M809">
            <v>0</v>
          </cell>
          <cell r="CN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0</v>
          </cell>
          <cell r="CU809">
            <v>0</v>
          </cell>
          <cell r="CV809">
            <v>0</v>
          </cell>
          <cell r="CW809">
            <v>0</v>
          </cell>
          <cell r="CX809">
            <v>0</v>
          </cell>
          <cell r="CY809">
            <v>0</v>
          </cell>
          <cell r="CZ809">
            <v>0</v>
          </cell>
          <cell r="DA809">
            <v>0</v>
          </cell>
          <cell r="DB809">
            <v>0</v>
          </cell>
          <cell r="DC809">
            <v>0</v>
          </cell>
          <cell r="DD809">
            <v>0</v>
          </cell>
          <cell r="DE809">
            <v>0</v>
          </cell>
          <cell r="DF809">
            <v>0</v>
          </cell>
          <cell r="DG809">
            <v>0</v>
          </cell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T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  <cell r="CF810">
            <v>0</v>
          </cell>
          <cell r="CG810">
            <v>0</v>
          </cell>
          <cell r="CH810">
            <v>0</v>
          </cell>
          <cell r="CI810">
            <v>0</v>
          </cell>
          <cell r="CJ810">
            <v>0</v>
          </cell>
          <cell r="CK810">
            <v>0</v>
          </cell>
          <cell r="CL810">
            <v>0</v>
          </cell>
          <cell r="CM810">
            <v>0</v>
          </cell>
          <cell r="CN810">
            <v>0</v>
          </cell>
          <cell r="CO810">
            <v>0</v>
          </cell>
          <cell r="CP810">
            <v>0</v>
          </cell>
          <cell r="CQ810">
            <v>0</v>
          </cell>
          <cell r="CR810">
            <v>0</v>
          </cell>
          <cell r="CS810">
            <v>0</v>
          </cell>
          <cell r="CT810">
            <v>0</v>
          </cell>
          <cell r="CU810">
            <v>0</v>
          </cell>
          <cell r="CV810">
            <v>0</v>
          </cell>
          <cell r="CW810">
            <v>0</v>
          </cell>
          <cell r="CX810">
            <v>0</v>
          </cell>
          <cell r="CY810">
            <v>0</v>
          </cell>
          <cell r="CZ810">
            <v>0</v>
          </cell>
          <cell r="DA810">
            <v>0</v>
          </cell>
          <cell r="DB810">
            <v>0</v>
          </cell>
          <cell r="DC810">
            <v>0</v>
          </cell>
          <cell r="DD810">
            <v>0</v>
          </cell>
          <cell r="DE810">
            <v>0</v>
          </cell>
          <cell r="DF810">
            <v>0</v>
          </cell>
          <cell r="DG810">
            <v>0</v>
          </cell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T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</row>
        <row r="811"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  <cell r="CF811">
            <v>0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M811">
            <v>0</v>
          </cell>
          <cell r="CN811">
            <v>0</v>
          </cell>
          <cell r="CO811">
            <v>0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0</v>
          </cell>
          <cell r="CU811">
            <v>0</v>
          </cell>
          <cell r="CV811">
            <v>0</v>
          </cell>
          <cell r="CW811">
            <v>0</v>
          </cell>
          <cell r="CX811">
            <v>0</v>
          </cell>
          <cell r="CY811">
            <v>0</v>
          </cell>
          <cell r="CZ811">
            <v>0</v>
          </cell>
          <cell r="DA811">
            <v>0</v>
          </cell>
          <cell r="DB811">
            <v>0</v>
          </cell>
          <cell r="DC811">
            <v>0</v>
          </cell>
          <cell r="DD811">
            <v>0</v>
          </cell>
          <cell r="DE811">
            <v>0</v>
          </cell>
          <cell r="DF811">
            <v>0</v>
          </cell>
          <cell r="DG811">
            <v>0</v>
          </cell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T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0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M812">
            <v>0</v>
          </cell>
          <cell r="CN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0</v>
          </cell>
          <cell r="CU812">
            <v>0</v>
          </cell>
          <cell r="CV812">
            <v>0</v>
          </cell>
          <cell r="CW812">
            <v>0</v>
          </cell>
          <cell r="CX812">
            <v>0</v>
          </cell>
          <cell r="CY812">
            <v>0</v>
          </cell>
          <cell r="CZ812">
            <v>0</v>
          </cell>
          <cell r="DA812">
            <v>0</v>
          </cell>
          <cell r="DB812">
            <v>0</v>
          </cell>
          <cell r="DC812">
            <v>0</v>
          </cell>
          <cell r="DD812">
            <v>0</v>
          </cell>
          <cell r="DE812">
            <v>0</v>
          </cell>
          <cell r="DF812">
            <v>0</v>
          </cell>
          <cell r="DG812">
            <v>0</v>
          </cell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T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</row>
        <row r="813"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M813">
            <v>0</v>
          </cell>
          <cell r="CN813">
            <v>0</v>
          </cell>
          <cell r="CO813">
            <v>0</v>
          </cell>
          <cell r="CP813">
            <v>0</v>
          </cell>
          <cell r="CQ813">
            <v>0</v>
          </cell>
          <cell r="CR813">
            <v>0</v>
          </cell>
          <cell r="CS813">
            <v>0</v>
          </cell>
          <cell r="CT813">
            <v>0</v>
          </cell>
          <cell r="CU813">
            <v>0</v>
          </cell>
          <cell r="CV813">
            <v>0</v>
          </cell>
          <cell r="CW813">
            <v>0</v>
          </cell>
          <cell r="CX813">
            <v>0</v>
          </cell>
          <cell r="CY813">
            <v>0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  <cell r="DD813">
            <v>0</v>
          </cell>
          <cell r="DE813">
            <v>0</v>
          </cell>
          <cell r="DF813">
            <v>0</v>
          </cell>
          <cell r="DG813">
            <v>0</v>
          </cell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T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0</v>
          </cell>
          <cell r="CB814">
            <v>0</v>
          </cell>
          <cell r="CC814">
            <v>0</v>
          </cell>
          <cell r="CD814">
            <v>0</v>
          </cell>
          <cell r="CE814">
            <v>0</v>
          </cell>
          <cell r="CF814">
            <v>0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M814">
            <v>0</v>
          </cell>
          <cell r="CN814">
            <v>0</v>
          </cell>
          <cell r="CO814">
            <v>0</v>
          </cell>
          <cell r="CP814">
            <v>0</v>
          </cell>
          <cell r="CQ814">
            <v>0</v>
          </cell>
          <cell r="CR814">
            <v>0</v>
          </cell>
          <cell r="CS814">
            <v>0</v>
          </cell>
          <cell r="CT814">
            <v>0</v>
          </cell>
          <cell r="CU814">
            <v>0</v>
          </cell>
          <cell r="CV814">
            <v>0</v>
          </cell>
          <cell r="CW814">
            <v>0</v>
          </cell>
          <cell r="CX814">
            <v>0</v>
          </cell>
          <cell r="CY814">
            <v>0</v>
          </cell>
          <cell r="CZ814">
            <v>0</v>
          </cell>
          <cell r="DA814">
            <v>0</v>
          </cell>
          <cell r="DB814">
            <v>0</v>
          </cell>
          <cell r="DC814">
            <v>0</v>
          </cell>
          <cell r="DD814">
            <v>0</v>
          </cell>
          <cell r="DE814">
            <v>0</v>
          </cell>
          <cell r="DF814">
            <v>0</v>
          </cell>
          <cell r="DG814">
            <v>0</v>
          </cell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T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</row>
        <row r="815"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0</v>
          </cell>
          <cell r="CB815">
            <v>0</v>
          </cell>
          <cell r="CC815">
            <v>0</v>
          </cell>
          <cell r="CD815">
            <v>0</v>
          </cell>
          <cell r="CE815">
            <v>0</v>
          </cell>
          <cell r="CF815">
            <v>0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M815">
            <v>0</v>
          </cell>
          <cell r="CN815">
            <v>0</v>
          </cell>
          <cell r="CO815">
            <v>0</v>
          </cell>
          <cell r="CP815">
            <v>0</v>
          </cell>
          <cell r="CQ815">
            <v>0</v>
          </cell>
          <cell r="CR815">
            <v>0</v>
          </cell>
          <cell r="CS815">
            <v>0</v>
          </cell>
          <cell r="CT815">
            <v>0</v>
          </cell>
          <cell r="CU815">
            <v>0</v>
          </cell>
          <cell r="CV815">
            <v>0</v>
          </cell>
          <cell r="CW815">
            <v>0</v>
          </cell>
          <cell r="CX815">
            <v>0</v>
          </cell>
          <cell r="CY815">
            <v>0</v>
          </cell>
          <cell r="CZ815">
            <v>0</v>
          </cell>
          <cell r="DA815">
            <v>0</v>
          </cell>
          <cell r="DB815">
            <v>0</v>
          </cell>
          <cell r="DC815">
            <v>0</v>
          </cell>
          <cell r="DD815">
            <v>0</v>
          </cell>
          <cell r="DE815">
            <v>0</v>
          </cell>
          <cell r="DF815">
            <v>0</v>
          </cell>
          <cell r="DG815">
            <v>0</v>
          </cell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T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0</v>
          </cell>
          <cell r="CT816">
            <v>0</v>
          </cell>
          <cell r="CU816">
            <v>0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  <cell r="DD816">
            <v>0</v>
          </cell>
          <cell r="DE816">
            <v>0</v>
          </cell>
          <cell r="DF816">
            <v>0</v>
          </cell>
          <cell r="DG816">
            <v>0</v>
          </cell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T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0</v>
          </cell>
          <cell r="CU817">
            <v>0</v>
          </cell>
          <cell r="CV817">
            <v>0</v>
          </cell>
          <cell r="CW817">
            <v>0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  <cell r="DD817">
            <v>0</v>
          </cell>
          <cell r="DE817">
            <v>0</v>
          </cell>
          <cell r="DF817">
            <v>0</v>
          </cell>
          <cell r="DG817">
            <v>0</v>
          </cell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T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0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M818">
            <v>0</v>
          </cell>
          <cell r="CN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0</v>
          </cell>
          <cell r="CU818">
            <v>0</v>
          </cell>
          <cell r="CV818">
            <v>0</v>
          </cell>
          <cell r="CW818">
            <v>0</v>
          </cell>
          <cell r="CX818">
            <v>0</v>
          </cell>
          <cell r="CY818">
            <v>0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  <cell r="DD818">
            <v>0</v>
          </cell>
          <cell r="DE818">
            <v>0</v>
          </cell>
          <cell r="DF818">
            <v>0</v>
          </cell>
          <cell r="DG818">
            <v>0</v>
          </cell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T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</row>
        <row r="819"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M819">
            <v>0</v>
          </cell>
          <cell r="CN819">
            <v>0</v>
          </cell>
          <cell r="CO819">
            <v>0</v>
          </cell>
          <cell r="CP819">
            <v>0</v>
          </cell>
          <cell r="CQ819">
            <v>0</v>
          </cell>
          <cell r="CR819">
            <v>0</v>
          </cell>
          <cell r="CS819">
            <v>0</v>
          </cell>
          <cell r="CT819">
            <v>0</v>
          </cell>
          <cell r="CU819">
            <v>0</v>
          </cell>
          <cell r="CV819">
            <v>0</v>
          </cell>
          <cell r="CW819">
            <v>0</v>
          </cell>
          <cell r="CX819">
            <v>0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  <cell r="DD819">
            <v>0</v>
          </cell>
          <cell r="DE819">
            <v>0</v>
          </cell>
          <cell r="DF819">
            <v>0</v>
          </cell>
          <cell r="DG819">
            <v>0</v>
          </cell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T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</row>
        <row r="820"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0</v>
          </cell>
          <cell r="CR820">
            <v>0</v>
          </cell>
          <cell r="CS820">
            <v>0</v>
          </cell>
          <cell r="CT820">
            <v>0</v>
          </cell>
          <cell r="CU820">
            <v>0</v>
          </cell>
          <cell r="CV820">
            <v>0</v>
          </cell>
          <cell r="CW820">
            <v>0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  <cell r="DD820">
            <v>0</v>
          </cell>
          <cell r="DE820">
            <v>0</v>
          </cell>
          <cell r="DF820">
            <v>0</v>
          </cell>
          <cell r="DG820">
            <v>0</v>
          </cell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T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0</v>
          </cell>
          <cell r="CR822">
            <v>0</v>
          </cell>
          <cell r="CS822">
            <v>0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  <cell r="DD822">
            <v>0</v>
          </cell>
          <cell r="DE822">
            <v>0</v>
          </cell>
          <cell r="DF822">
            <v>0</v>
          </cell>
          <cell r="DG822">
            <v>0</v>
          </cell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T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0</v>
          </cell>
          <cell r="CT823">
            <v>0</v>
          </cell>
          <cell r="CU823">
            <v>0</v>
          </cell>
          <cell r="CV823">
            <v>0</v>
          </cell>
          <cell r="CW823">
            <v>0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  <cell r="DD823">
            <v>0</v>
          </cell>
          <cell r="DE823">
            <v>0</v>
          </cell>
          <cell r="DF823">
            <v>0</v>
          </cell>
          <cell r="DG823">
            <v>0</v>
          </cell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T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</row>
        <row r="824"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  <cell r="CF824">
            <v>0</v>
          </cell>
          <cell r="CG824">
            <v>0</v>
          </cell>
          <cell r="CH824">
            <v>0</v>
          </cell>
          <cell r="CI824">
            <v>0</v>
          </cell>
          <cell r="CJ824">
            <v>0</v>
          </cell>
          <cell r="CK824">
            <v>0</v>
          </cell>
          <cell r="CL824">
            <v>0</v>
          </cell>
          <cell r="CM824">
            <v>0</v>
          </cell>
          <cell r="CN824">
            <v>0</v>
          </cell>
          <cell r="CO824">
            <v>0</v>
          </cell>
          <cell r="CP824">
            <v>0</v>
          </cell>
          <cell r="CQ824">
            <v>0</v>
          </cell>
          <cell r="CR824">
            <v>0</v>
          </cell>
          <cell r="CS824">
            <v>0</v>
          </cell>
          <cell r="CT824">
            <v>0</v>
          </cell>
          <cell r="CU824">
            <v>0</v>
          </cell>
          <cell r="CV824">
            <v>0</v>
          </cell>
          <cell r="CW824">
            <v>0</v>
          </cell>
          <cell r="CX824">
            <v>0</v>
          </cell>
          <cell r="CY824">
            <v>0</v>
          </cell>
          <cell r="CZ824">
            <v>0</v>
          </cell>
          <cell r="DA824">
            <v>0</v>
          </cell>
          <cell r="DB824">
            <v>0</v>
          </cell>
          <cell r="DC824">
            <v>0</v>
          </cell>
          <cell r="DD824">
            <v>0</v>
          </cell>
          <cell r="DE824">
            <v>0</v>
          </cell>
          <cell r="DF824">
            <v>0</v>
          </cell>
          <cell r="DG824">
            <v>0</v>
          </cell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T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</row>
        <row r="826">
          <cell r="A826" t="str">
            <v>Total IRP Resources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-3498.3844960000133</v>
          </cell>
          <cell r="L826">
            <v>-3120.0598839999875</v>
          </cell>
          <cell r="M826">
            <v>-4670.211673999991</v>
          </cell>
          <cell r="N826">
            <v>-3731.8301490000158</v>
          </cell>
          <cell r="O826">
            <v>-3064.2068139999756</v>
          </cell>
          <cell r="P826">
            <v>-3207.718864000024</v>
          </cell>
          <cell r="Q826">
            <v>-3048.4692630000063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0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M826">
            <v>0</v>
          </cell>
          <cell r="CN826">
            <v>0</v>
          </cell>
          <cell r="CO826">
            <v>0</v>
          </cell>
          <cell r="CP826">
            <v>0</v>
          </cell>
          <cell r="CQ826">
            <v>0</v>
          </cell>
          <cell r="CR826">
            <v>0</v>
          </cell>
          <cell r="CS826">
            <v>0</v>
          </cell>
          <cell r="CT826">
            <v>0</v>
          </cell>
          <cell r="CU826">
            <v>0</v>
          </cell>
          <cell r="CV826">
            <v>0</v>
          </cell>
          <cell r="CW826">
            <v>0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  <cell r="DD826">
            <v>0</v>
          </cell>
          <cell r="DE826">
            <v>0</v>
          </cell>
          <cell r="DF826">
            <v>0</v>
          </cell>
          <cell r="DG826">
            <v>0</v>
          </cell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T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</row>
        <row r="828">
          <cell r="A828" t="str">
            <v>Growth Station Resources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0</v>
          </cell>
          <cell r="CU829">
            <v>0</v>
          </cell>
          <cell r="CV829">
            <v>0</v>
          </cell>
          <cell r="CW829">
            <v>0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  <cell r="DD829">
            <v>0</v>
          </cell>
          <cell r="DE829">
            <v>0</v>
          </cell>
          <cell r="DF829">
            <v>0</v>
          </cell>
          <cell r="DG829">
            <v>0</v>
          </cell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T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0</v>
          </cell>
          <cell r="CU830">
            <v>0</v>
          </cell>
          <cell r="CV830">
            <v>0</v>
          </cell>
          <cell r="CW830">
            <v>0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  <cell r="DD830">
            <v>0</v>
          </cell>
          <cell r="DE830">
            <v>0</v>
          </cell>
          <cell r="DF830">
            <v>0</v>
          </cell>
          <cell r="DG830">
            <v>0</v>
          </cell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T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0</v>
          </cell>
          <cell r="CY831">
            <v>0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  <cell r="DD831">
            <v>0</v>
          </cell>
          <cell r="DE831">
            <v>0</v>
          </cell>
          <cell r="DF831">
            <v>0</v>
          </cell>
          <cell r="DG831">
            <v>0</v>
          </cell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T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</row>
        <row r="832"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0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M832">
            <v>0</v>
          </cell>
          <cell r="CN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0</v>
          </cell>
          <cell r="CU832">
            <v>0</v>
          </cell>
          <cell r="CV832">
            <v>0</v>
          </cell>
          <cell r="CW832">
            <v>0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  <cell r="DD832">
            <v>0</v>
          </cell>
          <cell r="DE832">
            <v>0</v>
          </cell>
          <cell r="DF832">
            <v>0</v>
          </cell>
          <cell r="DG832">
            <v>0</v>
          </cell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T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0</v>
          </cell>
          <cell r="CU833">
            <v>0</v>
          </cell>
          <cell r="CV833">
            <v>0</v>
          </cell>
          <cell r="CW833">
            <v>0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  <cell r="DD833">
            <v>0</v>
          </cell>
          <cell r="DE833">
            <v>0</v>
          </cell>
          <cell r="DF833">
            <v>0</v>
          </cell>
          <cell r="DG833">
            <v>0</v>
          </cell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T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</row>
        <row r="834"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-20.63169999999991</v>
          </cell>
          <cell r="M834">
            <v>-20.631599999999708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0</v>
          </cell>
          <cell r="CU834">
            <v>0</v>
          </cell>
          <cell r="CV834">
            <v>0</v>
          </cell>
          <cell r="CW834">
            <v>0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  <cell r="DD834">
            <v>0</v>
          </cell>
          <cell r="DE834">
            <v>0</v>
          </cell>
          <cell r="DF834">
            <v>0</v>
          </cell>
          <cell r="DG834">
            <v>0</v>
          </cell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T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0</v>
          </cell>
          <cell r="CU835">
            <v>0</v>
          </cell>
          <cell r="CV835">
            <v>0</v>
          </cell>
          <cell r="CW835">
            <v>0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  <cell r="DD835">
            <v>0</v>
          </cell>
          <cell r="DE835">
            <v>0</v>
          </cell>
          <cell r="DF835">
            <v>0</v>
          </cell>
          <cell r="DG835">
            <v>0</v>
          </cell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T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</row>
        <row r="836"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-95.234370000000013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0</v>
          </cell>
          <cell r="CU836">
            <v>0</v>
          </cell>
          <cell r="CV836">
            <v>0</v>
          </cell>
          <cell r="CW836">
            <v>0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  <cell r="DD836">
            <v>0</v>
          </cell>
          <cell r="DE836">
            <v>0</v>
          </cell>
          <cell r="DF836">
            <v>0</v>
          </cell>
          <cell r="DG836">
            <v>0</v>
          </cell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T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-20.63189999999986</v>
          </cell>
          <cell r="M837">
            <v>-20.632299999999759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0</v>
          </cell>
          <cell r="CU837">
            <v>0</v>
          </cell>
          <cell r="CV837">
            <v>0</v>
          </cell>
          <cell r="CW837">
            <v>0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  <cell r="DD837">
            <v>0</v>
          </cell>
          <cell r="DE837">
            <v>0</v>
          </cell>
          <cell r="DF837">
            <v>0</v>
          </cell>
          <cell r="DG837">
            <v>0</v>
          </cell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T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</row>
        <row r="839">
          <cell r="A839" t="str">
            <v>Total Growth Station Resources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-136.49796999999671</v>
          </cell>
          <cell r="M839">
            <v>-41.263899999998102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  <cell r="DD839">
            <v>0</v>
          </cell>
          <cell r="DE839">
            <v>0</v>
          </cell>
          <cell r="DF839">
            <v>0</v>
          </cell>
          <cell r="DG839">
            <v>0</v>
          </cell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T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</row>
        <row r="840">
          <cell r="F840" t="str">
            <v>=</v>
          </cell>
          <cell r="G840" t="str">
            <v>=</v>
          </cell>
          <cell r="H840" t="str">
            <v>=</v>
          </cell>
          <cell r="I840" t="str">
            <v>=</v>
          </cell>
          <cell r="J840" t="str">
            <v>=</v>
          </cell>
          <cell r="K840" t="str">
            <v>=</v>
          </cell>
          <cell r="L840" t="str">
            <v>=</v>
          </cell>
          <cell r="M840" t="str">
            <v>=</v>
          </cell>
          <cell r="N840" t="str">
            <v>=</v>
          </cell>
          <cell r="O840" t="str">
            <v>=</v>
          </cell>
          <cell r="P840" t="str">
            <v>=</v>
          </cell>
          <cell r="Q840" t="str">
            <v>=</v>
          </cell>
          <cell r="R840" t="str">
            <v>=</v>
          </cell>
          <cell r="S840" t="str">
            <v>=</v>
          </cell>
          <cell r="T840" t="str">
            <v>=</v>
          </cell>
          <cell r="U840" t="str">
            <v>=</v>
          </cell>
          <cell r="V840" t="str">
            <v>=</v>
          </cell>
          <cell r="W840" t="str">
            <v>=</v>
          </cell>
          <cell r="X840" t="str">
            <v>=</v>
          </cell>
          <cell r="Y840" t="str">
            <v>=</v>
          </cell>
          <cell r="Z840" t="str">
            <v>=</v>
          </cell>
          <cell r="AA840" t="str">
            <v>=</v>
          </cell>
          <cell r="AB840" t="str">
            <v>=</v>
          </cell>
          <cell r="AC840" t="str">
            <v>=</v>
          </cell>
          <cell r="AD840" t="str">
            <v>=</v>
          </cell>
          <cell r="AE840" t="str">
            <v>=</v>
          </cell>
          <cell r="AF840" t="str">
            <v>=</v>
          </cell>
          <cell r="AG840" t="str">
            <v>=</v>
          </cell>
          <cell r="AH840" t="str">
            <v>=</v>
          </cell>
          <cell r="AI840" t="str">
            <v>=</v>
          </cell>
          <cell r="AJ840" t="str">
            <v>=</v>
          </cell>
          <cell r="AK840" t="str">
            <v>=</v>
          </cell>
          <cell r="AL840" t="str">
            <v>=</v>
          </cell>
          <cell r="AM840" t="str">
            <v>=</v>
          </cell>
          <cell r="AN840" t="str">
            <v>=</v>
          </cell>
          <cell r="AO840" t="str">
            <v>=</v>
          </cell>
          <cell r="AP840" t="str">
            <v>=</v>
          </cell>
          <cell r="AQ840" t="str">
            <v>=</v>
          </cell>
          <cell r="AR840" t="str">
            <v>=</v>
          </cell>
          <cell r="AS840" t="str">
            <v>=</v>
          </cell>
          <cell r="AT840" t="str">
            <v>=</v>
          </cell>
          <cell r="AU840" t="str">
            <v>=</v>
          </cell>
          <cell r="AV840" t="str">
            <v>=</v>
          </cell>
          <cell r="AW840" t="str">
            <v>=</v>
          </cell>
          <cell r="AX840" t="str">
            <v>=</v>
          </cell>
          <cell r="AY840" t="str">
            <v>=</v>
          </cell>
          <cell r="AZ840" t="str">
            <v>=</v>
          </cell>
          <cell r="BA840" t="str">
            <v>=</v>
          </cell>
          <cell r="BB840" t="str">
            <v>=</v>
          </cell>
          <cell r="BC840" t="str">
            <v>=</v>
          </cell>
          <cell r="BD840" t="str">
            <v>=</v>
          </cell>
          <cell r="BE840" t="str">
            <v>=</v>
          </cell>
          <cell r="BF840" t="str">
            <v>=</v>
          </cell>
          <cell r="BG840" t="str">
            <v>=</v>
          </cell>
          <cell r="BH840" t="str">
            <v>=</v>
          </cell>
          <cell r="BI840" t="str">
            <v>=</v>
          </cell>
          <cell r="BJ840" t="str">
            <v>=</v>
          </cell>
          <cell r="BK840" t="str">
            <v>=</v>
          </cell>
          <cell r="BL840" t="str">
            <v>=</v>
          </cell>
          <cell r="BM840" t="str">
            <v>=</v>
          </cell>
          <cell r="BN840" t="str">
            <v>=</v>
          </cell>
          <cell r="BO840" t="str">
            <v>=</v>
          </cell>
          <cell r="BP840" t="str">
            <v>=</v>
          </cell>
          <cell r="BQ840" t="str">
            <v>=</v>
          </cell>
          <cell r="BR840" t="str">
            <v>=</v>
          </cell>
          <cell r="BS840" t="str">
            <v>=</v>
          </cell>
          <cell r="BT840" t="str">
            <v>=</v>
          </cell>
          <cell r="BU840" t="str">
            <v>=</v>
          </cell>
          <cell r="BV840" t="str">
            <v>=</v>
          </cell>
          <cell r="BW840" t="str">
            <v>=</v>
          </cell>
          <cell r="BX840" t="str">
            <v>=</v>
          </cell>
          <cell r="BY840" t="str">
            <v>=</v>
          </cell>
          <cell r="BZ840" t="str">
            <v>=</v>
          </cell>
          <cell r="CA840" t="str">
            <v>=</v>
          </cell>
          <cell r="CB840" t="str">
            <v>=</v>
          </cell>
          <cell r="CC840" t="str">
            <v>=</v>
          </cell>
          <cell r="CD840" t="str">
            <v>=</v>
          </cell>
          <cell r="CE840" t="str">
            <v>=</v>
          </cell>
          <cell r="CF840" t="str">
            <v>=</v>
          </cell>
          <cell r="CG840" t="str">
            <v>=</v>
          </cell>
          <cell r="CH840" t="str">
            <v>=</v>
          </cell>
          <cell r="CI840" t="str">
            <v>=</v>
          </cell>
          <cell r="CJ840" t="str">
            <v>=</v>
          </cell>
          <cell r="CK840" t="str">
            <v>=</v>
          </cell>
          <cell r="CL840" t="str">
            <v>=</v>
          </cell>
          <cell r="CM840" t="str">
            <v>=</v>
          </cell>
          <cell r="CN840" t="str">
            <v>=</v>
          </cell>
          <cell r="CO840" t="str">
            <v>=</v>
          </cell>
          <cell r="CP840" t="str">
            <v>=</v>
          </cell>
          <cell r="CQ840" t="str">
            <v>=</v>
          </cell>
          <cell r="CR840" t="str">
            <v>=</v>
          </cell>
          <cell r="CS840" t="str">
            <v>=</v>
          </cell>
          <cell r="CT840" t="str">
            <v>=</v>
          </cell>
          <cell r="CU840" t="str">
            <v>=</v>
          </cell>
          <cell r="CV840" t="str">
            <v>=</v>
          </cell>
          <cell r="CW840" t="str">
            <v>=</v>
          </cell>
          <cell r="CX840" t="str">
            <v>=</v>
          </cell>
          <cell r="CY840" t="str">
            <v>=</v>
          </cell>
          <cell r="CZ840" t="str">
            <v>=</v>
          </cell>
          <cell r="DA840" t="str">
            <v>=</v>
          </cell>
          <cell r="DB840" t="str">
            <v>=</v>
          </cell>
          <cell r="DC840" t="str">
            <v>=</v>
          </cell>
          <cell r="DD840" t="str">
            <v>=</v>
          </cell>
          <cell r="DE840" t="str">
            <v>=</v>
          </cell>
          <cell r="DF840" t="str">
            <v>=</v>
          </cell>
          <cell r="DG840" t="str">
            <v>=</v>
          </cell>
          <cell r="DH840" t="str">
            <v>=</v>
          </cell>
          <cell r="DI840" t="str">
            <v>=</v>
          </cell>
          <cell r="DJ840" t="str">
            <v>=</v>
          </cell>
          <cell r="DK840" t="str">
            <v>=</v>
          </cell>
          <cell r="DL840" t="str">
            <v>=</v>
          </cell>
          <cell r="DM840" t="str">
            <v>=</v>
          </cell>
          <cell r="DN840" t="str">
            <v>=</v>
          </cell>
          <cell r="DO840" t="str">
            <v>=</v>
          </cell>
          <cell r="DP840" t="str">
            <v>=</v>
          </cell>
          <cell r="DQ840" t="str">
            <v>=</v>
          </cell>
          <cell r="DR840" t="str">
            <v>=</v>
          </cell>
          <cell r="DS840" t="str">
            <v>=</v>
          </cell>
          <cell r="DT840" t="str">
            <v>=</v>
          </cell>
          <cell r="DU840" t="str">
            <v>=</v>
          </cell>
          <cell r="DV840" t="str">
            <v>=</v>
          </cell>
          <cell r="DW840" t="str">
            <v>=</v>
          </cell>
          <cell r="DX840" t="str">
            <v>=</v>
          </cell>
          <cell r="DY840" t="str">
            <v>=</v>
          </cell>
          <cell r="DZ840" t="str">
            <v>=</v>
          </cell>
          <cell r="EA840" t="str">
            <v>=</v>
          </cell>
          <cell r="EB840" t="str">
            <v>=</v>
          </cell>
          <cell r="EC840" t="str">
            <v>=</v>
          </cell>
          <cell r="ED840" t="str">
            <v>=</v>
          </cell>
        </row>
        <row r="841">
          <cell r="A841" t="str">
            <v>Total Resources</v>
          </cell>
          <cell r="F841">
            <v>2009.1214530002326</v>
          </cell>
          <cell r="G841">
            <v>1808.7955267010257</v>
          </cell>
          <cell r="H841">
            <v>1734.7076778002083</v>
          </cell>
          <cell r="I841">
            <v>1557.95290119946</v>
          </cell>
          <cell r="J841">
            <v>1549.6885766014457</v>
          </cell>
          <cell r="K841">
            <v>290.82261909916997</v>
          </cell>
          <cell r="L841">
            <v>1789.938432299532</v>
          </cell>
          <cell r="M841">
            <v>472.72328340169042</v>
          </cell>
          <cell r="N841">
            <v>415.24228010047227</v>
          </cell>
          <cell r="O841">
            <v>2273.3082496002316</v>
          </cell>
          <cell r="P841">
            <v>1916.4455426000059</v>
          </cell>
          <cell r="Q841">
            <v>2555.8729552999139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0</v>
          </cell>
          <cell r="CU841">
            <v>0</v>
          </cell>
          <cell r="CV841">
            <v>0</v>
          </cell>
          <cell r="CW841">
            <v>0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  <cell r="DD841">
            <v>0</v>
          </cell>
          <cell r="DE841">
            <v>0</v>
          </cell>
          <cell r="DF841">
            <v>0</v>
          </cell>
          <cell r="DG841">
            <v>0</v>
          </cell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T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</row>
        <row r="842">
          <cell r="F842" t="str">
            <v>=</v>
          </cell>
          <cell r="G842" t="str">
            <v>=</v>
          </cell>
          <cell r="H842" t="str">
            <v>=</v>
          </cell>
          <cell r="I842" t="str">
            <v>=</v>
          </cell>
          <cell r="J842" t="str">
            <v>=</v>
          </cell>
          <cell r="K842" t="str">
            <v>=</v>
          </cell>
          <cell r="L842" t="str">
            <v>=</v>
          </cell>
          <cell r="M842" t="str">
            <v>=</v>
          </cell>
          <cell r="N842" t="str">
            <v>=</v>
          </cell>
          <cell r="O842" t="str">
            <v>=</v>
          </cell>
          <cell r="P842" t="str">
            <v>=</v>
          </cell>
          <cell r="Q842" t="str">
            <v>=</v>
          </cell>
          <cell r="R842" t="str">
            <v>=</v>
          </cell>
          <cell r="S842" t="str">
            <v>=</v>
          </cell>
          <cell r="T842" t="str">
            <v>=</v>
          </cell>
          <cell r="U842" t="str">
            <v>=</v>
          </cell>
          <cell r="V842" t="str">
            <v>=</v>
          </cell>
          <cell r="W842" t="str">
            <v>=</v>
          </cell>
          <cell r="X842" t="str">
            <v>=</v>
          </cell>
          <cell r="Y842" t="str">
            <v>=</v>
          </cell>
          <cell r="Z842" t="str">
            <v>=</v>
          </cell>
          <cell r="AA842" t="str">
            <v>=</v>
          </cell>
          <cell r="AB842" t="str">
            <v>=</v>
          </cell>
          <cell r="AC842" t="str">
            <v>=</v>
          </cell>
          <cell r="AD842" t="str">
            <v>=</v>
          </cell>
          <cell r="AE842" t="str">
            <v>=</v>
          </cell>
          <cell r="AF842" t="str">
            <v>=</v>
          </cell>
          <cell r="AG842" t="str">
            <v>=</v>
          </cell>
          <cell r="AH842" t="str">
            <v>=</v>
          </cell>
          <cell r="AI842" t="str">
            <v>=</v>
          </cell>
          <cell r="AJ842" t="str">
            <v>=</v>
          </cell>
          <cell r="AK842" t="str">
            <v>=</v>
          </cell>
          <cell r="AL842" t="str">
            <v>=</v>
          </cell>
          <cell r="AM842" t="str">
            <v>=</v>
          </cell>
          <cell r="AN842" t="str">
            <v>=</v>
          </cell>
          <cell r="AO842" t="str">
            <v>=</v>
          </cell>
          <cell r="AP842" t="str">
            <v>=</v>
          </cell>
          <cell r="AQ842" t="str">
            <v>=</v>
          </cell>
          <cell r="AR842" t="str">
            <v>=</v>
          </cell>
          <cell r="AS842" t="str">
            <v>=</v>
          </cell>
          <cell r="AT842" t="str">
            <v>=</v>
          </cell>
          <cell r="AU842" t="str">
            <v>=</v>
          </cell>
          <cell r="AV842" t="str">
            <v>=</v>
          </cell>
          <cell r="AW842" t="str">
            <v>=</v>
          </cell>
          <cell r="AX842" t="str">
            <v>=</v>
          </cell>
          <cell r="AY842" t="str">
            <v>=</v>
          </cell>
          <cell r="AZ842" t="str">
            <v>=</v>
          </cell>
          <cell r="BA842" t="str">
            <v>=</v>
          </cell>
          <cell r="BB842" t="str">
            <v>=</v>
          </cell>
          <cell r="BC842" t="str">
            <v>=</v>
          </cell>
          <cell r="BD842" t="str">
            <v>=</v>
          </cell>
          <cell r="BE842" t="str">
            <v>=</v>
          </cell>
          <cell r="BF842" t="str">
            <v>=</v>
          </cell>
          <cell r="BG842" t="str">
            <v>=</v>
          </cell>
          <cell r="BH842" t="str">
            <v>=</v>
          </cell>
          <cell r="BI842" t="str">
            <v>=</v>
          </cell>
          <cell r="BJ842" t="str">
            <v>=</v>
          </cell>
          <cell r="BK842" t="str">
            <v>=</v>
          </cell>
          <cell r="BL842" t="str">
            <v>=</v>
          </cell>
          <cell r="BM842" t="str">
            <v>=</v>
          </cell>
          <cell r="BN842" t="str">
            <v>=</v>
          </cell>
          <cell r="BO842" t="str">
            <v>=</v>
          </cell>
          <cell r="BP842" t="str">
            <v>=</v>
          </cell>
          <cell r="BQ842" t="str">
            <v>=</v>
          </cell>
          <cell r="BR842" t="str">
            <v>=</v>
          </cell>
          <cell r="BS842" t="str">
            <v>=</v>
          </cell>
          <cell r="BT842" t="str">
            <v>=</v>
          </cell>
          <cell r="BU842" t="str">
            <v>=</v>
          </cell>
          <cell r="BV842" t="str">
            <v>=</v>
          </cell>
          <cell r="BW842" t="str">
            <v>=</v>
          </cell>
          <cell r="BX842" t="str">
            <v>=</v>
          </cell>
          <cell r="BY842" t="str">
            <v>=</v>
          </cell>
          <cell r="BZ842" t="str">
            <v>=</v>
          </cell>
          <cell r="CA842" t="str">
            <v>=</v>
          </cell>
          <cell r="CB842" t="str">
            <v>=</v>
          </cell>
          <cell r="CC842" t="str">
            <v>=</v>
          </cell>
          <cell r="CD842" t="str">
            <v>=</v>
          </cell>
          <cell r="CE842" t="str">
            <v>=</v>
          </cell>
          <cell r="CF842" t="str">
            <v>=</v>
          </cell>
          <cell r="CG842" t="str">
            <v>=</v>
          </cell>
          <cell r="CH842" t="str">
            <v>=</v>
          </cell>
          <cell r="CI842" t="str">
            <v>=</v>
          </cell>
          <cell r="CJ842" t="str">
            <v>=</v>
          </cell>
          <cell r="CK842" t="str">
            <v>=</v>
          </cell>
          <cell r="CL842" t="str">
            <v>=</v>
          </cell>
          <cell r="CM842" t="str">
            <v>=</v>
          </cell>
          <cell r="CN842" t="str">
            <v>=</v>
          </cell>
          <cell r="CO842" t="str">
            <v>=</v>
          </cell>
          <cell r="CP842" t="str">
            <v>=</v>
          </cell>
          <cell r="CQ842" t="str">
            <v>=</v>
          </cell>
          <cell r="CR842" t="str">
            <v>=</v>
          </cell>
          <cell r="CS842" t="str">
            <v>=</v>
          </cell>
          <cell r="CT842" t="str">
            <v>=</v>
          </cell>
          <cell r="CU842" t="str">
            <v>=</v>
          </cell>
          <cell r="CV842" t="str">
            <v>=</v>
          </cell>
          <cell r="CW842" t="str">
            <v>=</v>
          </cell>
          <cell r="CX842" t="str">
            <v>=</v>
          </cell>
          <cell r="CY842" t="str">
            <v>=</v>
          </cell>
          <cell r="CZ842" t="str">
            <v>=</v>
          </cell>
          <cell r="DA842" t="str">
            <v>=</v>
          </cell>
          <cell r="DB842" t="str">
            <v>=</v>
          </cell>
          <cell r="DC842" t="str">
            <v>=</v>
          </cell>
          <cell r="DD842" t="str">
            <v>=</v>
          </cell>
          <cell r="DE842" t="str">
            <v>=</v>
          </cell>
          <cell r="DF842" t="str">
            <v>=</v>
          </cell>
          <cell r="DG842" t="str">
            <v>=</v>
          </cell>
          <cell r="DH842" t="str">
            <v>=</v>
          </cell>
          <cell r="DI842" t="str">
            <v>=</v>
          </cell>
          <cell r="DJ842" t="str">
            <v>=</v>
          </cell>
          <cell r="DK842" t="str">
            <v>=</v>
          </cell>
          <cell r="DL842" t="str">
            <v>=</v>
          </cell>
          <cell r="DM842" t="str">
            <v>=</v>
          </cell>
          <cell r="DN842" t="str">
            <v>=</v>
          </cell>
          <cell r="DO842" t="str">
            <v>=</v>
          </cell>
          <cell r="DP842" t="str">
            <v>=</v>
          </cell>
          <cell r="DQ842" t="str">
            <v>=</v>
          </cell>
          <cell r="DR842" t="str">
            <v>=</v>
          </cell>
          <cell r="DS842" t="str">
            <v>=</v>
          </cell>
          <cell r="DT842" t="str">
            <v>=</v>
          </cell>
          <cell r="DU842" t="str">
            <v>=</v>
          </cell>
          <cell r="DV842" t="str">
            <v>=</v>
          </cell>
          <cell r="DW842" t="str">
            <v>=</v>
          </cell>
          <cell r="DX842" t="str">
            <v>=</v>
          </cell>
          <cell r="DY842" t="str">
            <v>=</v>
          </cell>
          <cell r="DZ842" t="str">
            <v>=</v>
          </cell>
          <cell r="EA842" t="str">
            <v>=</v>
          </cell>
          <cell r="EB842" t="str">
            <v>=</v>
          </cell>
          <cell r="EC842" t="str">
            <v>=</v>
          </cell>
          <cell r="ED842" t="str">
            <v>=</v>
          </cell>
        </row>
        <row r="843"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 t="str">
            <v/>
          </cell>
          <cell r="R843" t="str">
            <v/>
          </cell>
          <cell r="S843" t="str">
            <v/>
          </cell>
          <cell r="T843" t="str">
            <v/>
          </cell>
          <cell r="U843" t="str">
            <v/>
          </cell>
          <cell r="V843" t="str">
            <v/>
          </cell>
          <cell r="W843" t="str">
            <v/>
          </cell>
          <cell r="X843" t="str">
            <v/>
          </cell>
          <cell r="Y843" t="str">
            <v/>
          </cell>
          <cell r="Z843" t="str">
            <v/>
          </cell>
          <cell r="AA843" t="str">
            <v/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F843" t="str">
            <v/>
          </cell>
          <cell r="AG843" t="str">
            <v/>
          </cell>
          <cell r="AH843" t="str">
            <v/>
          </cell>
          <cell r="AI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/>
          </cell>
          <cell r="AR843" t="str">
            <v/>
          </cell>
          <cell r="AS843" t="str">
            <v/>
          </cell>
          <cell r="AT843" t="str">
            <v/>
          </cell>
          <cell r="AU843" t="str">
            <v/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  <cell r="BI843" t="str">
            <v/>
          </cell>
          <cell r="BJ843" t="str">
            <v/>
          </cell>
          <cell r="BK843" t="str">
            <v/>
          </cell>
          <cell r="BL843" t="str">
            <v/>
          </cell>
          <cell r="BM843" t="str">
            <v/>
          </cell>
          <cell r="BN843" t="str">
            <v/>
          </cell>
          <cell r="BO843" t="str">
            <v/>
          </cell>
          <cell r="BP843" t="str">
            <v/>
          </cell>
          <cell r="BQ843" t="str">
            <v/>
          </cell>
          <cell r="BR843" t="str">
            <v/>
          </cell>
          <cell r="BS843" t="str">
            <v/>
          </cell>
          <cell r="BT843" t="str">
            <v/>
          </cell>
          <cell r="BU843" t="str">
            <v/>
          </cell>
          <cell r="BV843" t="str">
            <v/>
          </cell>
          <cell r="BW843" t="str">
            <v/>
          </cell>
          <cell r="BX843" t="str">
            <v/>
          </cell>
          <cell r="BY843" t="str">
            <v/>
          </cell>
          <cell r="BZ843" t="str">
            <v/>
          </cell>
          <cell r="CA843" t="str">
            <v/>
          </cell>
          <cell r="CB843" t="str">
            <v/>
          </cell>
          <cell r="CC843" t="str">
            <v/>
          </cell>
          <cell r="CD843" t="str">
            <v/>
          </cell>
          <cell r="CE843" t="str">
            <v/>
          </cell>
          <cell r="CF843" t="str">
            <v/>
          </cell>
          <cell r="CG843" t="str">
            <v/>
          </cell>
          <cell r="CH843" t="str">
            <v/>
          </cell>
          <cell r="CI843" t="str">
            <v/>
          </cell>
          <cell r="CJ843" t="str">
            <v/>
          </cell>
          <cell r="CK843" t="str">
            <v/>
          </cell>
          <cell r="CL843" t="str">
            <v/>
          </cell>
          <cell r="CM843" t="str">
            <v/>
          </cell>
          <cell r="CN843" t="str">
            <v/>
          </cell>
          <cell r="CO843" t="str">
            <v/>
          </cell>
          <cell r="CP843" t="str">
            <v/>
          </cell>
          <cell r="CQ843" t="str">
            <v/>
          </cell>
          <cell r="CR843" t="str">
            <v/>
          </cell>
          <cell r="CS843" t="str">
            <v/>
          </cell>
          <cell r="CT843" t="str">
            <v/>
          </cell>
          <cell r="CU843" t="str">
            <v/>
          </cell>
          <cell r="CV843" t="str">
            <v/>
          </cell>
          <cell r="CW843" t="str">
            <v/>
          </cell>
          <cell r="CX843" t="str">
            <v/>
          </cell>
          <cell r="CY843" t="str">
            <v/>
          </cell>
          <cell r="CZ843" t="str">
            <v/>
          </cell>
          <cell r="DA843" t="str">
            <v/>
          </cell>
          <cell r="DB843" t="str">
            <v/>
          </cell>
          <cell r="DC843" t="str">
            <v/>
          </cell>
          <cell r="DD843" t="str">
            <v/>
          </cell>
          <cell r="DE843" t="str">
            <v/>
          </cell>
          <cell r="DF843" t="str">
            <v/>
          </cell>
          <cell r="DG843" t="str">
            <v/>
          </cell>
          <cell r="DH843" t="str">
            <v/>
          </cell>
          <cell r="DI843" t="str">
            <v/>
          </cell>
          <cell r="DJ843" t="str">
            <v/>
          </cell>
          <cell r="DK843" t="str">
            <v/>
          </cell>
          <cell r="DL843" t="str">
            <v/>
          </cell>
          <cell r="DM843" t="str">
            <v/>
          </cell>
          <cell r="DN843" t="str">
            <v/>
          </cell>
          <cell r="DO843" t="str">
            <v/>
          </cell>
          <cell r="DP843" t="str">
            <v/>
          </cell>
          <cell r="DQ843" t="str">
            <v/>
          </cell>
          <cell r="DR843" t="str">
            <v/>
          </cell>
          <cell r="DS843" t="str">
            <v/>
          </cell>
          <cell r="DT843" t="str">
            <v/>
          </cell>
          <cell r="DU843" t="str">
            <v/>
          </cell>
          <cell r="DV843" t="str">
            <v/>
          </cell>
          <cell r="DW843" t="str">
            <v/>
          </cell>
          <cell r="DX843" t="str">
            <v/>
          </cell>
          <cell r="DY843" t="str">
            <v/>
          </cell>
          <cell r="DZ843" t="str">
            <v/>
          </cell>
          <cell r="EA843" t="str">
            <v/>
          </cell>
          <cell r="EB843" t="str">
            <v/>
          </cell>
          <cell r="EC843" t="str">
            <v/>
          </cell>
          <cell r="ED843" t="str">
            <v/>
          </cell>
        </row>
        <row r="844"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  <cell r="N844" t="str">
            <v/>
          </cell>
          <cell r="O844" t="str">
            <v/>
          </cell>
          <cell r="P844" t="str">
            <v/>
          </cell>
          <cell r="Q844" t="str">
            <v/>
          </cell>
          <cell r="R844" t="str">
            <v/>
          </cell>
          <cell r="S844" t="str">
            <v/>
          </cell>
          <cell r="T844" t="str">
            <v/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F844" t="str">
            <v/>
          </cell>
          <cell r="AG844" t="str">
            <v/>
          </cell>
          <cell r="AH844" t="str">
            <v/>
          </cell>
          <cell r="AI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  <cell r="BI844" t="str">
            <v/>
          </cell>
          <cell r="BJ844" t="str">
            <v/>
          </cell>
          <cell r="BK844" t="str">
            <v/>
          </cell>
          <cell r="BL844" t="str">
            <v/>
          </cell>
          <cell r="BM844" t="str">
            <v/>
          </cell>
          <cell r="BN844" t="str">
            <v/>
          </cell>
          <cell r="BO844" t="str">
            <v/>
          </cell>
          <cell r="BP844" t="str">
            <v/>
          </cell>
          <cell r="BQ844" t="str">
            <v/>
          </cell>
          <cell r="BR844" t="str">
            <v/>
          </cell>
          <cell r="BS844" t="str">
            <v/>
          </cell>
          <cell r="BT844" t="str">
            <v/>
          </cell>
          <cell r="BU844" t="str">
            <v/>
          </cell>
          <cell r="BV844" t="str">
            <v/>
          </cell>
          <cell r="BW844" t="str">
            <v/>
          </cell>
          <cell r="BX844" t="str">
            <v/>
          </cell>
          <cell r="BY844" t="str">
            <v/>
          </cell>
          <cell r="BZ844" t="str">
            <v/>
          </cell>
          <cell r="CA844" t="str">
            <v/>
          </cell>
          <cell r="CB844" t="str">
            <v/>
          </cell>
          <cell r="CC844" t="str">
            <v/>
          </cell>
          <cell r="CD844" t="str">
            <v/>
          </cell>
          <cell r="CE844" t="str">
            <v/>
          </cell>
          <cell r="CF844" t="str">
            <v/>
          </cell>
          <cell r="CG844" t="str">
            <v/>
          </cell>
          <cell r="CH844" t="str">
            <v/>
          </cell>
          <cell r="CI844" t="str">
            <v/>
          </cell>
          <cell r="CJ844" t="str">
            <v/>
          </cell>
          <cell r="CK844" t="str">
            <v/>
          </cell>
          <cell r="CL844" t="str">
            <v/>
          </cell>
          <cell r="CM844" t="str">
            <v/>
          </cell>
          <cell r="CN844" t="str">
            <v/>
          </cell>
          <cell r="CO844" t="str">
            <v/>
          </cell>
          <cell r="CP844" t="str">
            <v/>
          </cell>
          <cell r="CQ844" t="str">
            <v/>
          </cell>
          <cell r="CR844" t="str">
            <v/>
          </cell>
          <cell r="CS844" t="str">
            <v/>
          </cell>
          <cell r="CT844" t="str">
            <v/>
          </cell>
          <cell r="CU844" t="str">
            <v/>
          </cell>
          <cell r="CV844" t="str">
            <v/>
          </cell>
          <cell r="CW844" t="str">
            <v/>
          </cell>
          <cell r="CX844" t="str">
            <v/>
          </cell>
          <cell r="CY844" t="str">
            <v/>
          </cell>
          <cell r="CZ844" t="str">
            <v/>
          </cell>
          <cell r="DA844" t="str">
            <v/>
          </cell>
          <cell r="DB844" t="str">
            <v/>
          </cell>
          <cell r="DC844" t="str">
            <v/>
          </cell>
          <cell r="DD844" t="str">
            <v/>
          </cell>
          <cell r="DE844" t="str">
            <v/>
          </cell>
          <cell r="DF844" t="str">
            <v/>
          </cell>
          <cell r="DG844" t="str">
            <v/>
          </cell>
          <cell r="DH844" t="str">
            <v/>
          </cell>
          <cell r="DI844" t="str">
            <v/>
          </cell>
          <cell r="DJ844" t="str">
            <v/>
          </cell>
          <cell r="DK844" t="str">
            <v/>
          </cell>
          <cell r="DL844" t="str">
            <v/>
          </cell>
          <cell r="DM844" t="str">
            <v/>
          </cell>
          <cell r="DN844" t="str">
            <v/>
          </cell>
          <cell r="DO844" t="str">
            <v/>
          </cell>
          <cell r="DP844" t="str">
            <v/>
          </cell>
          <cell r="DQ844" t="str">
            <v/>
          </cell>
          <cell r="DR844" t="str">
            <v/>
          </cell>
          <cell r="DS844" t="str">
            <v/>
          </cell>
          <cell r="DT844" t="str">
            <v/>
          </cell>
          <cell r="DU844" t="str">
            <v/>
          </cell>
          <cell r="DV844" t="str">
            <v/>
          </cell>
          <cell r="DW844" t="str">
            <v/>
          </cell>
          <cell r="DX844" t="str">
            <v/>
          </cell>
          <cell r="DY844" t="str">
            <v/>
          </cell>
          <cell r="DZ844" t="str">
            <v/>
          </cell>
          <cell r="EA844" t="str">
            <v/>
          </cell>
          <cell r="EB844" t="str">
            <v/>
          </cell>
          <cell r="EC844" t="str">
            <v/>
          </cell>
          <cell r="ED844" t="str">
            <v/>
          </cell>
        </row>
        <row r="845">
          <cell r="J845" t="str">
            <v>"The Rack"</v>
          </cell>
          <cell r="W845" t="str">
            <v>"The Rack"</v>
          </cell>
          <cell r="AJ845" t="str">
            <v>"The Rack"</v>
          </cell>
          <cell r="AW845" t="str">
            <v>"The Rack"</v>
          </cell>
          <cell r="BJ845" t="str">
            <v>"The Rack"</v>
          </cell>
          <cell r="BW845" t="str">
            <v>"The Rack"</v>
          </cell>
          <cell r="CJ845" t="str">
            <v>"The Rack"</v>
          </cell>
          <cell r="CW845" t="str">
            <v>"The Rack"</v>
          </cell>
          <cell r="DJ845" t="str">
            <v>"The Rack"</v>
          </cell>
          <cell r="DW845" t="str">
            <v>"The Rack"</v>
          </cell>
        </row>
        <row r="847">
          <cell r="A847" t="str">
            <v>Fuel Burned  (MMBtu)</v>
          </cell>
        </row>
        <row r="848"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  <cell r="CF848">
            <v>0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M848">
            <v>0</v>
          </cell>
          <cell r="CN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0</v>
          </cell>
          <cell r="CU848">
            <v>0</v>
          </cell>
          <cell r="CV848">
            <v>0</v>
          </cell>
          <cell r="CW848">
            <v>0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  <cell r="DD848">
            <v>0</v>
          </cell>
          <cell r="DE848">
            <v>0</v>
          </cell>
          <cell r="DF848">
            <v>0</v>
          </cell>
          <cell r="DG848">
            <v>0</v>
          </cell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T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0</v>
          </cell>
          <cell r="CU849">
            <v>0</v>
          </cell>
          <cell r="CV849">
            <v>0</v>
          </cell>
          <cell r="CW849">
            <v>0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  <cell r="DD849">
            <v>0</v>
          </cell>
          <cell r="DE849">
            <v>0</v>
          </cell>
          <cell r="DF849">
            <v>0</v>
          </cell>
          <cell r="DG849">
            <v>0</v>
          </cell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T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</row>
        <row r="850">
          <cell r="F850">
            <v>-885.44999999995343</v>
          </cell>
          <cell r="G850">
            <v>-773.96999999997206</v>
          </cell>
          <cell r="H850">
            <v>-664</v>
          </cell>
          <cell r="I850">
            <v>-577.6600000000326</v>
          </cell>
          <cell r="J850">
            <v>-1154.5399999999208</v>
          </cell>
          <cell r="K850">
            <v>-1481.1300000000047</v>
          </cell>
          <cell r="L850">
            <v>-826.70000000018626</v>
          </cell>
          <cell r="M850">
            <v>-662.5</v>
          </cell>
          <cell r="N850">
            <v>-1029.4600000001956</v>
          </cell>
          <cell r="O850">
            <v>-971.56000000005588</v>
          </cell>
          <cell r="P850">
            <v>-149.65000000002328</v>
          </cell>
          <cell r="Q850">
            <v>-1261.1499999999069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0</v>
          </cell>
          <cell r="CU850">
            <v>0</v>
          </cell>
          <cell r="CV850">
            <v>0</v>
          </cell>
          <cell r="CW850">
            <v>0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  <cell r="DD850">
            <v>0</v>
          </cell>
          <cell r="DE850">
            <v>0</v>
          </cell>
          <cell r="DF850">
            <v>0</v>
          </cell>
          <cell r="DG850">
            <v>0</v>
          </cell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T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</row>
        <row r="851">
          <cell r="F851">
            <v>-26.400000000372529</v>
          </cell>
          <cell r="G851">
            <v>-14.099999999627471</v>
          </cell>
          <cell r="H851">
            <v>-1068.9299999992363</v>
          </cell>
          <cell r="I851">
            <v>-3539.3500000005588</v>
          </cell>
          <cell r="J851">
            <v>-6990.9400000004098</v>
          </cell>
          <cell r="K851">
            <v>-2798.7999999998137</v>
          </cell>
          <cell r="L851">
            <v>-729.29999999981374</v>
          </cell>
          <cell r="M851">
            <v>0</v>
          </cell>
          <cell r="N851">
            <v>-1364.5000000004657</v>
          </cell>
          <cell r="O851">
            <v>-128</v>
          </cell>
          <cell r="P851">
            <v>-60.160000000149012</v>
          </cell>
          <cell r="Q851">
            <v>-12.699999999720603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  <cell r="CF851">
            <v>0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M851">
            <v>0</v>
          </cell>
          <cell r="CN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0</v>
          </cell>
          <cell r="CU851">
            <v>0</v>
          </cell>
          <cell r="CV851">
            <v>0</v>
          </cell>
          <cell r="CW851">
            <v>0</v>
          </cell>
          <cell r="CX851">
            <v>0</v>
          </cell>
          <cell r="CY851">
            <v>0</v>
          </cell>
          <cell r="CZ851">
            <v>0</v>
          </cell>
          <cell r="DA851">
            <v>0</v>
          </cell>
          <cell r="DB851">
            <v>0</v>
          </cell>
          <cell r="DC851">
            <v>0</v>
          </cell>
          <cell r="DD851">
            <v>0</v>
          </cell>
          <cell r="DE851">
            <v>0</v>
          </cell>
          <cell r="DF851">
            <v>0</v>
          </cell>
          <cell r="DG851">
            <v>0</v>
          </cell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T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</row>
        <row r="852">
          <cell r="F852">
            <v>-841.69000000006054</v>
          </cell>
          <cell r="G852">
            <v>-823.13000000000466</v>
          </cell>
          <cell r="H852">
            <v>-1278.3099999999977</v>
          </cell>
          <cell r="I852">
            <v>-971.44999999995343</v>
          </cell>
          <cell r="J852">
            <v>-1860.0999999999767</v>
          </cell>
          <cell r="K852">
            <v>-1659.390000000014</v>
          </cell>
          <cell r="L852">
            <v>-1149.2999999999302</v>
          </cell>
          <cell r="M852">
            <v>-694.13999999995576</v>
          </cell>
          <cell r="N852">
            <v>-436.61599999997998</v>
          </cell>
          <cell r="O852">
            <v>-58.944000000017695</v>
          </cell>
          <cell r="P852">
            <v>-1855.5999999999767</v>
          </cell>
          <cell r="Q852">
            <v>-887.38000000000466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0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M852">
            <v>0</v>
          </cell>
          <cell r="CN852">
            <v>0</v>
          </cell>
          <cell r="CO852">
            <v>0</v>
          </cell>
          <cell r="CP852">
            <v>0</v>
          </cell>
          <cell r="CQ852">
            <v>0</v>
          </cell>
          <cell r="CR852">
            <v>0</v>
          </cell>
          <cell r="CS852">
            <v>0</v>
          </cell>
          <cell r="CT852">
            <v>0</v>
          </cell>
          <cell r="CU852">
            <v>0</v>
          </cell>
          <cell r="CV852">
            <v>0</v>
          </cell>
          <cell r="CW852">
            <v>0</v>
          </cell>
          <cell r="CX852">
            <v>0</v>
          </cell>
          <cell r="CY852">
            <v>0</v>
          </cell>
          <cell r="CZ852">
            <v>0</v>
          </cell>
          <cell r="DA852">
            <v>0</v>
          </cell>
          <cell r="DB852">
            <v>0</v>
          </cell>
          <cell r="DC852">
            <v>0</v>
          </cell>
          <cell r="DD852">
            <v>0</v>
          </cell>
          <cell r="DE852">
            <v>0</v>
          </cell>
          <cell r="DF852">
            <v>0</v>
          </cell>
          <cell r="DG852">
            <v>0</v>
          </cell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T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</row>
        <row r="853">
          <cell r="F853">
            <v>-28731.900000000373</v>
          </cell>
          <cell r="G853">
            <v>-26745.599999999627</v>
          </cell>
          <cell r="H853">
            <v>-19249</v>
          </cell>
          <cell r="I853">
            <v>-30962.450000000186</v>
          </cell>
          <cell r="J853">
            <v>-33226.799999999814</v>
          </cell>
          <cell r="K853">
            <v>-28579.399999999907</v>
          </cell>
          <cell r="L853">
            <v>-20017.700000000186</v>
          </cell>
          <cell r="M853">
            <v>-22051.600000000559</v>
          </cell>
          <cell r="N853">
            <v>-29297.899999999441</v>
          </cell>
          <cell r="O853">
            <v>-21393.5</v>
          </cell>
          <cell r="P853">
            <v>-23271.400000000373</v>
          </cell>
          <cell r="Q853">
            <v>-21640.400000000373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M853">
            <v>0</v>
          </cell>
          <cell r="CN853">
            <v>0</v>
          </cell>
          <cell r="CO853">
            <v>0</v>
          </cell>
          <cell r="CP853">
            <v>0</v>
          </cell>
          <cell r="CQ853">
            <v>0</v>
          </cell>
          <cell r="CR853">
            <v>0</v>
          </cell>
          <cell r="CS853">
            <v>0</v>
          </cell>
          <cell r="CT853">
            <v>0</v>
          </cell>
          <cell r="CU853">
            <v>0</v>
          </cell>
          <cell r="CV853">
            <v>0</v>
          </cell>
          <cell r="CW853">
            <v>0</v>
          </cell>
          <cell r="CX853">
            <v>0</v>
          </cell>
          <cell r="CY853">
            <v>0</v>
          </cell>
          <cell r="CZ853">
            <v>0</v>
          </cell>
          <cell r="DA853">
            <v>0</v>
          </cell>
          <cell r="DB853">
            <v>0</v>
          </cell>
          <cell r="DC853">
            <v>0</v>
          </cell>
          <cell r="DD853">
            <v>0</v>
          </cell>
          <cell r="DE853">
            <v>0</v>
          </cell>
          <cell r="DF853">
            <v>0</v>
          </cell>
          <cell r="DG853">
            <v>0</v>
          </cell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T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</row>
        <row r="854">
          <cell r="F854">
            <v>-17058.100000000559</v>
          </cell>
          <cell r="G854">
            <v>-13443.200000000186</v>
          </cell>
          <cell r="H854">
            <v>-14380.799999999814</v>
          </cell>
          <cell r="I854">
            <v>-20058.800000000745</v>
          </cell>
          <cell r="J854">
            <v>-19291.599999999627</v>
          </cell>
          <cell r="K854">
            <v>-15339.200000000186</v>
          </cell>
          <cell r="L854">
            <v>-4444.5</v>
          </cell>
          <cell r="M854">
            <v>-8542.5999999996275</v>
          </cell>
          <cell r="N854">
            <v>-15882.099999999627</v>
          </cell>
          <cell r="O854">
            <v>-13748.899999999441</v>
          </cell>
          <cell r="P854">
            <v>-10876</v>
          </cell>
          <cell r="Q854">
            <v>-6667.5999999996275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  <cell r="CF854">
            <v>0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M854">
            <v>0</v>
          </cell>
          <cell r="CN854">
            <v>0</v>
          </cell>
          <cell r="CO854">
            <v>0</v>
          </cell>
          <cell r="CP854">
            <v>0</v>
          </cell>
          <cell r="CQ854">
            <v>0</v>
          </cell>
          <cell r="CR854">
            <v>0</v>
          </cell>
          <cell r="CS854">
            <v>0</v>
          </cell>
          <cell r="CT854">
            <v>0</v>
          </cell>
          <cell r="CU854">
            <v>0</v>
          </cell>
          <cell r="CV854">
            <v>0</v>
          </cell>
          <cell r="CW854">
            <v>0</v>
          </cell>
          <cell r="CX854">
            <v>0</v>
          </cell>
          <cell r="CY854">
            <v>0</v>
          </cell>
          <cell r="CZ854">
            <v>0</v>
          </cell>
          <cell r="DA854">
            <v>0</v>
          </cell>
          <cell r="DB854">
            <v>0</v>
          </cell>
          <cell r="DC854">
            <v>0</v>
          </cell>
          <cell r="DD854">
            <v>0</v>
          </cell>
          <cell r="DE854">
            <v>0</v>
          </cell>
          <cell r="DF854">
            <v>0</v>
          </cell>
          <cell r="DG854">
            <v>0</v>
          </cell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T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</row>
        <row r="855">
          <cell r="F855">
            <v>-5768.7000000001863</v>
          </cell>
          <cell r="G855">
            <v>-10612.600000000559</v>
          </cell>
          <cell r="H855">
            <v>-6731.0999999996275</v>
          </cell>
          <cell r="I855">
            <v>-9045.4999999995343</v>
          </cell>
          <cell r="J855">
            <v>-10428.799999999814</v>
          </cell>
          <cell r="K855">
            <v>-3108.2999999998137</v>
          </cell>
          <cell r="L855">
            <v>-1763.7000000001863</v>
          </cell>
          <cell r="M855">
            <v>-1827.2999999998137</v>
          </cell>
          <cell r="N855">
            <v>-5724.5</v>
          </cell>
          <cell r="O855">
            <v>-5739.9000000003725</v>
          </cell>
          <cell r="P855">
            <v>-3058.2999999998137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</row>
        <row r="856">
          <cell r="F856">
            <v>-13635.239999999991</v>
          </cell>
          <cell r="G856">
            <v>-13433</v>
          </cell>
          <cell r="H856">
            <v>-8852.6999999999534</v>
          </cell>
          <cell r="I856">
            <v>-4684.2399999999907</v>
          </cell>
          <cell r="J856">
            <v>-5767.9799999999814</v>
          </cell>
          <cell r="K856">
            <v>-4889.9599999999627</v>
          </cell>
          <cell r="L856">
            <v>-3268.0699999999488</v>
          </cell>
          <cell r="M856">
            <v>-7490.4899999999907</v>
          </cell>
          <cell r="N856">
            <v>-6812.3599999998696</v>
          </cell>
          <cell r="O856">
            <v>-3458.9299999999348</v>
          </cell>
          <cell r="P856">
            <v>-7175.5</v>
          </cell>
          <cell r="Q856">
            <v>-7310.7600000000093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0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T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</row>
        <row r="857">
          <cell r="F857">
            <v>-181.9000000001397</v>
          </cell>
          <cell r="G857">
            <v>-264</v>
          </cell>
          <cell r="H857">
            <v>-1572.3999999999069</v>
          </cell>
          <cell r="I857">
            <v>-1392.5999999998603</v>
          </cell>
          <cell r="J857">
            <v>-1014.1000000000931</v>
          </cell>
          <cell r="K857">
            <v>-1734.4000000001397</v>
          </cell>
          <cell r="L857">
            <v>-267.80000000004657</v>
          </cell>
          <cell r="M857">
            <v>-729.89999999990687</v>
          </cell>
          <cell r="N857">
            <v>-1862.1999999999534</v>
          </cell>
          <cell r="O857">
            <v>-302.29999999981374</v>
          </cell>
          <cell r="P857">
            <v>-7.4000000001396984</v>
          </cell>
          <cell r="Q857">
            <v>-28.200000000186265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0</v>
          </cell>
          <cell r="CB857">
            <v>0</v>
          </cell>
          <cell r="CC857">
            <v>0</v>
          </cell>
          <cell r="CD857">
            <v>0</v>
          </cell>
          <cell r="CE857">
            <v>0</v>
          </cell>
          <cell r="CF857">
            <v>0</v>
          </cell>
          <cell r="CG857">
            <v>0</v>
          </cell>
          <cell r="CH857">
            <v>0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M857">
            <v>0</v>
          </cell>
          <cell r="CN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0</v>
          </cell>
          <cell r="CS857">
            <v>0</v>
          </cell>
          <cell r="CT857">
            <v>0</v>
          </cell>
          <cell r="CU857">
            <v>0</v>
          </cell>
          <cell r="CV857">
            <v>0</v>
          </cell>
          <cell r="CW857">
            <v>0</v>
          </cell>
          <cell r="CX857">
            <v>0</v>
          </cell>
          <cell r="CY857">
            <v>0</v>
          </cell>
          <cell r="CZ857">
            <v>0</v>
          </cell>
          <cell r="DA857">
            <v>0</v>
          </cell>
          <cell r="DB857">
            <v>0</v>
          </cell>
          <cell r="DC857">
            <v>0</v>
          </cell>
          <cell r="DD857">
            <v>0</v>
          </cell>
          <cell r="DE857">
            <v>0</v>
          </cell>
          <cell r="DF857">
            <v>0</v>
          </cell>
          <cell r="DG857">
            <v>0</v>
          </cell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T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</row>
        <row r="859">
          <cell r="F859">
            <v>-7724.7000000001863</v>
          </cell>
          <cell r="G859">
            <v>-5046.0999999998603</v>
          </cell>
          <cell r="H859">
            <v>-3568.5</v>
          </cell>
          <cell r="I859">
            <v>-822.20000000018626</v>
          </cell>
          <cell r="J859">
            <v>-1531.2999999998137</v>
          </cell>
          <cell r="K859">
            <v>-1546.8999999999069</v>
          </cell>
          <cell r="L859">
            <v>-2791</v>
          </cell>
          <cell r="M859">
            <v>-4088.3999999999069</v>
          </cell>
          <cell r="N859">
            <v>-4514.6000000000931</v>
          </cell>
          <cell r="O859">
            <v>-3377.6999999999534</v>
          </cell>
          <cell r="P859">
            <v>-5100.3999999999069</v>
          </cell>
          <cell r="Q859">
            <v>-4601.8000000000466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  <cell r="CF859">
            <v>0</v>
          </cell>
          <cell r="CG859">
            <v>0</v>
          </cell>
          <cell r="CH859">
            <v>0</v>
          </cell>
          <cell r="CI859">
            <v>0</v>
          </cell>
          <cell r="CJ859">
            <v>0</v>
          </cell>
          <cell r="CK859">
            <v>0</v>
          </cell>
          <cell r="CL859">
            <v>0</v>
          </cell>
          <cell r="CM859">
            <v>0</v>
          </cell>
          <cell r="CN859">
            <v>0</v>
          </cell>
          <cell r="CO859">
            <v>0</v>
          </cell>
          <cell r="CP859">
            <v>0</v>
          </cell>
          <cell r="CQ859">
            <v>0</v>
          </cell>
          <cell r="CR859">
            <v>0</v>
          </cell>
          <cell r="CS859">
            <v>0</v>
          </cell>
          <cell r="CT859">
            <v>0</v>
          </cell>
          <cell r="CU859">
            <v>0</v>
          </cell>
          <cell r="CV859">
            <v>0</v>
          </cell>
          <cell r="CW859">
            <v>0</v>
          </cell>
          <cell r="CX859">
            <v>0</v>
          </cell>
          <cell r="CY859">
            <v>0</v>
          </cell>
          <cell r="CZ859">
            <v>0</v>
          </cell>
          <cell r="DA859">
            <v>0</v>
          </cell>
          <cell r="DB859">
            <v>0</v>
          </cell>
          <cell r="DC859">
            <v>0</v>
          </cell>
          <cell r="DD859">
            <v>0</v>
          </cell>
          <cell r="DE859">
            <v>0</v>
          </cell>
          <cell r="DF859">
            <v>0</v>
          </cell>
          <cell r="DG859">
            <v>0</v>
          </cell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T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</row>
        <row r="860"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  <cell r="CF860">
            <v>0</v>
          </cell>
          <cell r="CG860">
            <v>0</v>
          </cell>
          <cell r="CH860">
            <v>0</v>
          </cell>
          <cell r="CI860">
            <v>0</v>
          </cell>
          <cell r="CJ860">
            <v>0</v>
          </cell>
          <cell r="CK860">
            <v>0</v>
          </cell>
          <cell r="CL860">
            <v>0</v>
          </cell>
          <cell r="CM860">
            <v>0</v>
          </cell>
          <cell r="CN860">
            <v>0</v>
          </cell>
          <cell r="CO860">
            <v>0</v>
          </cell>
          <cell r="CP860">
            <v>0</v>
          </cell>
          <cell r="CQ860">
            <v>0</v>
          </cell>
          <cell r="CR860">
            <v>0</v>
          </cell>
          <cell r="CS860">
            <v>0</v>
          </cell>
          <cell r="CT860">
            <v>0</v>
          </cell>
          <cell r="CU860">
            <v>0</v>
          </cell>
          <cell r="CV860">
            <v>0</v>
          </cell>
          <cell r="CW860">
            <v>0</v>
          </cell>
          <cell r="CX860">
            <v>0</v>
          </cell>
          <cell r="CY860">
            <v>0</v>
          </cell>
          <cell r="CZ860">
            <v>0</v>
          </cell>
          <cell r="DA860">
            <v>0</v>
          </cell>
          <cell r="DB860">
            <v>0</v>
          </cell>
          <cell r="DC860">
            <v>0</v>
          </cell>
          <cell r="DD860">
            <v>0</v>
          </cell>
          <cell r="DE860">
            <v>0</v>
          </cell>
          <cell r="DF860">
            <v>0</v>
          </cell>
          <cell r="DG860">
            <v>0</v>
          </cell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T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</row>
        <row r="861">
          <cell r="F861">
            <v>-3841.7199999997392</v>
          </cell>
          <cell r="G861">
            <v>-4569.2700000000186</v>
          </cell>
          <cell r="H861">
            <v>-4101.6199999998789</v>
          </cell>
          <cell r="I861">
            <v>-1527.4699999997392</v>
          </cell>
          <cell r="J861">
            <v>-1038.0200000000186</v>
          </cell>
          <cell r="K861">
            <v>-2148.7999999998137</v>
          </cell>
          <cell r="L861">
            <v>-2138.2599999997765</v>
          </cell>
          <cell r="M861">
            <v>-2970.5500000002794</v>
          </cell>
          <cell r="N861">
            <v>-2933.0200000004843</v>
          </cell>
          <cell r="O861">
            <v>-443.5</v>
          </cell>
          <cell r="P861">
            <v>-5064.1000000000931</v>
          </cell>
          <cell r="Q861">
            <v>-5500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CX861">
            <v>0</v>
          </cell>
          <cell r="CY861">
            <v>0</v>
          </cell>
          <cell r="CZ861">
            <v>0</v>
          </cell>
          <cell r="DA861">
            <v>0</v>
          </cell>
          <cell r="DB861">
            <v>0</v>
          </cell>
          <cell r="DC861">
            <v>0</v>
          </cell>
          <cell r="DD861">
            <v>0</v>
          </cell>
          <cell r="DE861">
            <v>0</v>
          </cell>
          <cell r="DF861">
            <v>0</v>
          </cell>
          <cell r="DG861">
            <v>0</v>
          </cell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T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</row>
        <row r="862"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0</v>
          </cell>
          <cell r="CF862">
            <v>0</v>
          </cell>
          <cell r="CG862">
            <v>0</v>
          </cell>
          <cell r="CH862">
            <v>0</v>
          </cell>
          <cell r="CI862">
            <v>0</v>
          </cell>
          <cell r="CJ862">
            <v>0</v>
          </cell>
          <cell r="CK862">
            <v>0</v>
          </cell>
          <cell r="CL862">
            <v>0</v>
          </cell>
          <cell r="CM862">
            <v>0</v>
          </cell>
          <cell r="CN862">
            <v>0</v>
          </cell>
          <cell r="CO862">
            <v>0</v>
          </cell>
          <cell r="CP862">
            <v>0</v>
          </cell>
          <cell r="CQ862">
            <v>0</v>
          </cell>
          <cell r="CR862">
            <v>0</v>
          </cell>
          <cell r="CS862">
            <v>0</v>
          </cell>
          <cell r="CT862">
            <v>0</v>
          </cell>
          <cell r="CU862">
            <v>0</v>
          </cell>
          <cell r="CV862">
            <v>0</v>
          </cell>
          <cell r="CW862">
            <v>0</v>
          </cell>
          <cell r="CX862">
            <v>0</v>
          </cell>
          <cell r="CY862">
            <v>0</v>
          </cell>
          <cell r="CZ862">
            <v>0</v>
          </cell>
          <cell r="DA862">
            <v>0</v>
          </cell>
          <cell r="DB862">
            <v>0</v>
          </cell>
          <cell r="DC862">
            <v>0</v>
          </cell>
          <cell r="DD862">
            <v>0</v>
          </cell>
          <cell r="DE862">
            <v>0</v>
          </cell>
          <cell r="DF862">
            <v>0</v>
          </cell>
          <cell r="DG862">
            <v>0</v>
          </cell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T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</row>
        <row r="863">
          <cell r="F863">
            <v>0</v>
          </cell>
          <cell r="G863">
            <v>-147.67500000001746</v>
          </cell>
          <cell r="H863">
            <v>-18.119999999995343</v>
          </cell>
          <cell r="I863">
            <v>-387.70499999998719</v>
          </cell>
          <cell r="J863">
            <v>-1517.585000000021</v>
          </cell>
          <cell r="K863">
            <v>-235.22000000003027</v>
          </cell>
          <cell r="L863">
            <v>0</v>
          </cell>
          <cell r="M863">
            <v>-81.64100000000326</v>
          </cell>
          <cell r="N863">
            <v>-45.054999999993015</v>
          </cell>
          <cell r="O863">
            <v>-438.40399999998044</v>
          </cell>
          <cell r="P863">
            <v>-16.150000000023283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  <cell r="CF863">
            <v>0</v>
          </cell>
          <cell r="CG863">
            <v>0</v>
          </cell>
          <cell r="CH863">
            <v>0</v>
          </cell>
          <cell r="CI863">
            <v>0</v>
          </cell>
          <cell r="CJ863">
            <v>0</v>
          </cell>
          <cell r="CK863">
            <v>0</v>
          </cell>
          <cell r="CL863">
            <v>0</v>
          </cell>
          <cell r="CM863">
            <v>0</v>
          </cell>
          <cell r="CN863">
            <v>0</v>
          </cell>
          <cell r="CO863">
            <v>0</v>
          </cell>
          <cell r="CP863">
            <v>0</v>
          </cell>
          <cell r="CQ863">
            <v>0</v>
          </cell>
          <cell r="CR863">
            <v>0</v>
          </cell>
          <cell r="CS863">
            <v>0</v>
          </cell>
          <cell r="CT863">
            <v>0</v>
          </cell>
          <cell r="CU863">
            <v>0</v>
          </cell>
          <cell r="CV863">
            <v>0</v>
          </cell>
          <cell r="CW863">
            <v>0</v>
          </cell>
          <cell r="CX863">
            <v>0</v>
          </cell>
          <cell r="CY863">
            <v>0</v>
          </cell>
          <cell r="CZ863">
            <v>0</v>
          </cell>
          <cell r="DA863">
            <v>0</v>
          </cell>
          <cell r="DB863">
            <v>0</v>
          </cell>
          <cell r="DC863">
            <v>0</v>
          </cell>
          <cell r="DD863">
            <v>0</v>
          </cell>
          <cell r="DE863">
            <v>0</v>
          </cell>
          <cell r="DF863">
            <v>0</v>
          </cell>
          <cell r="DG863">
            <v>0</v>
          </cell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T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</row>
        <row r="864">
          <cell r="F864">
            <v>-1470.3000000000466</v>
          </cell>
          <cell r="G864">
            <v>-1019.3800000000047</v>
          </cell>
          <cell r="H864">
            <v>-83.75</v>
          </cell>
          <cell r="I864">
            <v>-140.79999999998836</v>
          </cell>
          <cell r="J864">
            <v>-196.51999999998952</v>
          </cell>
          <cell r="K864">
            <v>-473.56000000005588</v>
          </cell>
          <cell r="L864">
            <v>-133.61999999999534</v>
          </cell>
          <cell r="M864">
            <v>-101.34999999997672</v>
          </cell>
          <cell r="N864">
            <v>-144.54999999993015</v>
          </cell>
          <cell r="O864">
            <v>-655.84999999997672</v>
          </cell>
          <cell r="P864">
            <v>-282.40000000002328</v>
          </cell>
          <cell r="Q864">
            <v>-719.36999999999534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  <cell r="CF864">
            <v>0</v>
          </cell>
          <cell r="CG864">
            <v>0</v>
          </cell>
          <cell r="CH864">
            <v>0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M864">
            <v>0</v>
          </cell>
          <cell r="CN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0</v>
          </cell>
          <cell r="CS864">
            <v>0</v>
          </cell>
          <cell r="CT864">
            <v>0</v>
          </cell>
          <cell r="CU864">
            <v>0</v>
          </cell>
          <cell r="CV864">
            <v>0</v>
          </cell>
          <cell r="CW864">
            <v>0</v>
          </cell>
          <cell r="CX864">
            <v>0</v>
          </cell>
          <cell r="CY864">
            <v>0</v>
          </cell>
          <cell r="CZ864">
            <v>0</v>
          </cell>
          <cell r="DA864">
            <v>0</v>
          </cell>
          <cell r="DB864">
            <v>0</v>
          </cell>
          <cell r="DC864">
            <v>0</v>
          </cell>
          <cell r="DD864">
            <v>0</v>
          </cell>
          <cell r="DE864">
            <v>0</v>
          </cell>
          <cell r="DF864">
            <v>0</v>
          </cell>
          <cell r="DG864">
            <v>0</v>
          </cell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T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</row>
        <row r="865">
          <cell r="F865">
            <v>-7.0999999998603016</v>
          </cell>
          <cell r="G865">
            <v>-553.5</v>
          </cell>
          <cell r="H865">
            <v>-261.5</v>
          </cell>
          <cell r="I865">
            <v>-4366</v>
          </cell>
          <cell r="J865">
            <v>-1111</v>
          </cell>
          <cell r="K865">
            <v>-3159.2999999998137</v>
          </cell>
          <cell r="L865">
            <v>-1077.0999999996275</v>
          </cell>
          <cell r="M865">
            <v>-1948.2999999998137</v>
          </cell>
          <cell r="N865">
            <v>-1824.6000000000931</v>
          </cell>
          <cell r="O865">
            <v>-1036.9000000001397</v>
          </cell>
          <cell r="P865">
            <v>-975.89999999990687</v>
          </cell>
          <cell r="Q865">
            <v>-323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0</v>
          </cell>
          <cell r="CF865">
            <v>0</v>
          </cell>
          <cell r="CG865">
            <v>0</v>
          </cell>
          <cell r="CH865">
            <v>0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M865">
            <v>0</v>
          </cell>
          <cell r="CN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0</v>
          </cell>
          <cell r="CU865">
            <v>0</v>
          </cell>
          <cell r="CV865">
            <v>0</v>
          </cell>
          <cell r="CW865">
            <v>0</v>
          </cell>
          <cell r="CX865">
            <v>0</v>
          </cell>
          <cell r="CY865">
            <v>0</v>
          </cell>
          <cell r="CZ865">
            <v>0</v>
          </cell>
          <cell r="DA865">
            <v>0</v>
          </cell>
          <cell r="DB865">
            <v>0</v>
          </cell>
          <cell r="DC865">
            <v>0</v>
          </cell>
          <cell r="DD865">
            <v>0</v>
          </cell>
          <cell r="DE865">
            <v>0</v>
          </cell>
          <cell r="DF865">
            <v>0</v>
          </cell>
          <cell r="DG865">
            <v>0</v>
          </cell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T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</row>
        <row r="866">
          <cell r="F866">
            <v>-6054.4700000002049</v>
          </cell>
          <cell r="G866">
            <v>-1995.2600000000093</v>
          </cell>
          <cell r="H866">
            <v>-1664.0999999996275</v>
          </cell>
          <cell r="I866">
            <v>-1952.7600000000093</v>
          </cell>
          <cell r="J866">
            <v>-1143.2999999998137</v>
          </cell>
          <cell r="K866">
            <v>-3308.7999999998137</v>
          </cell>
          <cell r="L866">
            <v>-2871.2000000001863</v>
          </cell>
          <cell r="M866">
            <v>-2065</v>
          </cell>
          <cell r="N866">
            <v>-2727.2599999997765</v>
          </cell>
          <cell r="O866">
            <v>-2509.7000000001863</v>
          </cell>
          <cell r="P866">
            <v>-3044.8999999999069</v>
          </cell>
          <cell r="Q866">
            <v>-1979.6399999996647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0</v>
          </cell>
          <cell r="CF866">
            <v>0</v>
          </cell>
          <cell r="CG866">
            <v>0</v>
          </cell>
          <cell r="CH866">
            <v>0</v>
          </cell>
          <cell r="CI866">
            <v>0</v>
          </cell>
          <cell r="CJ866">
            <v>0</v>
          </cell>
          <cell r="CK866">
            <v>0</v>
          </cell>
          <cell r="CL866">
            <v>0</v>
          </cell>
          <cell r="CM866">
            <v>0</v>
          </cell>
          <cell r="CN866">
            <v>0</v>
          </cell>
          <cell r="CO866">
            <v>0</v>
          </cell>
          <cell r="CP866">
            <v>0</v>
          </cell>
          <cell r="CQ866">
            <v>0</v>
          </cell>
          <cell r="CR866">
            <v>0</v>
          </cell>
          <cell r="CS866">
            <v>0</v>
          </cell>
          <cell r="CT866">
            <v>0</v>
          </cell>
          <cell r="CU866">
            <v>0</v>
          </cell>
          <cell r="CV866">
            <v>0</v>
          </cell>
          <cell r="CW866">
            <v>0</v>
          </cell>
          <cell r="CX866">
            <v>0</v>
          </cell>
          <cell r="CY866">
            <v>0</v>
          </cell>
          <cell r="CZ866">
            <v>0</v>
          </cell>
          <cell r="DA866">
            <v>0</v>
          </cell>
          <cell r="DB866">
            <v>0</v>
          </cell>
          <cell r="DC866">
            <v>0</v>
          </cell>
          <cell r="DD866">
            <v>0</v>
          </cell>
          <cell r="DE866">
            <v>0</v>
          </cell>
          <cell r="DF866">
            <v>0</v>
          </cell>
          <cell r="DG866">
            <v>0</v>
          </cell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T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</row>
        <row r="867">
          <cell r="F867">
            <v>-1261.0100000000093</v>
          </cell>
          <cell r="G867">
            <v>-932.84500000000116</v>
          </cell>
          <cell r="H867">
            <v>-583.83000000000175</v>
          </cell>
          <cell r="I867">
            <v>-1585.4060000000027</v>
          </cell>
          <cell r="J867">
            <v>-892.1299999999901</v>
          </cell>
          <cell r="K867">
            <v>-983.57000000000698</v>
          </cell>
          <cell r="L867">
            <v>-1884.1000000000349</v>
          </cell>
          <cell r="M867">
            <v>-1580.2599999999511</v>
          </cell>
          <cell r="N867">
            <v>-1030</v>
          </cell>
          <cell r="O867">
            <v>-1819.75</v>
          </cell>
          <cell r="P867">
            <v>-2976.179999999993</v>
          </cell>
          <cell r="Q867">
            <v>-1771.9099999999744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  <cell r="BY867">
            <v>0</v>
          </cell>
          <cell r="BZ867">
            <v>0</v>
          </cell>
          <cell r="CA867">
            <v>0</v>
          </cell>
          <cell r="CB867">
            <v>0</v>
          </cell>
          <cell r="CC867">
            <v>0</v>
          </cell>
          <cell r="CD867">
            <v>0</v>
          </cell>
          <cell r="CE867">
            <v>0</v>
          </cell>
          <cell r="CF867">
            <v>0</v>
          </cell>
          <cell r="CG867">
            <v>0</v>
          </cell>
          <cell r="CH867">
            <v>0</v>
          </cell>
          <cell r="CI867">
            <v>0</v>
          </cell>
          <cell r="CJ867">
            <v>0</v>
          </cell>
          <cell r="CK867">
            <v>0</v>
          </cell>
          <cell r="CL867">
            <v>0</v>
          </cell>
          <cell r="CM867">
            <v>0</v>
          </cell>
          <cell r="CN867">
            <v>0</v>
          </cell>
          <cell r="CO867">
            <v>0</v>
          </cell>
          <cell r="CP867">
            <v>0</v>
          </cell>
          <cell r="CQ867">
            <v>0</v>
          </cell>
          <cell r="CR867">
            <v>0</v>
          </cell>
          <cell r="CS867">
            <v>0</v>
          </cell>
          <cell r="CT867">
            <v>0</v>
          </cell>
          <cell r="CU867">
            <v>0</v>
          </cell>
          <cell r="CV867">
            <v>0</v>
          </cell>
          <cell r="CW867">
            <v>0</v>
          </cell>
          <cell r="CX867">
            <v>0</v>
          </cell>
          <cell r="CY867">
            <v>0</v>
          </cell>
          <cell r="CZ867">
            <v>0</v>
          </cell>
          <cell r="DA867">
            <v>0</v>
          </cell>
          <cell r="DB867">
            <v>0</v>
          </cell>
          <cell r="DC867">
            <v>0</v>
          </cell>
          <cell r="DD867">
            <v>0</v>
          </cell>
          <cell r="DE867">
            <v>0</v>
          </cell>
          <cell r="DF867">
            <v>0</v>
          </cell>
          <cell r="DG867">
            <v>0</v>
          </cell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T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  <cell r="BZ869">
            <v>0</v>
          </cell>
          <cell r="CA869">
            <v>0</v>
          </cell>
          <cell r="CB869">
            <v>0</v>
          </cell>
          <cell r="CC869">
            <v>0</v>
          </cell>
          <cell r="CD869">
            <v>0</v>
          </cell>
          <cell r="CE869">
            <v>0</v>
          </cell>
          <cell r="CF869">
            <v>0</v>
          </cell>
          <cell r="CG869">
            <v>0</v>
          </cell>
          <cell r="CH869">
            <v>0</v>
          </cell>
          <cell r="CI869">
            <v>0</v>
          </cell>
          <cell r="CJ869">
            <v>0</v>
          </cell>
          <cell r="CK869">
            <v>0</v>
          </cell>
          <cell r="CL869">
            <v>0</v>
          </cell>
          <cell r="CM869">
            <v>0</v>
          </cell>
          <cell r="CN869">
            <v>0</v>
          </cell>
          <cell r="CO869">
            <v>0</v>
          </cell>
          <cell r="CP869">
            <v>0</v>
          </cell>
          <cell r="CQ869">
            <v>0</v>
          </cell>
          <cell r="CR869">
            <v>0</v>
          </cell>
          <cell r="CS869">
            <v>0</v>
          </cell>
          <cell r="CT869">
            <v>0</v>
          </cell>
          <cell r="CU869">
            <v>0</v>
          </cell>
          <cell r="CV869">
            <v>0</v>
          </cell>
          <cell r="CW869">
            <v>0</v>
          </cell>
          <cell r="CX869">
            <v>0</v>
          </cell>
          <cell r="CY869">
            <v>0</v>
          </cell>
          <cell r="CZ869">
            <v>0</v>
          </cell>
          <cell r="DA869">
            <v>0</v>
          </cell>
          <cell r="DB869">
            <v>0</v>
          </cell>
          <cell r="DC869">
            <v>0</v>
          </cell>
          <cell r="DD869">
            <v>0</v>
          </cell>
          <cell r="DE869">
            <v>0</v>
          </cell>
          <cell r="DF869">
            <v>0</v>
          </cell>
          <cell r="DG869">
            <v>0</v>
          </cell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T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G870">
            <v>0</v>
          </cell>
          <cell r="CH870">
            <v>0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0</v>
          </cell>
          <cell r="CW870">
            <v>0</v>
          </cell>
          <cell r="CX870">
            <v>0</v>
          </cell>
          <cell r="CY870">
            <v>0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  <cell r="DD870">
            <v>0</v>
          </cell>
          <cell r="DE870">
            <v>0</v>
          </cell>
          <cell r="DF870">
            <v>0</v>
          </cell>
          <cell r="DG870">
            <v>0</v>
          </cell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T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0</v>
          </cell>
          <cell r="CF871">
            <v>0</v>
          </cell>
          <cell r="CG871">
            <v>0</v>
          </cell>
          <cell r="CH871">
            <v>0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M871">
            <v>0</v>
          </cell>
          <cell r="CN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0</v>
          </cell>
          <cell r="CU871">
            <v>0</v>
          </cell>
          <cell r="CV871">
            <v>0</v>
          </cell>
          <cell r="CW871">
            <v>0</v>
          </cell>
          <cell r="CX871">
            <v>0</v>
          </cell>
          <cell r="CY871">
            <v>0</v>
          </cell>
          <cell r="CZ871">
            <v>0</v>
          </cell>
          <cell r="DA871">
            <v>0</v>
          </cell>
          <cell r="DB871">
            <v>0</v>
          </cell>
          <cell r="DC871">
            <v>0</v>
          </cell>
          <cell r="DD871">
            <v>0</v>
          </cell>
          <cell r="DE871">
            <v>0</v>
          </cell>
          <cell r="DF871">
            <v>0</v>
          </cell>
          <cell r="DG871">
            <v>0</v>
          </cell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T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0</v>
          </cell>
          <cell r="DA872">
            <v>0</v>
          </cell>
          <cell r="DB872">
            <v>0</v>
          </cell>
          <cell r="DC872">
            <v>0</v>
          </cell>
          <cell r="DD872">
            <v>0</v>
          </cell>
          <cell r="DE872">
            <v>0</v>
          </cell>
          <cell r="DF872">
            <v>0</v>
          </cell>
          <cell r="DG872">
            <v>0</v>
          </cell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T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  <cell r="CG873">
            <v>0</v>
          </cell>
          <cell r="CH873">
            <v>0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M873">
            <v>0</v>
          </cell>
          <cell r="CN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0</v>
          </cell>
          <cell r="CU873">
            <v>0</v>
          </cell>
          <cell r="CV873">
            <v>0</v>
          </cell>
          <cell r="CW873">
            <v>0</v>
          </cell>
          <cell r="CX873">
            <v>0</v>
          </cell>
          <cell r="CY873">
            <v>0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  <cell r="DD873">
            <v>0</v>
          </cell>
          <cell r="DE873">
            <v>0</v>
          </cell>
          <cell r="DF873">
            <v>0</v>
          </cell>
          <cell r="DG873">
            <v>0</v>
          </cell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T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0</v>
          </cell>
          <cell r="CF874">
            <v>0</v>
          </cell>
          <cell r="CG874">
            <v>0</v>
          </cell>
          <cell r="CH874">
            <v>0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M874">
            <v>0</v>
          </cell>
          <cell r="CN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0</v>
          </cell>
          <cell r="CU874">
            <v>0</v>
          </cell>
          <cell r="CV874">
            <v>0</v>
          </cell>
          <cell r="CW874">
            <v>0</v>
          </cell>
          <cell r="CX874">
            <v>0</v>
          </cell>
          <cell r="CY874">
            <v>0</v>
          </cell>
          <cell r="CZ874">
            <v>0</v>
          </cell>
          <cell r="DA874">
            <v>0</v>
          </cell>
          <cell r="DB874">
            <v>0</v>
          </cell>
          <cell r="DC874">
            <v>0</v>
          </cell>
          <cell r="DD874">
            <v>0</v>
          </cell>
          <cell r="DE874">
            <v>0</v>
          </cell>
          <cell r="DF874">
            <v>0</v>
          </cell>
          <cell r="DG874">
            <v>0</v>
          </cell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T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-17549.300000000047</v>
          </cell>
          <cell r="L875">
            <v>-14521.100000000093</v>
          </cell>
          <cell r="M875">
            <v>-21876.700000000186</v>
          </cell>
          <cell r="N875">
            <v>-20688.100000000093</v>
          </cell>
          <cell r="O875">
            <v>-14591.40000000014</v>
          </cell>
          <cell r="P875">
            <v>-15975.100000000093</v>
          </cell>
          <cell r="Q875">
            <v>-14523.300000000047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-16465.300000000047</v>
          </cell>
          <cell r="L876">
            <v>-15321.699999999953</v>
          </cell>
          <cell r="M876">
            <v>-22385.399999999907</v>
          </cell>
          <cell r="N876">
            <v>-14559.539999999921</v>
          </cell>
          <cell r="O876">
            <v>-14553.5</v>
          </cell>
          <cell r="P876">
            <v>-14606.960000000079</v>
          </cell>
          <cell r="Q876">
            <v>-13520.699999999953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0</v>
          </cell>
          <cell r="CF876">
            <v>0</v>
          </cell>
          <cell r="CG876">
            <v>0</v>
          </cell>
          <cell r="CH876">
            <v>0</v>
          </cell>
          <cell r="CI876">
            <v>0</v>
          </cell>
          <cell r="CJ876">
            <v>0</v>
          </cell>
          <cell r="CK876">
            <v>0</v>
          </cell>
          <cell r="CL876">
            <v>0</v>
          </cell>
          <cell r="CM876">
            <v>0</v>
          </cell>
          <cell r="CN876">
            <v>0</v>
          </cell>
          <cell r="CO876">
            <v>0</v>
          </cell>
          <cell r="CP876">
            <v>0</v>
          </cell>
          <cell r="CQ876">
            <v>0</v>
          </cell>
          <cell r="CR876">
            <v>0</v>
          </cell>
          <cell r="CS876">
            <v>0</v>
          </cell>
          <cell r="CT876">
            <v>0</v>
          </cell>
          <cell r="CU876">
            <v>0</v>
          </cell>
          <cell r="CV876">
            <v>0</v>
          </cell>
          <cell r="CW876">
            <v>0</v>
          </cell>
          <cell r="CX876">
            <v>0</v>
          </cell>
          <cell r="CY876">
            <v>0</v>
          </cell>
          <cell r="CZ876">
            <v>0</v>
          </cell>
          <cell r="DA876">
            <v>0</v>
          </cell>
          <cell r="DB876">
            <v>0</v>
          </cell>
          <cell r="DC876">
            <v>0</v>
          </cell>
          <cell r="DD876">
            <v>0</v>
          </cell>
          <cell r="DE876">
            <v>0</v>
          </cell>
          <cell r="DF876">
            <v>0</v>
          </cell>
          <cell r="DG876">
            <v>0</v>
          </cell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T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0</v>
          </cell>
          <cell r="CG877">
            <v>0</v>
          </cell>
          <cell r="CH877">
            <v>0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M877">
            <v>0</v>
          </cell>
          <cell r="CN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0</v>
          </cell>
          <cell r="CU877">
            <v>0</v>
          </cell>
          <cell r="CV877">
            <v>0</v>
          </cell>
          <cell r="CW877">
            <v>0</v>
          </cell>
          <cell r="CX877">
            <v>0</v>
          </cell>
          <cell r="CY877">
            <v>0</v>
          </cell>
          <cell r="CZ877">
            <v>0</v>
          </cell>
          <cell r="DA877">
            <v>0</v>
          </cell>
          <cell r="DB877">
            <v>0</v>
          </cell>
          <cell r="DC877">
            <v>0</v>
          </cell>
          <cell r="DD877">
            <v>0</v>
          </cell>
          <cell r="DE877">
            <v>0</v>
          </cell>
          <cell r="DF877">
            <v>0</v>
          </cell>
          <cell r="DG877">
            <v>0</v>
          </cell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T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0</v>
          </cell>
          <cell r="CF878">
            <v>0</v>
          </cell>
          <cell r="CG878">
            <v>0</v>
          </cell>
          <cell r="CH878">
            <v>0</v>
          </cell>
          <cell r="CI878">
            <v>0</v>
          </cell>
          <cell r="CJ878">
            <v>0</v>
          </cell>
          <cell r="CK878">
            <v>0</v>
          </cell>
          <cell r="CL878">
            <v>0</v>
          </cell>
          <cell r="CM878">
            <v>0</v>
          </cell>
          <cell r="CN878">
            <v>0</v>
          </cell>
          <cell r="CO878">
            <v>0</v>
          </cell>
          <cell r="CP878">
            <v>0</v>
          </cell>
          <cell r="CQ878">
            <v>0</v>
          </cell>
          <cell r="CR878">
            <v>0</v>
          </cell>
          <cell r="CS878">
            <v>0</v>
          </cell>
          <cell r="CT878">
            <v>0</v>
          </cell>
          <cell r="CU878">
            <v>0</v>
          </cell>
          <cell r="CV878">
            <v>0</v>
          </cell>
          <cell r="CW878">
            <v>0</v>
          </cell>
          <cell r="CX878">
            <v>0</v>
          </cell>
          <cell r="CY878">
            <v>0</v>
          </cell>
          <cell r="CZ878">
            <v>0</v>
          </cell>
          <cell r="DA878">
            <v>0</v>
          </cell>
          <cell r="DB878">
            <v>0</v>
          </cell>
          <cell r="DC878">
            <v>0</v>
          </cell>
          <cell r="DD878">
            <v>0</v>
          </cell>
          <cell r="DE878">
            <v>0</v>
          </cell>
          <cell r="DF878">
            <v>0</v>
          </cell>
          <cell r="DG878">
            <v>0</v>
          </cell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T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0</v>
          </cell>
          <cell r="CJ879">
            <v>0</v>
          </cell>
          <cell r="CK879">
            <v>0</v>
          </cell>
          <cell r="CL879">
            <v>0</v>
          </cell>
          <cell r="CM879">
            <v>0</v>
          </cell>
          <cell r="CN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0</v>
          </cell>
          <cell r="CU879">
            <v>0</v>
          </cell>
          <cell r="CV879">
            <v>0</v>
          </cell>
          <cell r="CW879">
            <v>0</v>
          </cell>
          <cell r="CX879">
            <v>0</v>
          </cell>
          <cell r="CY879">
            <v>0</v>
          </cell>
          <cell r="CZ879">
            <v>0</v>
          </cell>
          <cell r="DA879">
            <v>0</v>
          </cell>
          <cell r="DB879">
            <v>0</v>
          </cell>
          <cell r="DC879">
            <v>0</v>
          </cell>
          <cell r="DD879">
            <v>0</v>
          </cell>
          <cell r="DE879">
            <v>0</v>
          </cell>
          <cell r="DF879">
            <v>0</v>
          </cell>
          <cell r="DG879">
            <v>0</v>
          </cell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T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>
            <v>0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>
            <v>0</v>
          </cell>
          <cell r="BX880">
            <v>0</v>
          </cell>
          <cell r="BY880">
            <v>0</v>
          </cell>
          <cell r="BZ880">
            <v>0</v>
          </cell>
          <cell r="CA880">
            <v>0</v>
          </cell>
          <cell r="CB880">
            <v>0</v>
          </cell>
          <cell r="CC880">
            <v>0</v>
          </cell>
          <cell r="CD880">
            <v>0</v>
          </cell>
          <cell r="CE880">
            <v>0</v>
          </cell>
          <cell r="CF880">
            <v>0</v>
          </cell>
          <cell r="CG880">
            <v>0</v>
          </cell>
          <cell r="CH880">
            <v>0</v>
          </cell>
          <cell r="CI880">
            <v>0</v>
          </cell>
          <cell r="CJ880">
            <v>0</v>
          </cell>
          <cell r="CK880">
            <v>0</v>
          </cell>
          <cell r="CL880">
            <v>0</v>
          </cell>
          <cell r="CM880">
            <v>0</v>
          </cell>
          <cell r="CN880">
            <v>0</v>
          </cell>
          <cell r="CO880">
            <v>0</v>
          </cell>
          <cell r="CP880">
            <v>0</v>
          </cell>
          <cell r="CQ880">
            <v>0</v>
          </cell>
          <cell r="CR880">
            <v>0</v>
          </cell>
          <cell r="CS880">
            <v>0</v>
          </cell>
          <cell r="CT880">
            <v>0</v>
          </cell>
          <cell r="CU880">
            <v>0</v>
          </cell>
          <cell r="CV880">
            <v>0</v>
          </cell>
          <cell r="CW880">
            <v>0</v>
          </cell>
          <cell r="CX880">
            <v>0</v>
          </cell>
          <cell r="CY880">
            <v>0</v>
          </cell>
          <cell r="CZ880">
            <v>0</v>
          </cell>
          <cell r="DA880">
            <v>0</v>
          </cell>
          <cell r="DB880">
            <v>0</v>
          </cell>
          <cell r="DC880">
            <v>0</v>
          </cell>
          <cell r="DD880">
            <v>0</v>
          </cell>
          <cell r="DE880">
            <v>0</v>
          </cell>
          <cell r="DF880">
            <v>0</v>
          </cell>
          <cell r="DG880">
            <v>0</v>
          </cell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T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</row>
        <row r="882">
          <cell r="A882" t="str">
            <v>Burn Rate (MMBtu/MWh)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0</v>
          </cell>
          <cell r="BW883">
            <v>0</v>
          </cell>
          <cell r="BX883">
            <v>0</v>
          </cell>
          <cell r="BY883">
            <v>0</v>
          </cell>
          <cell r="BZ883">
            <v>0</v>
          </cell>
          <cell r="CA883">
            <v>0</v>
          </cell>
          <cell r="CB883">
            <v>0</v>
          </cell>
          <cell r="CC883">
            <v>0</v>
          </cell>
          <cell r="CD883">
            <v>0</v>
          </cell>
          <cell r="CE883">
            <v>0</v>
          </cell>
          <cell r="CF883">
            <v>0</v>
          </cell>
          <cell r="CG883">
            <v>0</v>
          </cell>
          <cell r="CH883">
            <v>0</v>
          </cell>
          <cell r="CI883">
            <v>0</v>
          </cell>
          <cell r="CJ883">
            <v>0</v>
          </cell>
          <cell r="CK883">
            <v>0</v>
          </cell>
          <cell r="CL883">
            <v>0</v>
          </cell>
          <cell r="CM883">
            <v>0</v>
          </cell>
          <cell r="CN883">
            <v>0</v>
          </cell>
          <cell r="CO883">
            <v>0</v>
          </cell>
          <cell r="CP883">
            <v>0</v>
          </cell>
          <cell r="CQ883">
            <v>0</v>
          </cell>
          <cell r="CR883">
            <v>0</v>
          </cell>
          <cell r="CS883">
            <v>0</v>
          </cell>
          <cell r="CT883">
            <v>0</v>
          </cell>
          <cell r="CU883">
            <v>0</v>
          </cell>
          <cell r="CV883">
            <v>0</v>
          </cell>
          <cell r="CW883">
            <v>0</v>
          </cell>
          <cell r="CX883">
            <v>0</v>
          </cell>
          <cell r="CY883">
            <v>0</v>
          </cell>
          <cell r="CZ883">
            <v>0</v>
          </cell>
          <cell r="DA883">
            <v>0</v>
          </cell>
          <cell r="DB883">
            <v>0</v>
          </cell>
          <cell r="DC883">
            <v>0</v>
          </cell>
          <cell r="DD883">
            <v>0</v>
          </cell>
          <cell r="DE883">
            <v>0</v>
          </cell>
          <cell r="DF883">
            <v>0</v>
          </cell>
          <cell r="DG883">
            <v>0</v>
          </cell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T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E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0</v>
          </cell>
          <cell r="CF884">
            <v>0</v>
          </cell>
          <cell r="CG884">
            <v>0</v>
          </cell>
          <cell r="CH884">
            <v>0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0</v>
          </cell>
          <cell r="CU884">
            <v>0</v>
          </cell>
          <cell r="CV884">
            <v>0</v>
          </cell>
          <cell r="CW884">
            <v>0</v>
          </cell>
          <cell r="CX884">
            <v>0</v>
          </cell>
          <cell r="CY884">
            <v>0</v>
          </cell>
          <cell r="CZ884">
            <v>0</v>
          </cell>
          <cell r="DA884">
            <v>0</v>
          </cell>
          <cell r="DB884">
            <v>0</v>
          </cell>
          <cell r="DC884">
            <v>0</v>
          </cell>
          <cell r="DD884">
            <v>0</v>
          </cell>
          <cell r="DE884">
            <v>0</v>
          </cell>
          <cell r="DF884">
            <v>0</v>
          </cell>
          <cell r="DG884">
            <v>0</v>
          </cell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T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E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1E-3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  <cell r="BL885">
            <v>0</v>
          </cell>
          <cell r="BM885">
            <v>0</v>
          </cell>
          <cell r="BN885">
            <v>0</v>
          </cell>
          <cell r="BO885">
            <v>0</v>
          </cell>
          <cell r="BP885">
            <v>0</v>
          </cell>
          <cell r="BQ885">
            <v>0</v>
          </cell>
          <cell r="BR885">
            <v>0</v>
          </cell>
          <cell r="BS885">
            <v>0</v>
          </cell>
          <cell r="BT885">
            <v>0</v>
          </cell>
          <cell r="BU885">
            <v>0</v>
          </cell>
          <cell r="BV885">
            <v>0</v>
          </cell>
          <cell r="BW885">
            <v>0</v>
          </cell>
          <cell r="BX885">
            <v>0</v>
          </cell>
          <cell r="BY885">
            <v>0</v>
          </cell>
          <cell r="BZ885">
            <v>0</v>
          </cell>
          <cell r="CA885">
            <v>0</v>
          </cell>
          <cell r="CB885">
            <v>0</v>
          </cell>
          <cell r="CC885">
            <v>0</v>
          </cell>
          <cell r="CD885">
            <v>0</v>
          </cell>
          <cell r="CE885">
            <v>0</v>
          </cell>
          <cell r="CF885">
            <v>0</v>
          </cell>
          <cell r="CG885">
            <v>0</v>
          </cell>
          <cell r="CH885">
            <v>0</v>
          </cell>
          <cell r="CI885">
            <v>0</v>
          </cell>
          <cell r="CJ885">
            <v>0</v>
          </cell>
          <cell r="CK885">
            <v>0</v>
          </cell>
          <cell r="CL885">
            <v>0</v>
          </cell>
          <cell r="CM885">
            <v>0</v>
          </cell>
          <cell r="CN885">
            <v>0</v>
          </cell>
          <cell r="CO885">
            <v>0</v>
          </cell>
          <cell r="CP885">
            <v>0</v>
          </cell>
          <cell r="CQ885">
            <v>0</v>
          </cell>
          <cell r="CR885">
            <v>0</v>
          </cell>
          <cell r="CS885">
            <v>0</v>
          </cell>
          <cell r="CT885">
            <v>0</v>
          </cell>
          <cell r="CU885">
            <v>0</v>
          </cell>
          <cell r="CV885">
            <v>0</v>
          </cell>
          <cell r="CW885">
            <v>0</v>
          </cell>
          <cell r="CX885">
            <v>0</v>
          </cell>
          <cell r="CY885">
            <v>0</v>
          </cell>
          <cell r="CZ885">
            <v>0</v>
          </cell>
          <cell r="DA885">
            <v>0</v>
          </cell>
          <cell r="DB885">
            <v>0</v>
          </cell>
          <cell r="DC885">
            <v>0</v>
          </cell>
          <cell r="DD885">
            <v>0</v>
          </cell>
          <cell r="DE885">
            <v>0</v>
          </cell>
          <cell r="DF885">
            <v>0</v>
          </cell>
          <cell r="DG885">
            <v>0</v>
          </cell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T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E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1E-3</v>
          </cell>
          <cell r="J886">
            <v>1E-3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0</v>
          </cell>
          <cell r="CF886">
            <v>0</v>
          </cell>
          <cell r="CG886">
            <v>0</v>
          </cell>
          <cell r="CH886">
            <v>0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M886">
            <v>0</v>
          </cell>
          <cell r="CN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0</v>
          </cell>
          <cell r="CU886">
            <v>0</v>
          </cell>
          <cell r="CV886">
            <v>0</v>
          </cell>
          <cell r="CW886">
            <v>0</v>
          </cell>
          <cell r="CX886">
            <v>0</v>
          </cell>
          <cell r="CY886">
            <v>0</v>
          </cell>
          <cell r="CZ886">
            <v>0</v>
          </cell>
          <cell r="DA886">
            <v>0</v>
          </cell>
          <cell r="DB886">
            <v>0</v>
          </cell>
          <cell r="DC886">
            <v>0</v>
          </cell>
          <cell r="DD886">
            <v>0</v>
          </cell>
          <cell r="DE886">
            <v>0</v>
          </cell>
          <cell r="DF886">
            <v>0</v>
          </cell>
          <cell r="DG886">
            <v>0</v>
          </cell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T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  <cell r="EE886">
            <v>0</v>
          </cell>
        </row>
        <row r="887">
          <cell r="F887">
            <v>2E-3</v>
          </cell>
          <cell r="G887">
            <v>2E-3</v>
          </cell>
          <cell r="H887">
            <v>2E-3</v>
          </cell>
          <cell r="I887">
            <v>3.0000000000000001E-3</v>
          </cell>
          <cell r="J887">
            <v>6.0000000000000001E-3</v>
          </cell>
          <cell r="K887">
            <v>3.0000000000000001E-3</v>
          </cell>
          <cell r="L887">
            <v>2E-3</v>
          </cell>
          <cell r="M887">
            <v>1E-3</v>
          </cell>
          <cell r="N887">
            <v>1E-3</v>
          </cell>
          <cell r="O887">
            <v>0</v>
          </cell>
          <cell r="P887">
            <v>3.0000000000000001E-3</v>
          </cell>
          <cell r="Q887">
            <v>2E-3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  <cell r="CF887">
            <v>0</v>
          </cell>
          <cell r="CG887">
            <v>0</v>
          </cell>
          <cell r="CH887">
            <v>0</v>
          </cell>
          <cell r="CI887">
            <v>0</v>
          </cell>
          <cell r="CJ887">
            <v>0</v>
          </cell>
          <cell r="CK887">
            <v>0</v>
          </cell>
          <cell r="CL887">
            <v>0</v>
          </cell>
          <cell r="CM887">
            <v>0</v>
          </cell>
          <cell r="CN887">
            <v>0</v>
          </cell>
          <cell r="CO887">
            <v>0</v>
          </cell>
          <cell r="CP887">
            <v>0</v>
          </cell>
          <cell r="CQ887">
            <v>0</v>
          </cell>
          <cell r="CR887">
            <v>0</v>
          </cell>
          <cell r="CS887">
            <v>0</v>
          </cell>
          <cell r="CT887">
            <v>0</v>
          </cell>
          <cell r="CU887">
            <v>0</v>
          </cell>
          <cell r="CV887">
            <v>0</v>
          </cell>
          <cell r="CW887">
            <v>0</v>
          </cell>
          <cell r="CX887">
            <v>0</v>
          </cell>
          <cell r="CY887">
            <v>0</v>
          </cell>
          <cell r="CZ887">
            <v>0</v>
          </cell>
          <cell r="DA887">
            <v>0</v>
          </cell>
          <cell r="DB887">
            <v>0</v>
          </cell>
          <cell r="DC887">
            <v>0</v>
          </cell>
          <cell r="DD887">
            <v>0</v>
          </cell>
          <cell r="DE887">
            <v>0</v>
          </cell>
          <cell r="DF887">
            <v>0</v>
          </cell>
          <cell r="DG887">
            <v>0</v>
          </cell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T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  <cell r="EE887">
            <v>0</v>
          </cell>
        </row>
        <row r="888">
          <cell r="F888">
            <v>5.0000000000000001E-3</v>
          </cell>
          <cell r="G888">
            <v>6.0000000000000001E-3</v>
          </cell>
          <cell r="H888">
            <v>6.0000000000000001E-3</v>
          </cell>
          <cell r="I888">
            <v>2.4E-2</v>
          </cell>
          <cell r="J888">
            <v>2.5999999999999999E-2</v>
          </cell>
          <cell r="K888">
            <v>1.2E-2</v>
          </cell>
          <cell r="L888">
            <v>3.0000000000000001E-3</v>
          </cell>
          <cell r="M888">
            <v>4.0000000000000001E-3</v>
          </cell>
          <cell r="N888">
            <v>7.0000000000000001E-3</v>
          </cell>
          <cell r="O888">
            <v>6.0000000000000001E-3</v>
          </cell>
          <cell r="P888">
            <v>4.0000000000000001E-3</v>
          </cell>
          <cell r="Q888">
            <v>4.0000000000000001E-3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  <cell r="BK888">
            <v>0</v>
          </cell>
          <cell r="BL888">
            <v>0</v>
          </cell>
          <cell r="BM888">
            <v>0</v>
          </cell>
          <cell r="BN888">
            <v>0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</row>
        <row r="889">
          <cell r="F889">
            <v>3.0000000000000001E-3</v>
          </cell>
          <cell r="G889">
            <v>3.0000000000000001E-3</v>
          </cell>
          <cell r="H889">
            <v>3.0000000000000001E-3</v>
          </cell>
          <cell r="I889">
            <v>6.0000000000000001E-3</v>
          </cell>
          <cell r="J889">
            <v>7.0000000000000001E-3</v>
          </cell>
          <cell r="K889">
            <v>4.0000000000000001E-3</v>
          </cell>
          <cell r="L889">
            <v>1E-3</v>
          </cell>
          <cell r="M889">
            <v>1E-3</v>
          </cell>
          <cell r="N889">
            <v>3.0000000000000001E-3</v>
          </cell>
          <cell r="O889">
            <v>4.0000000000000001E-3</v>
          </cell>
          <cell r="P889">
            <v>2E-3</v>
          </cell>
          <cell r="Q889">
            <v>1E-3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0</v>
          </cell>
          <cell r="CH889">
            <v>0</v>
          </cell>
          <cell r="CI889">
            <v>0</v>
          </cell>
          <cell r="CJ889">
            <v>0</v>
          </cell>
          <cell r="CK889">
            <v>0</v>
          </cell>
          <cell r="CL889">
            <v>0</v>
          </cell>
          <cell r="CM889">
            <v>0</v>
          </cell>
          <cell r="CN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0</v>
          </cell>
          <cell r="CU889">
            <v>0</v>
          </cell>
          <cell r="CV889">
            <v>0</v>
          </cell>
          <cell r="CW889">
            <v>0</v>
          </cell>
          <cell r="CX889">
            <v>0</v>
          </cell>
          <cell r="CY889">
            <v>0</v>
          </cell>
          <cell r="CZ889">
            <v>0</v>
          </cell>
          <cell r="DA889">
            <v>0</v>
          </cell>
          <cell r="DB889">
            <v>0</v>
          </cell>
          <cell r="DC889">
            <v>0</v>
          </cell>
          <cell r="DD889">
            <v>0</v>
          </cell>
          <cell r="DE889">
            <v>0</v>
          </cell>
          <cell r="DF889">
            <v>0</v>
          </cell>
          <cell r="DG889">
            <v>0</v>
          </cell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T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  <cell r="EE889">
            <v>0</v>
          </cell>
        </row>
        <row r="890">
          <cell r="F890">
            <v>0</v>
          </cell>
          <cell r="G890">
            <v>0</v>
          </cell>
          <cell r="H890">
            <v>1E-3</v>
          </cell>
          <cell r="I890">
            <v>2E-3</v>
          </cell>
          <cell r="J890">
            <v>2E-3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0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>
            <v>0</v>
          </cell>
          <cell r="BY890">
            <v>0</v>
          </cell>
          <cell r="BZ890">
            <v>0</v>
          </cell>
          <cell r="CA890">
            <v>0</v>
          </cell>
          <cell r="CB890">
            <v>0</v>
          </cell>
          <cell r="CC890">
            <v>0</v>
          </cell>
          <cell r="CD890">
            <v>0</v>
          </cell>
          <cell r="CE890">
            <v>0</v>
          </cell>
          <cell r="CF890">
            <v>0</v>
          </cell>
          <cell r="CG890">
            <v>0</v>
          </cell>
          <cell r="CH890">
            <v>0</v>
          </cell>
          <cell r="CI890">
            <v>0</v>
          </cell>
          <cell r="CJ890">
            <v>0</v>
          </cell>
          <cell r="CK890">
            <v>0</v>
          </cell>
          <cell r="CL890">
            <v>0</v>
          </cell>
          <cell r="CM890">
            <v>0</v>
          </cell>
          <cell r="CN890">
            <v>0</v>
          </cell>
          <cell r="CO890">
            <v>0</v>
          </cell>
          <cell r="CP890">
            <v>0</v>
          </cell>
          <cell r="CQ890">
            <v>0</v>
          </cell>
          <cell r="CR890">
            <v>0</v>
          </cell>
          <cell r="CS890">
            <v>0</v>
          </cell>
          <cell r="CT890">
            <v>0</v>
          </cell>
          <cell r="CU890">
            <v>0</v>
          </cell>
          <cell r="CV890">
            <v>0</v>
          </cell>
          <cell r="CW890">
            <v>0</v>
          </cell>
          <cell r="CX890">
            <v>0</v>
          </cell>
          <cell r="CY890">
            <v>0</v>
          </cell>
          <cell r="CZ890">
            <v>0</v>
          </cell>
          <cell r="DA890">
            <v>0</v>
          </cell>
          <cell r="DB890">
            <v>0</v>
          </cell>
          <cell r="DC890">
            <v>0</v>
          </cell>
          <cell r="DD890">
            <v>0</v>
          </cell>
          <cell r="DE890">
            <v>0</v>
          </cell>
          <cell r="DF890">
            <v>0</v>
          </cell>
          <cell r="DG890">
            <v>0</v>
          </cell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T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E890">
            <v>0</v>
          </cell>
        </row>
        <row r="891">
          <cell r="F891">
            <v>1.7999999999999999E-2</v>
          </cell>
          <cell r="G891">
            <v>2.5000000000000001E-2</v>
          </cell>
          <cell r="H891">
            <v>2.5999999999999999E-2</v>
          </cell>
          <cell r="I891">
            <v>0.06</v>
          </cell>
          <cell r="J891">
            <v>7.0999999999999994E-2</v>
          </cell>
          <cell r="K891">
            <v>3.4000000000000002E-2</v>
          </cell>
          <cell r="L891">
            <v>1.7999999999999999E-2</v>
          </cell>
          <cell r="M891">
            <v>2.5999999999999999E-2</v>
          </cell>
          <cell r="N891">
            <v>5.1999999999999998E-2</v>
          </cell>
          <cell r="O891">
            <v>2.5999999999999999E-2</v>
          </cell>
          <cell r="P891">
            <v>1.2E-2</v>
          </cell>
          <cell r="Q891">
            <v>1.0999999999999999E-2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0</v>
          </cell>
          <cell r="CH891">
            <v>0</v>
          </cell>
          <cell r="CI891">
            <v>0</v>
          </cell>
          <cell r="CJ891">
            <v>0</v>
          </cell>
          <cell r="CK891">
            <v>0</v>
          </cell>
          <cell r="CL891">
            <v>0</v>
          </cell>
          <cell r="CM891">
            <v>0</v>
          </cell>
          <cell r="CN891">
            <v>0</v>
          </cell>
          <cell r="CO891">
            <v>0</v>
          </cell>
          <cell r="CP891">
            <v>0</v>
          </cell>
          <cell r="CQ891">
            <v>0</v>
          </cell>
          <cell r="CR891">
            <v>0</v>
          </cell>
          <cell r="CS891">
            <v>0</v>
          </cell>
          <cell r="CT891">
            <v>0</v>
          </cell>
          <cell r="CU891">
            <v>0</v>
          </cell>
          <cell r="CV891">
            <v>0</v>
          </cell>
          <cell r="CW891">
            <v>0</v>
          </cell>
          <cell r="CX891">
            <v>0</v>
          </cell>
          <cell r="CY891">
            <v>0</v>
          </cell>
          <cell r="CZ891">
            <v>0</v>
          </cell>
          <cell r="DA891">
            <v>0</v>
          </cell>
          <cell r="DB891">
            <v>0</v>
          </cell>
          <cell r="DC891">
            <v>0</v>
          </cell>
          <cell r="DD891">
            <v>0</v>
          </cell>
          <cell r="DE891">
            <v>0</v>
          </cell>
          <cell r="DF891">
            <v>0</v>
          </cell>
          <cell r="DG891">
            <v>0</v>
          </cell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T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  <cell r="EE891">
            <v>0</v>
          </cell>
        </row>
        <row r="892">
          <cell r="F892">
            <v>0</v>
          </cell>
          <cell r="G892">
            <v>0</v>
          </cell>
          <cell r="H892">
            <v>2E-3</v>
          </cell>
          <cell r="I892">
            <v>2E-3</v>
          </cell>
          <cell r="J892">
            <v>2E-3</v>
          </cell>
          <cell r="K892">
            <v>1E-3</v>
          </cell>
          <cell r="L892">
            <v>0</v>
          </cell>
          <cell r="M892">
            <v>1E-3</v>
          </cell>
          <cell r="N892">
            <v>2E-3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0</v>
          </cell>
          <cell r="CH892">
            <v>0</v>
          </cell>
          <cell r="CI892">
            <v>0</v>
          </cell>
          <cell r="CJ892">
            <v>0</v>
          </cell>
          <cell r="CK892">
            <v>0</v>
          </cell>
          <cell r="CL892">
            <v>0</v>
          </cell>
          <cell r="CM892">
            <v>0</v>
          </cell>
          <cell r="CN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0</v>
          </cell>
          <cell r="CU892">
            <v>0</v>
          </cell>
          <cell r="CV892">
            <v>0</v>
          </cell>
          <cell r="CW892">
            <v>0</v>
          </cell>
          <cell r="CX892">
            <v>0</v>
          </cell>
          <cell r="CY892">
            <v>0</v>
          </cell>
          <cell r="CZ892">
            <v>0</v>
          </cell>
          <cell r="DA892">
            <v>0</v>
          </cell>
          <cell r="DB892">
            <v>0</v>
          </cell>
          <cell r="DC892">
            <v>0</v>
          </cell>
          <cell r="DD892">
            <v>0</v>
          </cell>
          <cell r="DE892">
            <v>0</v>
          </cell>
          <cell r="DF892">
            <v>0</v>
          </cell>
          <cell r="DG892">
            <v>0</v>
          </cell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T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E892">
            <v>0</v>
          </cell>
        </row>
        <row r="894">
          <cell r="F894">
            <v>8.0000000000000002E-3</v>
          </cell>
          <cell r="G894">
            <v>6.0000000000000001E-3</v>
          </cell>
          <cell r="H894">
            <v>4.0000000000000001E-3</v>
          </cell>
          <cell r="I894">
            <v>1E-3</v>
          </cell>
          <cell r="J894">
            <v>1E-3</v>
          </cell>
          <cell r="K894">
            <v>0</v>
          </cell>
          <cell r="L894">
            <v>2E-3</v>
          </cell>
          <cell r="M894">
            <v>4.0000000000000001E-3</v>
          </cell>
          <cell r="N894">
            <v>4.0000000000000001E-3</v>
          </cell>
          <cell r="O894">
            <v>2E-3</v>
          </cell>
          <cell r="P894">
            <v>4.0000000000000001E-3</v>
          </cell>
          <cell r="Q894">
            <v>3.0000000000000001E-3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G894">
            <v>0</v>
          </cell>
          <cell r="CH894">
            <v>0</v>
          </cell>
          <cell r="CI894">
            <v>0</v>
          </cell>
          <cell r="CJ894">
            <v>0</v>
          </cell>
          <cell r="CK894">
            <v>0</v>
          </cell>
          <cell r="CL894">
            <v>0</v>
          </cell>
          <cell r="CM894">
            <v>0</v>
          </cell>
          <cell r="CN894">
            <v>0</v>
          </cell>
          <cell r="CO894">
            <v>0</v>
          </cell>
          <cell r="CP894">
            <v>0</v>
          </cell>
          <cell r="CQ894">
            <v>0</v>
          </cell>
          <cell r="CR894">
            <v>0</v>
          </cell>
          <cell r="CS894">
            <v>0</v>
          </cell>
          <cell r="CT894">
            <v>0</v>
          </cell>
          <cell r="CU894">
            <v>0</v>
          </cell>
          <cell r="CV894">
            <v>0</v>
          </cell>
          <cell r="CW894">
            <v>0</v>
          </cell>
          <cell r="CX894">
            <v>0</v>
          </cell>
          <cell r="CY894">
            <v>0</v>
          </cell>
          <cell r="CZ894">
            <v>0</v>
          </cell>
          <cell r="DA894">
            <v>0</v>
          </cell>
          <cell r="DB894">
            <v>0</v>
          </cell>
          <cell r="DC894">
            <v>0</v>
          </cell>
          <cell r="DD894">
            <v>0</v>
          </cell>
          <cell r="DE894">
            <v>0</v>
          </cell>
          <cell r="DF894">
            <v>0</v>
          </cell>
          <cell r="DG894">
            <v>0</v>
          </cell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T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  <cell r="EE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0</v>
          </cell>
          <cell r="CY895">
            <v>0</v>
          </cell>
          <cell r="CZ895">
            <v>0</v>
          </cell>
          <cell r="DA895">
            <v>0</v>
          </cell>
          <cell r="DB895">
            <v>0</v>
          </cell>
          <cell r="DC895">
            <v>0</v>
          </cell>
          <cell r="DD895">
            <v>0</v>
          </cell>
          <cell r="DE895">
            <v>0</v>
          </cell>
          <cell r="DF895">
            <v>0</v>
          </cell>
          <cell r="DG895">
            <v>0</v>
          </cell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T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E895">
            <v>0</v>
          </cell>
        </row>
        <row r="896">
          <cell r="F896">
            <v>0.01</v>
          </cell>
          <cell r="G896">
            <v>8.9999999999999993E-3</v>
          </cell>
          <cell r="H896">
            <v>5.0000000000000001E-3</v>
          </cell>
          <cell r="I896">
            <v>2E-3</v>
          </cell>
          <cell r="J896">
            <v>1E-3</v>
          </cell>
          <cell r="K896">
            <v>3.0000000000000001E-3</v>
          </cell>
          <cell r="L896">
            <v>3.0000000000000001E-3</v>
          </cell>
          <cell r="M896">
            <v>4.0000000000000001E-3</v>
          </cell>
          <cell r="N896">
            <v>4.0000000000000001E-3</v>
          </cell>
          <cell r="O896">
            <v>2E-3</v>
          </cell>
          <cell r="P896">
            <v>7.0000000000000001E-3</v>
          </cell>
          <cell r="Q896">
            <v>1.0999999999999999E-2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0</v>
          </cell>
          <cell r="CH896">
            <v>0</v>
          </cell>
          <cell r="CI896">
            <v>0</v>
          </cell>
          <cell r="CJ896">
            <v>0</v>
          </cell>
          <cell r="CK896">
            <v>0</v>
          </cell>
          <cell r="CL896">
            <v>0</v>
          </cell>
          <cell r="CM896">
            <v>0</v>
          </cell>
          <cell r="CN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0</v>
          </cell>
          <cell r="CU896">
            <v>0</v>
          </cell>
          <cell r="CV896">
            <v>0</v>
          </cell>
          <cell r="CW896">
            <v>0</v>
          </cell>
          <cell r="CX896">
            <v>0</v>
          </cell>
          <cell r="CY896">
            <v>0</v>
          </cell>
          <cell r="CZ896">
            <v>0</v>
          </cell>
          <cell r="DA896">
            <v>0</v>
          </cell>
          <cell r="DB896">
            <v>0</v>
          </cell>
          <cell r="DC896">
            <v>0</v>
          </cell>
          <cell r="DD896">
            <v>0</v>
          </cell>
          <cell r="DE896">
            <v>0</v>
          </cell>
          <cell r="DF896">
            <v>0</v>
          </cell>
          <cell r="DG896">
            <v>0</v>
          </cell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T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  <cell r="EE896">
            <v>0</v>
          </cell>
        </row>
        <row r="897"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0</v>
          </cell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G897">
            <v>0</v>
          </cell>
          <cell r="CH897">
            <v>0</v>
          </cell>
          <cell r="CI897">
            <v>0</v>
          </cell>
          <cell r="CJ897">
            <v>0</v>
          </cell>
          <cell r="CK897">
            <v>0</v>
          </cell>
          <cell r="CL897">
            <v>0</v>
          </cell>
          <cell r="CM897">
            <v>0</v>
          </cell>
          <cell r="CN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0</v>
          </cell>
          <cell r="CU897">
            <v>0</v>
          </cell>
          <cell r="CV897">
            <v>0</v>
          </cell>
          <cell r="CW897">
            <v>0</v>
          </cell>
          <cell r="CX897">
            <v>0</v>
          </cell>
          <cell r="CY897">
            <v>0</v>
          </cell>
          <cell r="CZ897">
            <v>0</v>
          </cell>
          <cell r="DA897">
            <v>0</v>
          </cell>
          <cell r="DB897">
            <v>0</v>
          </cell>
          <cell r="DC897">
            <v>0</v>
          </cell>
          <cell r="DD897">
            <v>0</v>
          </cell>
          <cell r="DE897">
            <v>0</v>
          </cell>
          <cell r="DF897">
            <v>0</v>
          </cell>
          <cell r="DG897">
            <v>0</v>
          </cell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T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  <cell r="EE897">
            <v>0</v>
          </cell>
        </row>
        <row r="898">
          <cell r="F898">
            <v>0</v>
          </cell>
          <cell r="G898">
            <v>1.2999999999999999E-2</v>
          </cell>
          <cell r="H898">
            <v>1E-3</v>
          </cell>
          <cell r="I898">
            <v>3.9E-2</v>
          </cell>
          <cell r="J898">
            <v>6.8000000000000005E-2</v>
          </cell>
          <cell r="K898">
            <v>1.0999999999999999E-2</v>
          </cell>
          <cell r="L898">
            <v>0</v>
          </cell>
          <cell r="M898">
            <v>5.0000000000000001E-3</v>
          </cell>
          <cell r="N898">
            <v>6.0000000000000001E-3</v>
          </cell>
          <cell r="O898">
            <v>1.7000000000000001E-2</v>
          </cell>
          <cell r="P898">
            <v>1E-3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  <cell r="CF898">
            <v>0</v>
          </cell>
          <cell r="CG898">
            <v>0</v>
          </cell>
          <cell r="CH898">
            <v>0</v>
          </cell>
          <cell r="CI898">
            <v>0</v>
          </cell>
          <cell r="CJ898">
            <v>0</v>
          </cell>
          <cell r="CK898">
            <v>0</v>
          </cell>
          <cell r="CL898">
            <v>0</v>
          </cell>
          <cell r="CM898">
            <v>0</v>
          </cell>
          <cell r="CN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0</v>
          </cell>
          <cell r="CU898">
            <v>0</v>
          </cell>
          <cell r="CV898">
            <v>0</v>
          </cell>
          <cell r="CW898">
            <v>0</v>
          </cell>
          <cell r="CX898">
            <v>0</v>
          </cell>
          <cell r="CY898">
            <v>0</v>
          </cell>
          <cell r="CZ898">
            <v>0</v>
          </cell>
          <cell r="DA898">
            <v>0</v>
          </cell>
          <cell r="DB898">
            <v>0</v>
          </cell>
          <cell r="DC898">
            <v>0</v>
          </cell>
          <cell r="DD898">
            <v>0</v>
          </cell>
          <cell r="DE898">
            <v>0</v>
          </cell>
          <cell r="DF898">
            <v>0</v>
          </cell>
          <cell r="DG898">
            <v>0</v>
          </cell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T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E898">
            <v>0</v>
          </cell>
        </row>
        <row r="899">
          <cell r="F899">
            <v>4.0000000000000001E-3</v>
          </cell>
          <cell r="G899">
            <v>4.0000000000000001E-3</v>
          </cell>
          <cell r="H899">
            <v>1E-3</v>
          </cell>
          <cell r="I899">
            <v>1E-3</v>
          </cell>
          <cell r="J899">
            <v>2E-3</v>
          </cell>
          <cell r="K899">
            <v>2E-3</v>
          </cell>
          <cell r="L899">
            <v>0</v>
          </cell>
          <cell r="M899">
            <v>0</v>
          </cell>
          <cell r="N899">
            <v>0</v>
          </cell>
          <cell r="O899">
            <v>2E-3</v>
          </cell>
          <cell r="P899">
            <v>1E-3</v>
          </cell>
          <cell r="Q899">
            <v>3.0000000000000001E-3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0</v>
          </cell>
          <cell r="BT899">
            <v>0</v>
          </cell>
          <cell r="BU899">
            <v>0</v>
          </cell>
          <cell r="BV899">
            <v>0</v>
          </cell>
          <cell r="BW899">
            <v>0</v>
          </cell>
          <cell r="BX899">
            <v>0</v>
          </cell>
          <cell r="BY899">
            <v>0</v>
          </cell>
          <cell r="BZ899">
            <v>0</v>
          </cell>
          <cell r="CA899">
            <v>0</v>
          </cell>
          <cell r="CB899">
            <v>0</v>
          </cell>
          <cell r="CC899">
            <v>0</v>
          </cell>
          <cell r="CD899">
            <v>0</v>
          </cell>
          <cell r="CE899">
            <v>0</v>
          </cell>
          <cell r="CF899">
            <v>0</v>
          </cell>
          <cell r="CG899">
            <v>0</v>
          </cell>
          <cell r="CH899">
            <v>0</v>
          </cell>
          <cell r="CI899">
            <v>0</v>
          </cell>
          <cell r="CJ899">
            <v>0</v>
          </cell>
          <cell r="CK899">
            <v>0</v>
          </cell>
          <cell r="CL899">
            <v>0</v>
          </cell>
          <cell r="CM899">
            <v>0</v>
          </cell>
          <cell r="CN899">
            <v>0</v>
          </cell>
          <cell r="CO899">
            <v>0</v>
          </cell>
          <cell r="CP899">
            <v>0</v>
          </cell>
          <cell r="CQ899">
            <v>0</v>
          </cell>
          <cell r="CR899">
            <v>0</v>
          </cell>
          <cell r="CS899">
            <v>0</v>
          </cell>
          <cell r="CT899">
            <v>0</v>
          </cell>
          <cell r="CU899">
            <v>0</v>
          </cell>
          <cell r="CV899">
            <v>0</v>
          </cell>
          <cell r="CW899">
            <v>0</v>
          </cell>
          <cell r="CX899">
            <v>0</v>
          </cell>
          <cell r="CY899">
            <v>0</v>
          </cell>
          <cell r="CZ899">
            <v>0</v>
          </cell>
          <cell r="DA899">
            <v>0</v>
          </cell>
          <cell r="DB899">
            <v>0</v>
          </cell>
          <cell r="DC899">
            <v>0</v>
          </cell>
          <cell r="DD899">
            <v>0</v>
          </cell>
          <cell r="DE899">
            <v>0</v>
          </cell>
          <cell r="DF899">
            <v>0</v>
          </cell>
          <cell r="DG899">
            <v>0</v>
          </cell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T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  <cell r="EE899">
            <v>0</v>
          </cell>
        </row>
        <row r="900">
          <cell r="F900">
            <v>0</v>
          </cell>
          <cell r="G900">
            <v>1E-3</v>
          </cell>
          <cell r="H900">
            <v>0</v>
          </cell>
          <cell r="I900">
            <v>3.0000000000000001E-3</v>
          </cell>
          <cell r="J900">
            <v>1E-3</v>
          </cell>
          <cell r="K900">
            <v>2E-3</v>
          </cell>
          <cell r="L900">
            <v>1E-3</v>
          </cell>
          <cell r="M900">
            <v>2E-3</v>
          </cell>
          <cell r="N900">
            <v>1E-3</v>
          </cell>
          <cell r="O900">
            <v>1E-3</v>
          </cell>
          <cell r="P900">
            <v>1E-3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0</v>
          </cell>
          <cell r="BS900">
            <v>0</v>
          </cell>
          <cell r="BT900">
            <v>0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  <cell r="CF900">
            <v>0</v>
          </cell>
          <cell r="CG900">
            <v>0</v>
          </cell>
          <cell r="CH900">
            <v>0</v>
          </cell>
          <cell r="CI900">
            <v>0</v>
          </cell>
          <cell r="CJ900">
            <v>0</v>
          </cell>
          <cell r="CK900">
            <v>0</v>
          </cell>
          <cell r="CL900">
            <v>0</v>
          </cell>
          <cell r="CM900">
            <v>0</v>
          </cell>
          <cell r="CN900">
            <v>0</v>
          </cell>
          <cell r="CO900">
            <v>0</v>
          </cell>
          <cell r="CP900">
            <v>0</v>
          </cell>
          <cell r="CQ900">
            <v>0</v>
          </cell>
          <cell r="CR900">
            <v>0</v>
          </cell>
          <cell r="CS900">
            <v>0</v>
          </cell>
          <cell r="CT900">
            <v>0</v>
          </cell>
          <cell r="CU900">
            <v>0</v>
          </cell>
          <cell r="CV900">
            <v>0</v>
          </cell>
          <cell r="CW900">
            <v>0</v>
          </cell>
          <cell r="CX900">
            <v>0</v>
          </cell>
          <cell r="CY900">
            <v>0</v>
          </cell>
          <cell r="CZ900">
            <v>0</v>
          </cell>
          <cell r="DA900">
            <v>0</v>
          </cell>
          <cell r="DB900">
            <v>0</v>
          </cell>
          <cell r="DC900">
            <v>0</v>
          </cell>
          <cell r="DD900">
            <v>0</v>
          </cell>
          <cell r="DE900">
            <v>0</v>
          </cell>
          <cell r="DF900">
            <v>0</v>
          </cell>
          <cell r="DG900">
            <v>0</v>
          </cell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T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  <cell r="EE900">
            <v>0</v>
          </cell>
        </row>
        <row r="901">
          <cell r="F901">
            <v>-8.0000000000000002E-3</v>
          </cell>
          <cell r="G901">
            <v>2E-3</v>
          </cell>
          <cell r="H901">
            <v>2E-3</v>
          </cell>
          <cell r="I901">
            <v>2E-3</v>
          </cell>
          <cell r="J901">
            <v>1E-3</v>
          </cell>
          <cell r="K901">
            <v>2E-3</v>
          </cell>
          <cell r="L901">
            <v>2E-3</v>
          </cell>
          <cell r="M901">
            <v>2E-3</v>
          </cell>
          <cell r="N901">
            <v>3.0000000000000001E-3</v>
          </cell>
          <cell r="O901">
            <v>1E-3</v>
          </cell>
          <cell r="P901">
            <v>3.0000000000000001E-3</v>
          </cell>
          <cell r="Q901">
            <v>2E-3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  <cell r="BK901">
            <v>0</v>
          </cell>
          <cell r="BL901">
            <v>0</v>
          </cell>
          <cell r="BM901">
            <v>0</v>
          </cell>
          <cell r="BN901">
            <v>0</v>
          </cell>
          <cell r="BO901">
            <v>0</v>
          </cell>
          <cell r="BP901">
            <v>0</v>
          </cell>
          <cell r="BQ901">
            <v>0</v>
          </cell>
          <cell r="BR901">
            <v>0</v>
          </cell>
          <cell r="BS901">
            <v>0</v>
          </cell>
          <cell r="BT901">
            <v>0</v>
          </cell>
          <cell r="BU901">
            <v>0</v>
          </cell>
          <cell r="BV901">
            <v>0</v>
          </cell>
          <cell r="BW901">
            <v>0</v>
          </cell>
          <cell r="BX901">
            <v>0</v>
          </cell>
          <cell r="BY901">
            <v>0</v>
          </cell>
          <cell r="BZ901">
            <v>0</v>
          </cell>
          <cell r="CA901">
            <v>0</v>
          </cell>
          <cell r="CB901">
            <v>0</v>
          </cell>
          <cell r="CC901">
            <v>0</v>
          </cell>
          <cell r="CD901">
            <v>0</v>
          </cell>
          <cell r="CE901">
            <v>0</v>
          </cell>
          <cell r="CF901">
            <v>0</v>
          </cell>
          <cell r="CG901">
            <v>0</v>
          </cell>
          <cell r="CH901">
            <v>0</v>
          </cell>
          <cell r="CI901">
            <v>0</v>
          </cell>
          <cell r="CJ901">
            <v>0</v>
          </cell>
          <cell r="CK901">
            <v>0</v>
          </cell>
          <cell r="CL901">
            <v>0</v>
          </cell>
          <cell r="CM901">
            <v>0</v>
          </cell>
          <cell r="CN901">
            <v>0</v>
          </cell>
          <cell r="CO901">
            <v>0</v>
          </cell>
          <cell r="CP901">
            <v>0</v>
          </cell>
          <cell r="CQ901">
            <v>0</v>
          </cell>
          <cell r="CR901">
            <v>0</v>
          </cell>
          <cell r="CS901">
            <v>0</v>
          </cell>
          <cell r="CT901">
            <v>0</v>
          </cell>
          <cell r="CU901">
            <v>0</v>
          </cell>
          <cell r="CV901">
            <v>0</v>
          </cell>
          <cell r="CW901">
            <v>0</v>
          </cell>
          <cell r="CX901">
            <v>0</v>
          </cell>
          <cell r="CY901">
            <v>0</v>
          </cell>
          <cell r="CZ901">
            <v>0</v>
          </cell>
          <cell r="DA901">
            <v>0</v>
          </cell>
          <cell r="DB901">
            <v>0</v>
          </cell>
          <cell r="DC901">
            <v>0</v>
          </cell>
          <cell r="DD901">
            <v>0</v>
          </cell>
          <cell r="DE901">
            <v>0</v>
          </cell>
          <cell r="DF901">
            <v>0</v>
          </cell>
          <cell r="DG901">
            <v>0</v>
          </cell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T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  <cell r="EE901">
            <v>0</v>
          </cell>
        </row>
        <row r="902">
          <cell r="F902">
            <v>0.14199999999999999</v>
          </cell>
          <cell r="G902">
            <v>8.2000000000000003E-2</v>
          </cell>
          <cell r="H902">
            <v>8.5999999999999993E-2</v>
          </cell>
          <cell r="I902">
            <v>0.253</v>
          </cell>
          <cell r="J902">
            <v>0.157</v>
          </cell>
          <cell r="K902">
            <v>0.32400000000000001</v>
          </cell>
          <cell r="L902">
            <v>9.9000000000000005E-2</v>
          </cell>
          <cell r="M902">
            <v>0.23100000000000001</v>
          </cell>
          <cell r="N902">
            <v>0.57799999999999996</v>
          </cell>
          <cell r="O902">
            <v>0.17499999999999999</v>
          </cell>
          <cell r="P902">
            <v>0.56000000000000005</v>
          </cell>
          <cell r="Q902">
            <v>0.187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  <cell r="BQ902">
            <v>0</v>
          </cell>
          <cell r="BR902">
            <v>0</v>
          </cell>
          <cell r="BS902">
            <v>0</v>
          </cell>
          <cell r="BT902">
            <v>0</v>
          </cell>
          <cell r="BU902">
            <v>0</v>
          </cell>
          <cell r="BV902">
            <v>0</v>
          </cell>
          <cell r="BW902">
            <v>0</v>
          </cell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0</v>
          </cell>
          <cell r="CD902">
            <v>0</v>
          </cell>
          <cell r="CE902">
            <v>0</v>
          </cell>
          <cell r="CF902">
            <v>0</v>
          </cell>
          <cell r="CG902">
            <v>0</v>
          </cell>
          <cell r="CH902">
            <v>0</v>
          </cell>
          <cell r="CI902">
            <v>0</v>
          </cell>
          <cell r="CJ902">
            <v>0</v>
          </cell>
          <cell r="CK902">
            <v>0</v>
          </cell>
          <cell r="CL902">
            <v>0</v>
          </cell>
          <cell r="CM902">
            <v>0</v>
          </cell>
          <cell r="CN902">
            <v>0</v>
          </cell>
          <cell r="CO902">
            <v>0</v>
          </cell>
          <cell r="CP902">
            <v>0</v>
          </cell>
          <cell r="CQ902">
            <v>0</v>
          </cell>
          <cell r="CR902">
            <v>0</v>
          </cell>
          <cell r="CS902">
            <v>0</v>
          </cell>
          <cell r="CT902">
            <v>0</v>
          </cell>
          <cell r="CU902">
            <v>0</v>
          </cell>
          <cell r="CV902">
            <v>0</v>
          </cell>
          <cell r="CW902">
            <v>0</v>
          </cell>
          <cell r="CX902">
            <v>0</v>
          </cell>
          <cell r="CY902">
            <v>0</v>
          </cell>
          <cell r="CZ902">
            <v>0</v>
          </cell>
          <cell r="DA902">
            <v>0</v>
          </cell>
          <cell r="DB902">
            <v>0</v>
          </cell>
          <cell r="DC902">
            <v>0</v>
          </cell>
          <cell r="DD902">
            <v>0</v>
          </cell>
          <cell r="DE902">
            <v>0</v>
          </cell>
          <cell r="DF902">
            <v>0</v>
          </cell>
          <cell r="DG902">
            <v>0</v>
          </cell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T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  <cell r="EE902">
            <v>0</v>
          </cell>
        </row>
        <row r="904"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0</v>
          </cell>
          <cell r="CJ904">
            <v>0</v>
          </cell>
          <cell r="CK904">
            <v>0</v>
          </cell>
          <cell r="CL904">
            <v>0</v>
          </cell>
          <cell r="CM904">
            <v>0</v>
          </cell>
          <cell r="CN904">
            <v>0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0</v>
          </cell>
          <cell r="CU904">
            <v>0</v>
          </cell>
          <cell r="CV904">
            <v>0</v>
          </cell>
          <cell r="CW904">
            <v>0</v>
          </cell>
          <cell r="CX904">
            <v>0</v>
          </cell>
          <cell r="CY904">
            <v>0</v>
          </cell>
          <cell r="CZ904">
            <v>0</v>
          </cell>
          <cell r="DA904">
            <v>0</v>
          </cell>
          <cell r="DB904">
            <v>0</v>
          </cell>
          <cell r="DC904">
            <v>0</v>
          </cell>
          <cell r="DD904">
            <v>0</v>
          </cell>
          <cell r="DE904">
            <v>0</v>
          </cell>
          <cell r="DF904">
            <v>0</v>
          </cell>
          <cell r="DG904">
            <v>0</v>
          </cell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T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  <cell r="EE904">
            <v>0</v>
          </cell>
        </row>
        <row r="905"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0</v>
          </cell>
          <cell r="BK905">
            <v>0</v>
          </cell>
          <cell r="BL905">
            <v>0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</row>
        <row r="906"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  <cell r="BL906">
            <v>0</v>
          </cell>
          <cell r="BM906">
            <v>0</v>
          </cell>
          <cell r="BN906">
            <v>0</v>
          </cell>
          <cell r="BO906">
            <v>0</v>
          </cell>
          <cell r="BP906">
            <v>0</v>
          </cell>
          <cell r="BQ906">
            <v>0</v>
          </cell>
          <cell r="BR906">
            <v>0</v>
          </cell>
          <cell r="BS906">
            <v>0</v>
          </cell>
          <cell r="BT906">
            <v>0</v>
          </cell>
          <cell r="BU906">
            <v>0</v>
          </cell>
          <cell r="BV906">
            <v>0</v>
          </cell>
          <cell r="BW906">
            <v>0</v>
          </cell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0</v>
          </cell>
          <cell r="CJ906">
            <v>0</v>
          </cell>
          <cell r="CK906">
            <v>0</v>
          </cell>
          <cell r="CL906">
            <v>0</v>
          </cell>
          <cell r="CM906">
            <v>0</v>
          </cell>
          <cell r="CN906">
            <v>0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0</v>
          </cell>
          <cell r="CU906">
            <v>0</v>
          </cell>
          <cell r="CV906">
            <v>0</v>
          </cell>
          <cell r="CW906">
            <v>0</v>
          </cell>
          <cell r="CX906">
            <v>0</v>
          </cell>
          <cell r="CY906">
            <v>0</v>
          </cell>
          <cell r="CZ906">
            <v>0</v>
          </cell>
          <cell r="DA906">
            <v>0</v>
          </cell>
          <cell r="DB906">
            <v>0</v>
          </cell>
          <cell r="DC906">
            <v>0</v>
          </cell>
          <cell r="DD906">
            <v>0</v>
          </cell>
          <cell r="DE906">
            <v>0</v>
          </cell>
          <cell r="DF906">
            <v>0</v>
          </cell>
          <cell r="DG906">
            <v>0</v>
          </cell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T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  <cell r="EE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0</v>
          </cell>
          <cell r="CJ907">
            <v>0</v>
          </cell>
          <cell r="CK907">
            <v>0</v>
          </cell>
          <cell r="CL907">
            <v>0</v>
          </cell>
          <cell r="CM907">
            <v>0</v>
          </cell>
          <cell r="CN907">
            <v>0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0</v>
          </cell>
          <cell r="CU907">
            <v>0</v>
          </cell>
          <cell r="CV907">
            <v>0</v>
          </cell>
          <cell r="CW907">
            <v>0</v>
          </cell>
          <cell r="CX907">
            <v>0</v>
          </cell>
          <cell r="CY907">
            <v>0</v>
          </cell>
          <cell r="CZ907">
            <v>0</v>
          </cell>
          <cell r="DA907">
            <v>0</v>
          </cell>
          <cell r="DB907">
            <v>0</v>
          </cell>
          <cell r="DC907">
            <v>0</v>
          </cell>
          <cell r="DD907">
            <v>0</v>
          </cell>
          <cell r="DE907">
            <v>0</v>
          </cell>
          <cell r="DF907">
            <v>0</v>
          </cell>
          <cell r="DG907">
            <v>0</v>
          </cell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T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  <cell r="EE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0</v>
          </cell>
          <cell r="CJ908">
            <v>0</v>
          </cell>
          <cell r="CK908">
            <v>0</v>
          </cell>
          <cell r="CL908">
            <v>0</v>
          </cell>
          <cell r="CM908">
            <v>0</v>
          </cell>
          <cell r="CN908">
            <v>0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0</v>
          </cell>
          <cell r="CU908">
            <v>0</v>
          </cell>
          <cell r="CV908">
            <v>0</v>
          </cell>
          <cell r="CW908">
            <v>0</v>
          </cell>
          <cell r="CX908">
            <v>0</v>
          </cell>
          <cell r="CY908">
            <v>0</v>
          </cell>
          <cell r="CZ908">
            <v>0</v>
          </cell>
          <cell r="DA908">
            <v>0</v>
          </cell>
          <cell r="DB908">
            <v>0</v>
          </cell>
          <cell r="DC908">
            <v>0</v>
          </cell>
          <cell r="DD908">
            <v>0</v>
          </cell>
          <cell r="DE908">
            <v>0</v>
          </cell>
          <cell r="DF908">
            <v>0</v>
          </cell>
          <cell r="DG908">
            <v>0</v>
          </cell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T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E908">
            <v>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  <cell r="CF909">
            <v>0</v>
          </cell>
          <cell r="CG909">
            <v>0</v>
          </cell>
          <cell r="CH909">
            <v>0</v>
          </cell>
          <cell r="CI909">
            <v>0</v>
          </cell>
          <cell r="CJ909">
            <v>0</v>
          </cell>
          <cell r="CK909">
            <v>0</v>
          </cell>
          <cell r="CL909">
            <v>0</v>
          </cell>
          <cell r="CM909">
            <v>0</v>
          </cell>
          <cell r="CN909">
            <v>0</v>
          </cell>
          <cell r="CO909">
            <v>0</v>
          </cell>
          <cell r="CP909">
            <v>0</v>
          </cell>
          <cell r="CQ909">
            <v>0</v>
          </cell>
          <cell r="CR909">
            <v>0</v>
          </cell>
          <cell r="CS909">
            <v>0</v>
          </cell>
          <cell r="CT909">
            <v>0</v>
          </cell>
          <cell r="CU909">
            <v>0</v>
          </cell>
          <cell r="CV909">
            <v>0</v>
          </cell>
          <cell r="CW909">
            <v>0</v>
          </cell>
          <cell r="CX909">
            <v>0</v>
          </cell>
          <cell r="CY909">
            <v>0</v>
          </cell>
          <cell r="CZ909">
            <v>0</v>
          </cell>
          <cell r="DA909">
            <v>0</v>
          </cell>
          <cell r="DB909">
            <v>0</v>
          </cell>
          <cell r="DC909">
            <v>0</v>
          </cell>
          <cell r="DD909">
            <v>0</v>
          </cell>
          <cell r="DE909">
            <v>0</v>
          </cell>
          <cell r="DF909">
            <v>0</v>
          </cell>
          <cell r="DG909">
            <v>0</v>
          </cell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T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  <cell r="EE909">
            <v>0</v>
          </cell>
        </row>
        <row r="910"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2.8000000000000001E-2</v>
          </cell>
          <cell r="L910">
            <v>0.01</v>
          </cell>
          <cell r="M910">
            <v>2.3E-2</v>
          </cell>
          <cell r="N910">
            <v>4.2000000000000003E-2</v>
          </cell>
          <cell r="O910">
            <v>1.4999999999999999E-2</v>
          </cell>
          <cell r="P910">
            <v>2.1999999999999999E-2</v>
          </cell>
          <cell r="Q910">
            <v>2.1999999999999999E-2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  <cell r="BQ910">
            <v>0</v>
          </cell>
          <cell r="BR910">
            <v>0</v>
          </cell>
          <cell r="BS910">
            <v>0</v>
          </cell>
          <cell r="BT910">
            <v>0</v>
          </cell>
          <cell r="BU910">
            <v>0</v>
          </cell>
          <cell r="BV910">
            <v>0</v>
          </cell>
          <cell r="BW910">
            <v>0</v>
          </cell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0</v>
          </cell>
          <cell r="CF910">
            <v>0</v>
          </cell>
          <cell r="CG910">
            <v>0</v>
          </cell>
          <cell r="CH910">
            <v>0</v>
          </cell>
          <cell r="CI910">
            <v>0</v>
          </cell>
          <cell r="CJ910">
            <v>0</v>
          </cell>
          <cell r="CK910">
            <v>0</v>
          </cell>
          <cell r="CL910">
            <v>0</v>
          </cell>
          <cell r="CM910">
            <v>0</v>
          </cell>
          <cell r="CN910">
            <v>0</v>
          </cell>
          <cell r="CO910">
            <v>0</v>
          </cell>
          <cell r="CP910">
            <v>0</v>
          </cell>
          <cell r="CQ910">
            <v>0</v>
          </cell>
          <cell r="CR910">
            <v>0</v>
          </cell>
          <cell r="CS910">
            <v>0</v>
          </cell>
          <cell r="CT910">
            <v>0</v>
          </cell>
          <cell r="CU910">
            <v>0</v>
          </cell>
          <cell r="CV910">
            <v>0</v>
          </cell>
          <cell r="CW910">
            <v>0</v>
          </cell>
          <cell r="CX910">
            <v>0</v>
          </cell>
          <cell r="CY910">
            <v>0</v>
          </cell>
          <cell r="CZ910">
            <v>0</v>
          </cell>
          <cell r="DA910">
            <v>0</v>
          </cell>
          <cell r="DB910">
            <v>0</v>
          </cell>
          <cell r="DC910">
            <v>0</v>
          </cell>
          <cell r="DD910">
            <v>0</v>
          </cell>
          <cell r="DE910">
            <v>0</v>
          </cell>
          <cell r="DF910">
            <v>0</v>
          </cell>
          <cell r="DG910">
            <v>0</v>
          </cell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T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  <cell r="EE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4.5999999999999999E-2</v>
          </cell>
          <cell r="L911">
            <v>1.4999999999999999E-2</v>
          </cell>
          <cell r="M911">
            <v>3.9E-2</v>
          </cell>
          <cell r="N911">
            <v>6.0999999999999999E-2</v>
          </cell>
          <cell r="O911">
            <v>2.1999999999999999E-2</v>
          </cell>
          <cell r="P911">
            <v>4.1000000000000002E-2</v>
          </cell>
          <cell r="Q911">
            <v>0.03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0</v>
          </cell>
          <cell r="CF911">
            <v>0</v>
          </cell>
          <cell r="CG911">
            <v>0</v>
          </cell>
          <cell r="CH911">
            <v>0</v>
          </cell>
          <cell r="CI911">
            <v>0</v>
          </cell>
          <cell r="CJ911">
            <v>0</v>
          </cell>
          <cell r="CK911">
            <v>0</v>
          </cell>
          <cell r="CL911">
            <v>0</v>
          </cell>
          <cell r="CM911">
            <v>0</v>
          </cell>
          <cell r="CN911">
            <v>0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0</v>
          </cell>
          <cell r="CU911">
            <v>0</v>
          </cell>
          <cell r="CV911">
            <v>0</v>
          </cell>
          <cell r="CW911">
            <v>0</v>
          </cell>
          <cell r="CX911">
            <v>0</v>
          </cell>
          <cell r="CY911">
            <v>0</v>
          </cell>
          <cell r="CZ911">
            <v>0</v>
          </cell>
          <cell r="DA911">
            <v>0</v>
          </cell>
          <cell r="DB911">
            <v>0</v>
          </cell>
          <cell r="DC911">
            <v>0</v>
          </cell>
          <cell r="DD911">
            <v>0</v>
          </cell>
          <cell r="DE911">
            <v>0</v>
          </cell>
          <cell r="DF911">
            <v>0</v>
          </cell>
          <cell r="DG911">
            <v>0</v>
          </cell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T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  <cell r="EE911">
            <v>0</v>
          </cell>
        </row>
        <row r="912"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  <cell r="BH912">
            <v>0</v>
          </cell>
          <cell r="BI912">
            <v>0</v>
          </cell>
          <cell r="BJ912">
            <v>0</v>
          </cell>
          <cell r="BK912">
            <v>0</v>
          </cell>
          <cell r="BL912">
            <v>0</v>
          </cell>
          <cell r="BM912">
            <v>0</v>
          </cell>
          <cell r="BN912">
            <v>0</v>
          </cell>
          <cell r="BO912">
            <v>0</v>
          </cell>
          <cell r="BP912">
            <v>0</v>
          </cell>
          <cell r="BQ912">
            <v>0</v>
          </cell>
          <cell r="BR912">
            <v>0</v>
          </cell>
          <cell r="BS912">
            <v>0</v>
          </cell>
          <cell r="BT912">
            <v>0</v>
          </cell>
          <cell r="BU912">
            <v>0</v>
          </cell>
          <cell r="BV912">
            <v>0</v>
          </cell>
          <cell r="BW912">
            <v>0</v>
          </cell>
          <cell r="BX912">
            <v>0</v>
          </cell>
          <cell r="BY912">
            <v>0</v>
          </cell>
          <cell r="BZ912">
            <v>0</v>
          </cell>
          <cell r="CA912">
            <v>0</v>
          </cell>
          <cell r="CB912">
            <v>0</v>
          </cell>
          <cell r="CC912">
            <v>0</v>
          </cell>
          <cell r="CD912">
            <v>0</v>
          </cell>
          <cell r="CE912">
            <v>0</v>
          </cell>
          <cell r="CF912">
            <v>0</v>
          </cell>
          <cell r="CG912">
            <v>0</v>
          </cell>
          <cell r="CH912">
            <v>0</v>
          </cell>
          <cell r="CI912">
            <v>0</v>
          </cell>
          <cell r="CJ912">
            <v>0</v>
          </cell>
          <cell r="CK912">
            <v>0</v>
          </cell>
          <cell r="CL912">
            <v>0</v>
          </cell>
          <cell r="CM912">
            <v>0</v>
          </cell>
          <cell r="CN912">
            <v>0</v>
          </cell>
          <cell r="CO912">
            <v>0</v>
          </cell>
          <cell r="CP912">
            <v>0</v>
          </cell>
          <cell r="CQ912">
            <v>0</v>
          </cell>
          <cell r="CR912">
            <v>0</v>
          </cell>
          <cell r="CS912">
            <v>0</v>
          </cell>
          <cell r="CT912">
            <v>0</v>
          </cell>
          <cell r="CU912">
            <v>0</v>
          </cell>
          <cell r="CV912">
            <v>0</v>
          </cell>
          <cell r="CW912">
            <v>0</v>
          </cell>
          <cell r="CX912">
            <v>0</v>
          </cell>
          <cell r="CY912">
            <v>0</v>
          </cell>
          <cell r="CZ912">
            <v>0</v>
          </cell>
          <cell r="DA912">
            <v>0</v>
          </cell>
          <cell r="DB912">
            <v>0</v>
          </cell>
          <cell r="DC912">
            <v>0</v>
          </cell>
          <cell r="DD912">
            <v>0</v>
          </cell>
          <cell r="DE912">
            <v>0</v>
          </cell>
          <cell r="DF912">
            <v>0</v>
          </cell>
          <cell r="DG912">
            <v>0</v>
          </cell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T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  <cell r="EE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  <cell r="BH913">
            <v>0</v>
          </cell>
          <cell r="BI913">
            <v>0</v>
          </cell>
          <cell r="BJ913">
            <v>0</v>
          </cell>
          <cell r="BK913">
            <v>0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  <cell r="BQ913">
            <v>0</v>
          </cell>
          <cell r="BR913">
            <v>0</v>
          </cell>
          <cell r="BS913">
            <v>0</v>
          </cell>
          <cell r="BT913">
            <v>0</v>
          </cell>
          <cell r="BU913">
            <v>0</v>
          </cell>
          <cell r="BV913">
            <v>0</v>
          </cell>
          <cell r="BW913">
            <v>0</v>
          </cell>
          <cell r="BX913">
            <v>0</v>
          </cell>
          <cell r="BY913">
            <v>0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0</v>
          </cell>
          <cell r="CE913">
            <v>0</v>
          </cell>
          <cell r="CF913">
            <v>0</v>
          </cell>
          <cell r="CG913">
            <v>0</v>
          </cell>
          <cell r="CH913">
            <v>0</v>
          </cell>
          <cell r="CI913">
            <v>0</v>
          </cell>
          <cell r="CJ913">
            <v>0</v>
          </cell>
          <cell r="CK913">
            <v>0</v>
          </cell>
          <cell r="CL913">
            <v>0</v>
          </cell>
          <cell r="CM913">
            <v>0</v>
          </cell>
          <cell r="CN913">
            <v>0</v>
          </cell>
          <cell r="CO913">
            <v>0</v>
          </cell>
          <cell r="CP913">
            <v>0</v>
          </cell>
          <cell r="CQ913">
            <v>0</v>
          </cell>
          <cell r="CR913">
            <v>0</v>
          </cell>
          <cell r="CS913">
            <v>0</v>
          </cell>
          <cell r="CT913">
            <v>0</v>
          </cell>
          <cell r="CU913">
            <v>0</v>
          </cell>
          <cell r="CV913">
            <v>0</v>
          </cell>
          <cell r="CW913">
            <v>0</v>
          </cell>
          <cell r="CX913">
            <v>0</v>
          </cell>
          <cell r="CY913">
            <v>0</v>
          </cell>
          <cell r="CZ913">
            <v>0</v>
          </cell>
          <cell r="DA913">
            <v>0</v>
          </cell>
          <cell r="DB913">
            <v>0</v>
          </cell>
          <cell r="DC913">
            <v>0</v>
          </cell>
          <cell r="DD913">
            <v>0</v>
          </cell>
          <cell r="DE913">
            <v>0</v>
          </cell>
          <cell r="DF913">
            <v>0</v>
          </cell>
          <cell r="DG913">
            <v>0</v>
          </cell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T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  <cell r="EE913">
            <v>0</v>
          </cell>
        </row>
        <row r="914"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0</v>
          </cell>
          <cell r="BO914">
            <v>0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  <cell r="CF914">
            <v>0</v>
          </cell>
          <cell r="CG914">
            <v>0</v>
          </cell>
          <cell r="CH914">
            <v>0</v>
          </cell>
          <cell r="CI914">
            <v>0</v>
          </cell>
          <cell r="CJ914">
            <v>0</v>
          </cell>
          <cell r="CK914">
            <v>0</v>
          </cell>
          <cell r="CL914">
            <v>0</v>
          </cell>
          <cell r="CM914">
            <v>0</v>
          </cell>
          <cell r="CN914">
            <v>0</v>
          </cell>
          <cell r="CO914">
            <v>0</v>
          </cell>
          <cell r="CP914">
            <v>0</v>
          </cell>
          <cell r="CQ914">
            <v>0</v>
          </cell>
          <cell r="CR914">
            <v>0</v>
          </cell>
          <cell r="CS914">
            <v>0</v>
          </cell>
          <cell r="CT914">
            <v>0</v>
          </cell>
          <cell r="CU914">
            <v>0</v>
          </cell>
          <cell r="CV914">
            <v>0</v>
          </cell>
          <cell r="CW914">
            <v>0</v>
          </cell>
          <cell r="CX914">
            <v>0</v>
          </cell>
          <cell r="CY914">
            <v>0</v>
          </cell>
          <cell r="CZ914">
            <v>0</v>
          </cell>
          <cell r="DA914">
            <v>0</v>
          </cell>
          <cell r="DB914">
            <v>0</v>
          </cell>
          <cell r="DC914">
            <v>0</v>
          </cell>
          <cell r="DD914">
            <v>0</v>
          </cell>
          <cell r="DE914">
            <v>0</v>
          </cell>
          <cell r="DF914">
            <v>0</v>
          </cell>
          <cell r="DG914">
            <v>0</v>
          </cell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T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  <cell r="EE914">
            <v>0</v>
          </cell>
        </row>
        <row r="915"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  <cell r="BF915">
            <v>0</v>
          </cell>
          <cell r="BG915">
            <v>0</v>
          </cell>
          <cell r="BH915">
            <v>0</v>
          </cell>
          <cell r="BI915">
            <v>0</v>
          </cell>
          <cell r="BJ915">
            <v>0</v>
          </cell>
          <cell r="BK915">
            <v>0</v>
          </cell>
          <cell r="BL915">
            <v>0</v>
          </cell>
          <cell r="BM915">
            <v>0</v>
          </cell>
          <cell r="BN915">
            <v>0</v>
          </cell>
          <cell r="BO915">
            <v>0</v>
          </cell>
          <cell r="BP915">
            <v>0</v>
          </cell>
          <cell r="BQ915">
            <v>0</v>
          </cell>
          <cell r="BR915">
            <v>0</v>
          </cell>
          <cell r="BS915">
            <v>0</v>
          </cell>
          <cell r="BT915">
            <v>0</v>
          </cell>
          <cell r="BU915">
            <v>0</v>
          </cell>
          <cell r="BV915">
            <v>0</v>
          </cell>
          <cell r="BW915">
            <v>0</v>
          </cell>
          <cell r="BX915">
            <v>0</v>
          </cell>
          <cell r="BY915">
            <v>0</v>
          </cell>
          <cell r="BZ915">
            <v>0</v>
          </cell>
          <cell r="CA915">
            <v>0</v>
          </cell>
          <cell r="CB915">
            <v>0</v>
          </cell>
          <cell r="CC915">
            <v>0</v>
          </cell>
          <cell r="CD915">
            <v>0</v>
          </cell>
          <cell r="CE915">
            <v>0</v>
          </cell>
          <cell r="CF915">
            <v>0</v>
          </cell>
          <cell r="CG915">
            <v>0</v>
          </cell>
          <cell r="CH915">
            <v>0</v>
          </cell>
          <cell r="CI915">
            <v>0</v>
          </cell>
          <cell r="CJ915">
            <v>0</v>
          </cell>
          <cell r="CK915">
            <v>0</v>
          </cell>
          <cell r="CL915">
            <v>0</v>
          </cell>
          <cell r="CM915">
            <v>0</v>
          </cell>
          <cell r="CN915">
            <v>0</v>
          </cell>
          <cell r="CO915">
            <v>0</v>
          </cell>
          <cell r="CP915">
            <v>0</v>
          </cell>
          <cell r="CQ915">
            <v>0</v>
          </cell>
          <cell r="CR915">
            <v>0</v>
          </cell>
          <cell r="CS915">
            <v>0</v>
          </cell>
          <cell r="CT915">
            <v>0</v>
          </cell>
          <cell r="CU915">
            <v>0</v>
          </cell>
          <cell r="CV915">
            <v>0</v>
          </cell>
          <cell r="CW915">
            <v>0</v>
          </cell>
          <cell r="CX915">
            <v>0</v>
          </cell>
          <cell r="CY915">
            <v>0</v>
          </cell>
          <cell r="CZ915">
            <v>0</v>
          </cell>
          <cell r="DA915">
            <v>0</v>
          </cell>
          <cell r="DB915">
            <v>0</v>
          </cell>
          <cell r="DC915">
            <v>0</v>
          </cell>
          <cell r="DD915">
            <v>0</v>
          </cell>
          <cell r="DE915">
            <v>0</v>
          </cell>
          <cell r="DF915">
            <v>0</v>
          </cell>
          <cell r="DG915">
            <v>0</v>
          </cell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T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  <cell r="EE915">
            <v>0</v>
          </cell>
        </row>
        <row r="917">
          <cell r="A917" t="str">
            <v>Average Fuel Cost ($/MMBtu)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T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0</v>
          </cell>
          <cell r="CL918">
            <v>0</v>
          </cell>
          <cell r="CM918">
            <v>0</v>
          </cell>
          <cell r="CN918">
            <v>0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0</v>
          </cell>
          <cell r="CU918">
            <v>0</v>
          </cell>
          <cell r="CV918">
            <v>0</v>
          </cell>
          <cell r="CW918">
            <v>0</v>
          </cell>
          <cell r="CX918">
            <v>0</v>
          </cell>
          <cell r="CY918">
            <v>0</v>
          </cell>
          <cell r="CZ918">
            <v>0</v>
          </cell>
          <cell r="DA918">
            <v>0</v>
          </cell>
          <cell r="DB918">
            <v>0</v>
          </cell>
          <cell r="DC918">
            <v>0</v>
          </cell>
          <cell r="DD918">
            <v>0</v>
          </cell>
          <cell r="DE918">
            <v>0</v>
          </cell>
          <cell r="DF918">
            <v>0</v>
          </cell>
          <cell r="DG918">
            <v>0</v>
          </cell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T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0</v>
          </cell>
          <cell r="BJ919">
            <v>0</v>
          </cell>
          <cell r="BK919">
            <v>0</v>
          </cell>
          <cell r="BL919">
            <v>0</v>
          </cell>
          <cell r="BM919">
            <v>0</v>
          </cell>
          <cell r="BN919">
            <v>0</v>
          </cell>
          <cell r="BO919">
            <v>0</v>
          </cell>
          <cell r="BP919">
            <v>0</v>
          </cell>
          <cell r="BQ919">
            <v>0</v>
          </cell>
          <cell r="BR919">
            <v>0</v>
          </cell>
          <cell r="BS919">
            <v>0</v>
          </cell>
          <cell r="BT919">
            <v>0</v>
          </cell>
          <cell r="BU919">
            <v>0</v>
          </cell>
          <cell r="BV919">
            <v>0</v>
          </cell>
          <cell r="BW919">
            <v>0</v>
          </cell>
          <cell r="BX919">
            <v>0</v>
          </cell>
          <cell r="BY919">
            <v>0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0</v>
          </cell>
          <cell r="CE919">
            <v>0</v>
          </cell>
          <cell r="CF919">
            <v>0</v>
          </cell>
          <cell r="CG919">
            <v>0</v>
          </cell>
          <cell r="CH919">
            <v>0</v>
          </cell>
          <cell r="CI919">
            <v>0</v>
          </cell>
          <cell r="CJ919">
            <v>0</v>
          </cell>
          <cell r="CK919">
            <v>0</v>
          </cell>
          <cell r="CL919">
            <v>0</v>
          </cell>
          <cell r="CM919">
            <v>0</v>
          </cell>
          <cell r="CN919">
            <v>0</v>
          </cell>
          <cell r="CO919">
            <v>0</v>
          </cell>
          <cell r="CP919">
            <v>0</v>
          </cell>
          <cell r="CQ919">
            <v>0</v>
          </cell>
          <cell r="CR919">
            <v>0</v>
          </cell>
          <cell r="CS919">
            <v>0</v>
          </cell>
          <cell r="CT919">
            <v>0</v>
          </cell>
          <cell r="CU919">
            <v>0</v>
          </cell>
          <cell r="CV919">
            <v>0</v>
          </cell>
          <cell r="CW919">
            <v>0</v>
          </cell>
          <cell r="CX919">
            <v>0</v>
          </cell>
          <cell r="CY919">
            <v>0</v>
          </cell>
          <cell r="CZ919">
            <v>0</v>
          </cell>
          <cell r="DA919">
            <v>0</v>
          </cell>
          <cell r="DB919">
            <v>0</v>
          </cell>
          <cell r="DC919">
            <v>0</v>
          </cell>
          <cell r="DD919">
            <v>0</v>
          </cell>
          <cell r="DE919">
            <v>0</v>
          </cell>
          <cell r="DF919">
            <v>0</v>
          </cell>
          <cell r="DG919">
            <v>0</v>
          </cell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T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0</v>
          </cell>
          <cell r="CQ920">
            <v>0</v>
          </cell>
          <cell r="CR920">
            <v>0</v>
          </cell>
          <cell r="CS920">
            <v>0</v>
          </cell>
          <cell r="CT920">
            <v>0</v>
          </cell>
          <cell r="CU920">
            <v>0</v>
          </cell>
          <cell r="CV920">
            <v>0</v>
          </cell>
          <cell r="CW920">
            <v>0</v>
          </cell>
          <cell r="CX920">
            <v>0</v>
          </cell>
          <cell r="CY920">
            <v>0</v>
          </cell>
          <cell r="CZ920">
            <v>0</v>
          </cell>
          <cell r="DA920">
            <v>0</v>
          </cell>
          <cell r="DB920">
            <v>0</v>
          </cell>
          <cell r="DC920">
            <v>0</v>
          </cell>
          <cell r="DD920">
            <v>0</v>
          </cell>
          <cell r="DE920">
            <v>0</v>
          </cell>
          <cell r="DF920">
            <v>0</v>
          </cell>
          <cell r="DG920">
            <v>0</v>
          </cell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T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>
            <v>0</v>
          </cell>
          <cell r="BF921">
            <v>0</v>
          </cell>
          <cell r="BG921">
            <v>0</v>
          </cell>
          <cell r="BH921">
            <v>0</v>
          </cell>
          <cell r="BI921">
            <v>0</v>
          </cell>
          <cell r="BJ921">
            <v>0</v>
          </cell>
          <cell r="BK921">
            <v>0</v>
          </cell>
          <cell r="BL921">
            <v>0</v>
          </cell>
          <cell r="BM921">
            <v>0</v>
          </cell>
          <cell r="BN921">
            <v>0</v>
          </cell>
          <cell r="BO921">
            <v>0</v>
          </cell>
          <cell r="BP921">
            <v>0</v>
          </cell>
          <cell r="BQ921">
            <v>0</v>
          </cell>
          <cell r="BR921">
            <v>0</v>
          </cell>
          <cell r="BS921">
            <v>0</v>
          </cell>
          <cell r="BT921">
            <v>0</v>
          </cell>
          <cell r="BU921">
            <v>0</v>
          </cell>
          <cell r="BV921">
            <v>0</v>
          </cell>
          <cell r="BW921">
            <v>0</v>
          </cell>
          <cell r="BX921">
            <v>0</v>
          </cell>
          <cell r="BY921">
            <v>0</v>
          </cell>
          <cell r="BZ921">
            <v>0</v>
          </cell>
          <cell r="CA921">
            <v>0</v>
          </cell>
          <cell r="CB921">
            <v>0</v>
          </cell>
          <cell r="CC921">
            <v>0</v>
          </cell>
          <cell r="CD921">
            <v>0</v>
          </cell>
          <cell r="CE921">
            <v>0</v>
          </cell>
          <cell r="CF921">
            <v>0</v>
          </cell>
          <cell r="CG921">
            <v>0</v>
          </cell>
          <cell r="CH921">
            <v>0</v>
          </cell>
          <cell r="CI921">
            <v>0</v>
          </cell>
          <cell r="CJ921">
            <v>0</v>
          </cell>
          <cell r="CK921">
            <v>0</v>
          </cell>
          <cell r="CL921">
            <v>0</v>
          </cell>
          <cell r="CM921">
            <v>0</v>
          </cell>
          <cell r="CN921">
            <v>0</v>
          </cell>
          <cell r="CO921">
            <v>0</v>
          </cell>
          <cell r="CP921">
            <v>0</v>
          </cell>
          <cell r="CQ921">
            <v>0</v>
          </cell>
          <cell r="CR921">
            <v>0</v>
          </cell>
          <cell r="CS921">
            <v>0</v>
          </cell>
          <cell r="CT921">
            <v>0</v>
          </cell>
          <cell r="CU921">
            <v>0</v>
          </cell>
          <cell r="CV921">
            <v>0</v>
          </cell>
          <cell r="CW921">
            <v>0</v>
          </cell>
          <cell r="CX921">
            <v>0</v>
          </cell>
          <cell r="CY921">
            <v>0</v>
          </cell>
          <cell r="CZ921">
            <v>0</v>
          </cell>
          <cell r="DA921">
            <v>0</v>
          </cell>
          <cell r="DB921">
            <v>0</v>
          </cell>
          <cell r="DC921">
            <v>0</v>
          </cell>
          <cell r="DD921">
            <v>0</v>
          </cell>
          <cell r="DE921">
            <v>0</v>
          </cell>
          <cell r="DF921">
            <v>0</v>
          </cell>
          <cell r="DG921">
            <v>0</v>
          </cell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T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</row>
        <row r="923"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0</v>
          </cell>
          <cell r="BJ923">
            <v>0</v>
          </cell>
          <cell r="BK923">
            <v>0</v>
          </cell>
          <cell r="BL923">
            <v>0</v>
          </cell>
          <cell r="BM923">
            <v>0</v>
          </cell>
          <cell r="BN923">
            <v>0</v>
          </cell>
          <cell r="BO923">
            <v>0</v>
          </cell>
          <cell r="BP923">
            <v>0</v>
          </cell>
          <cell r="BQ923">
            <v>0</v>
          </cell>
          <cell r="BR923">
            <v>0</v>
          </cell>
          <cell r="BS923">
            <v>0</v>
          </cell>
          <cell r="BT923">
            <v>0</v>
          </cell>
          <cell r="BU923">
            <v>0</v>
          </cell>
          <cell r="BV923">
            <v>0</v>
          </cell>
          <cell r="BW923">
            <v>0</v>
          </cell>
          <cell r="BX923">
            <v>0</v>
          </cell>
          <cell r="BY923">
            <v>0</v>
          </cell>
          <cell r="BZ923">
            <v>0</v>
          </cell>
          <cell r="CA923">
            <v>0</v>
          </cell>
          <cell r="CB923">
            <v>0</v>
          </cell>
          <cell r="CC923">
            <v>0</v>
          </cell>
          <cell r="CD923">
            <v>0</v>
          </cell>
          <cell r="CE923">
            <v>0</v>
          </cell>
          <cell r="CF923">
            <v>0</v>
          </cell>
          <cell r="CG923">
            <v>0</v>
          </cell>
          <cell r="CH923">
            <v>0</v>
          </cell>
          <cell r="CI923">
            <v>0</v>
          </cell>
          <cell r="CJ923">
            <v>0</v>
          </cell>
          <cell r="CK923">
            <v>0</v>
          </cell>
          <cell r="CL923">
            <v>0</v>
          </cell>
          <cell r="CM923">
            <v>0</v>
          </cell>
          <cell r="CN923">
            <v>0</v>
          </cell>
          <cell r="CO923">
            <v>0</v>
          </cell>
          <cell r="CP923">
            <v>0</v>
          </cell>
          <cell r="CQ923">
            <v>0</v>
          </cell>
          <cell r="CR923">
            <v>0</v>
          </cell>
          <cell r="CS923">
            <v>0</v>
          </cell>
          <cell r="CT923">
            <v>0</v>
          </cell>
          <cell r="CU923">
            <v>0</v>
          </cell>
          <cell r="CV923">
            <v>0</v>
          </cell>
          <cell r="CW923">
            <v>0</v>
          </cell>
          <cell r="CX923">
            <v>0</v>
          </cell>
          <cell r="CY923">
            <v>0</v>
          </cell>
          <cell r="CZ923">
            <v>0</v>
          </cell>
          <cell r="DA923">
            <v>0</v>
          </cell>
          <cell r="DB923">
            <v>0</v>
          </cell>
          <cell r="DC923">
            <v>0</v>
          </cell>
          <cell r="DD923">
            <v>0</v>
          </cell>
          <cell r="DE923">
            <v>0</v>
          </cell>
          <cell r="DF923">
            <v>0</v>
          </cell>
          <cell r="DG923">
            <v>0</v>
          </cell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T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  <cell r="BF924">
            <v>0</v>
          </cell>
          <cell r="BG924">
            <v>0</v>
          </cell>
          <cell r="BH924">
            <v>0</v>
          </cell>
          <cell r="BI924">
            <v>0</v>
          </cell>
          <cell r="BJ924">
            <v>0</v>
          </cell>
          <cell r="BK924">
            <v>0</v>
          </cell>
          <cell r="BL924">
            <v>0</v>
          </cell>
          <cell r="BM924">
            <v>0</v>
          </cell>
          <cell r="BN924">
            <v>0</v>
          </cell>
          <cell r="BO924">
            <v>0</v>
          </cell>
          <cell r="BP924">
            <v>0</v>
          </cell>
          <cell r="BQ924">
            <v>0</v>
          </cell>
          <cell r="BR924">
            <v>0</v>
          </cell>
          <cell r="BS924">
            <v>0</v>
          </cell>
          <cell r="BT924">
            <v>0</v>
          </cell>
          <cell r="BU924">
            <v>0</v>
          </cell>
          <cell r="BV924">
            <v>0</v>
          </cell>
          <cell r="BW924">
            <v>0</v>
          </cell>
          <cell r="BX924">
            <v>0</v>
          </cell>
          <cell r="BY924">
            <v>0</v>
          </cell>
          <cell r="BZ924">
            <v>0</v>
          </cell>
          <cell r="CA924">
            <v>0</v>
          </cell>
          <cell r="CB924">
            <v>0</v>
          </cell>
          <cell r="CC924">
            <v>0</v>
          </cell>
          <cell r="CD924">
            <v>0</v>
          </cell>
          <cell r="CE924">
            <v>0</v>
          </cell>
          <cell r="CF924">
            <v>0</v>
          </cell>
          <cell r="CG924">
            <v>0</v>
          </cell>
          <cell r="CH924">
            <v>0</v>
          </cell>
          <cell r="CI924">
            <v>0</v>
          </cell>
          <cell r="CJ924">
            <v>0</v>
          </cell>
          <cell r="CK924">
            <v>0</v>
          </cell>
          <cell r="CL924">
            <v>0</v>
          </cell>
          <cell r="CM924">
            <v>0</v>
          </cell>
          <cell r="CN924">
            <v>0</v>
          </cell>
          <cell r="CO924">
            <v>0</v>
          </cell>
          <cell r="CP924">
            <v>0</v>
          </cell>
          <cell r="CQ924">
            <v>0</v>
          </cell>
          <cell r="CR924">
            <v>0</v>
          </cell>
          <cell r="CS924">
            <v>0</v>
          </cell>
          <cell r="CT924">
            <v>0</v>
          </cell>
          <cell r="CU924">
            <v>0</v>
          </cell>
          <cell r="CV924">
            <v>0</v>
          </cell>
          <cell r="CW924">
            <v>0</v>
          </cell>
          <cell r="CX924">
            <v>0</v>
          </cell>
          <cell r="CY924">
            <v>0</v>
          </cell>
          <cell r="CZ924">
            <v>0</v>
          </cell>
          <cell r="DA924">
            <v>0</v>
          </cell>
          <cell r="DB924">
            <v>0</v>
          </cell>
          <cell r="DC924">
            <v>0</v>
          </cell>
          <cell r="DD924">
            <v>0</v>
          </cell>
          <cell r="DE924">
            <v>0</v>
          </cell>
          <cell r="DF924">
            <v>0</v>
          </cell>
          <cell r="DG924">
            <v>0</v>
          </cell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T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</row>
        <row r="925"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0</v>
          </cell>
          <cell r="BF925">
            <v>0</v>
          </cell>
          <cell r="BG925">
            <v>0</v>
          </cell>
          <cell r="BH925">
            <v>0</v>
          </cell>
          <cell r="BI925">
            <v>0</v>
          </cell>
          <cell r="BJ925">
            <v>0</v>
          </cell>
          <cell r="BK925">
            <v>0</v>
          </cell>
          <cell r="BL925">
            <v>0</v>
          </cell>
          <cell r="BM925">
            <v>0</v>
          </cell>
          <cell r="BN925">
            <v>0</v>
          </cell>
          <cell r="BO925">
            <v>0</v>
          </cell>
          <cell r="BP925">
            <v>0</v>
          </cell>
          <cell r="BQ925">
            <v>0</v>
          </cell>
          <cell r="BR925">
            <v>0</v>
          </cell>
          <cell r="BS925">
            <v>0</v>
          </cell>
          <cell r="BT925">
            <v>0</v>
          </cell>
          <cell r="BU925">
            <v>0</v>
          </cell>
          <cell r="BV925">
            <v>0</v>
          </cell>
          <cell r="BW925">
            <v>0</v>
          </cell>
          <cell r="BX925">
            <v>0</v>
          </cell>
          <cell r="BY925">
            <v>0</v>
          </cell>
          <cell r="BZ925">
            <v>0</v>
          </cell>
          <cell r="CA925">
            <v>0</v>
          </cell>
          <cell r="CB925">
            <v>0</v>
          </cell>
          <cell r="CC925">
            <v>0</v>
          </cell>
          <cell r="CD925">
            <v>0</v>
          </cell>
          <cell r="CE925">
            <v>0</v>
          </cell>
          <cell r="CF925">
            <v>0</v>
          </cell>
          <cell r="CG925">
            <v>0</v>
          </cell>
          <cell r="CH925">
            <v>0</v>
          </cell>
          <cell r="CI925">
            <v>0</v>
          </cell>
          <cell r="CJ925">
            <v>0</v>
          </cell>
          <cell r="CK925">
            <v>0</v>
          </cell>
          <cell r="CL925">
            <v>0</v>
          </cell>
          <cell r="CM925">
            <v>0</v>
          </cell>
          <cell r="CN925">
            <v>0</v>
          </cell>
          <cell r="CO925">
            <v>0</v>
          </cell>
          <cell r="CP925">
            <v>0</v>
          </cell>
          <cell r="CQ925">
            <v>0</v>
          </cell>
          <cell r="CR925">
            <v>0</v>
          </cell>
          <cell r="CS925">
            <v>0</v>
          </cell>
          <cell r="CT925">
            <v>0</v>
          </cell>
          <cell r="CU925">
            <v>0</v>
          </cell>
          <cell r="CV925">
            <v>0</v>
          </cell>
          <cell r="CW925">
            <v>0</v>
          </cell>
          <cell r="CX925">
            <v>0</v>
          </cell>
          <cell r="CY925">
            <v>0</v>
          </cell>
          <cell r="CZ925">
            <v>0</v>
          </cell>
          <cell r="DA925">
            <v>0</v>
          </cell>
          <cell r="DB925">
            <v>0</v>
          </cell>
          <cell r="DC925">
            <v>0</v>
          </cell>
          <cell r="DD925">
            <v>0</v>
          </cell>
          <cell r="DE925">
            <v>0</v>
          </cell>
          <cell r="DF925">
            <v>0</v>
          </cell>
          <cell r="DG925">
            <v>0</v>
          </cell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T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</row>
        <row r="926"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G926">
            <v>0</v>
          </cell>
          <cell r="BH926">
            <v>0</v>
          </cell>
          <cell r="BI926">
            <v>0</v>
          </cell>
          <cell r="BJ926">
            <v>0</v>
          </cell>
          <cell r="BK926">
            <v>0</v>
          </cell>
          <cell r="BL926">
            <v>0</v>
          </cell>
          <cell r="BM926">
            <v>0</v>
          </cell>
          <cell r="BN926">
            <v>0</v>
          </cell>
          <cell r="BO926">
            <v>0</v>
          </cell>
          <cell r="BP926">
            <v>0</v>
          </cell>
          <cell r="BQ926">
            <v>0</v>
          </cell>
          <cell r="BR926">
            <v>0</v>
          </cell>
          <cell r="BS926">
            <v>0</v>
          </cell>
          <cell r="BT926">
            <v>0</v>
          </cell>
          <cell r="BU926">
            <v>0</v>
          </cell>
          <cell r="BV926">
            <v>0</v>
          </cell>
          <cell r="BW926">
            <v>0</v>
          </cell>
          <cell r="BX926">
            <v>0</v>
          </cell>
          <cell r="BY926">
            <v>0</v>
          </cell>
          <cell r="BZ926">
            <v>0</v>
          </cell>
          <cell r="CA926">
            <v>0</v>
          </cell>
          <cell r="CB926">
            <v>0</v>
          </cell>
          <cell r="CC926">
            <v>0</v>
          </cell>
          <cell r="CD926">
            <v>0</v>
          </cell>
          <cell r="CE926">
            <v>0</v>
          </cell>
          <cell r="CF926">
            <v>0</v>
          </cell>
          <cell r="CG926">
            <v>0</v>
          </cell>
          <cell r="CH926">
            <v>0</v>
          </cell>
          <cell r="CI926">
            <v>0</v>
          </cell>
          <cell r="CJ926">
            <v>0</v>
          </cell>
          <cell r="CK926">
            <v>0</v>
          </cell>
          <cell r="CL926">
            <v>0</v>
          </cell>
          <cell r="CM926">
            <v>0</v>
          </cell>
          <cell r="CN926">
            <v>0</v>
          </cell>
          <cell r="CO926">
            <v>0</v>
          </cell>
          <cell r="CP926">
            <v>0</v>
          </cell>
          <cell r="CQ926">
            <v>0</v>
          </cell>
          <cell r="CR926">
            <v>0</v>
          </cell>
          <cell r="CS926">
            <v>0</v>
          </cell>
          <cell r="CT926">
            <v>0</v>
          </cell>
          <cell r="CU926">
            <v>0</v>
          </cell>
          <cell r="CV926">
            <v>0</v>
          </cell>
          <cell r="CW926">
            <v>0</v>
          </cell>
          <cell r="CX926">
            <v>0</v>
          </cell>
          <cell r="CY926">
            <v>0</v>
          </cell>
          <cell r="CZ926">
            <v>0</v>
          </cell>
          <cell r="DA926">
            <v>0</v>
          </cell>
          <cell r="DB926">
            <v>0</v>
          </cell>
          <cell r="DC926">
            <v>0</v>
          </cell>
          <cell r="DD926">
            <v>0</v>
          </cell>
          <cell r="DE926">
            <v>0</v>
          </cell>
          <cell r="DF926">
            <v>0</v>
          </cell>
          <cell r="DG926">
            <v>0</v>
          </cell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T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0</v>
          </cell>
          <cell r="BD927">
            <v>0</v>
          </cell>
          <cell r="BE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0</v>
          </cell>
          <cell r="BJ927">
            <v>0</v>
          </cell>
          <cell r="BK927">
            <v>0</v>
          </cell>
          <cell r="BL927">
            <v>0</v>
          </cell>
          <cell r="BM927">
            <v>0</v>
          </cell>
          <cell r="BN927">
            <v>0</v>
          </cell>
          <cell r="BO927">
            <v>0</v>
          </cell>
          <cell r="BP927">
            <v>0</v>
          </cell>
          <cell r="BQ927">
            <v>0</v>
          </cell>
          <cell r="BR927">
            <v>0</v>
          </cell>
          <cell r="BS927">
            <v>0</v>
          </cell>
          <cell r="BT927">
            <v>0</v>
          </cell>
          <cell r="BU927">
            <v>0</v>
          </cell>
          <cell r="BV927">
            <v>0</v>
          </cell>
          <cell r="BW927">
            <v>0</v>
          </cell>
          <cell r="BX927">
            <v>0</v>
          </cell>
          <cell r="BY927">
            <v>0</v>
          </cell>
          <cell r="BZ927">
            <v>0</v>
          </cell>
          <cell r="CA927">
            <v>0</v>
          </cell>
          <cell r="CB927">
            <v>0</v>
          </cell>
          <cell r="CC927">
            <v>0</v>
          </cell>
          <cell r="CD927">
            <v>0</v>
          </cell>
          <cell r="CE927">
            <v>0</v>
          </cell>
          <cell r="CF927">
            <v>0</v>
          </cell>
          <cell r="CG927">
            <v>0</v>
          </cell>
          <cell r="CH927">
            <v>0</v>
          </cell>
          <cell r="CI927">
            <v>0</v>
          </cell>
          <cell r="CJ927">
            <v>0</v>
          </cell>
          <cell r="CK927">
            <v>0</v>
          </cell>
          <cell r="CL927">
            <v>0</v>
          </cell>
          <cell r="CM927">
            <v>0</v>
          </cell>
          <cell r="CN927">
            <v>0</v>
          </cell>
          <cell r="CO927">
            <v>0</v>
          </cell>
          <cell r="CP927">
            <v>0</v>
          </cell>
          <cell r="CQ927">
            <v>0</v>
          </cell>
          <cell r="CR927">
            <v>0</v>
          </cell>
          <cell r="CS927">
            <v>0</v>
          </cell>
          <cell r="CT927">
            <v>0</v>
          </cell>
          <cell r="CU927">
            <v>0</v>
          </cell>
          <cell r="CV927">
            <v>0</v>
          </cell>
          <cell r="CW927">
            <v>0</v>
          </cell>
          <cell r="CX927">
            <v>0</v>
          </cell>
          <cell r="CY927">
            <v>0</v>
          </cell>
          <cell r="CZ927">
            <v>0</v>
          </cell>
          <cell r="DA927">
            <v>0</v>
          </cell>
          <cell r="DB927">
            <v>0</v>
          </cell>
          <cell r="DC927">
            <v>0</v>
          </cell>
          <cell r="DD927">
            <v>0</v>
          </cell>
          <cell r="DE927">
            <v>0</v>
          </cell>
          <cell r="DF927">
            <v>0</v>
          </cell>
          <cell r="DG927">
            <v>0</v>
          </cell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T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</row>
        <row r="929"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M929">
            <v>0</v>
          </cell>
          <cell r="CN929">
            <v>0</v>
          </cell>
          <cell r="CO929">
            <v>0</v>
          </cell>
          <cell r="CP929">
            <v>0</v>
          </cell>
          <cell r="CQ929">
            <v>0</v>
          </cell>
          <cell r="CR929">
            <v>0</v>
          </cell>
          <cell r="CS929">
            <v>0</v>
          </cell>
          <cell r="CT929">
            <v>0</v>
          </cell>
          <cell r="CU929">
            <v>0</v>
          </cell>
          <cell r="CV929">
            <v>0</v>
          </cell>
          <cell r="CW929">
            <v>0</v>
          </cell>
          <cell r="CX929">
            <v>0</v>
          </cell>
          <cell r="CY929">
            <v>0</v>
          </cell>
          <cell r="CZ929">
            <v>0</v>
          </cell>
          <cell r="DA929">
            <v>0</v>
          </cell>
          <cell r="DB929">
            <v>0</v>
          </cell>
          <cell r="DC929">
            <v>0</v>
          </cell>
          <cell r="DD929">
            <v>0</v>
          </cell>
          <cell r="DE929">
            <v>0</v>
          </cell>
          <cell r="DF929">
            <v>0</v>
          </cell>
          <cell r="DG929">
            <v>0</v>
          </cell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T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</row>
        <row r="930"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M930">
            <v>0</v>
          </cell>
          <cell r="CN930">
            <v>0</v>
          </cell>
          <cell r="CO930">
            <v>0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0</v>
          </cell>
          <cell r="CU930">
            <v>0</v>
          </cell>
          <cell r="CV930">
            <v>0</v>
          </cell>
          <cell r="CW930">
            <v>0</v>
          </cell>
          <cell r="CX930">
            <v>0</v>
          </cell>
          <cell r="CY930">
            <v>0</v>
          </cell>
          <cell r="CZ930">
            <v>0</v>
          </cell>
          <cell r="DA930">
            <v>0</v>
          </cell>
          <cell r="DB930">
            <v>0</v>
          </cell>
          <cell r="DC930">
            <v>0</v>
          </cell>
          <cell r="DD930">
            <v>0</v>
          </cell>
          <cell r="DE930">
            <v>0</v>
          </cell>
          <cell r="DF930">
            <v>0</v>
          </cell>
          <cell r="DG930">
            <v>0</v>
          </cell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T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</row>
        <row r="931"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  <cell r="BQ931">
            <v>0</v>
          </cell>
          <cell r="BR931">
            <v>0</v>
          </cell>
          <cell r="BS931">
            <v>0</v>
          </cell>
          <cell r="BT931">
            <v>0</v>
          </cell>
          <cell r="BU931">
            <v>0</v>
          </cell>
          <cell r="BV931">
            <v>0</v>
          </cell>
          <cell r="BW931">
            <v>0</v>
          </cell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G931">
            <v>0</v>
          </cell>
          <cell r="CH931">
            <v>0</v>
          </cell>
          <cell r="CI931">
            <v>0</v>
          </cell>
          <cell r="CJ931">
            <v>0</v>
          </cell>
          <cell r="CK931">
            <v>0</v>
          </cell>
          <cell r="CL931">
            <v>0</v>
          </cell>
          <cell r="CM931">
            <v>0</v>
          </cell>
          <cell r="CN931">
            <v>0</v>
          </cell>
          <cell r="CO931">
            <v>0</v>
          </cell>
          <cell r="CP931">
            <v>0</v>
          </cell>
          <cell r="CQ931">
            <v>0</v>
          </cell>
          <cell r="CR931">
            <v>0</v>
          </cell>
          <cell r="CS931">
            <v>0</v>
          </cell>
          <cell r="CT931">
            <v>0</v>
          </cell>
          <cell r="CU931">
            <v>0</v>
          </cell>
          <cell r="CV931">
            <v>0</v>
          </cell>
          <cell r="CW931">
            <v>0</v>
          </cell>
          <cell r="CX931">
            <v>0</v>
          </cell>
          <cell r="CY931">
            <v>0</v>
          </cell>
          <cell r="CZ931">
            <v>0</v>
          </cell>
          <cell r="DA931">
            <v>0</v>
          </cell>
          <cell r="DB931">
            <v>0</v>
          </cell>
          <cell r="DC931">
            <v>0</v>
          </cell>
          <cell r="DD931">
            <v>0</v>
          </cell>
          <cell r="DE931">
            <v>0</v>
          </cell>
          <cell r="DF931">
            <v>0</v>
          </cell>
          <cell r="DG931">
            <v>0</v>
          </cell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T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</row>
        <row r="932"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  <cell r="BF932">
            <v>0</v>
          </cell>
          <cell r="BG932">
            <v>0</v>
          </cell>
          <cell r="BH932">
            <v>0</v>
          </cell>
          <cell r="BI932">
            <v>0</v>
          </cell>
          <cell r="BJ932">
            <v>0</v>
          </cell>
          <cell r="BK932">
            <v>0</v>
          </cell>
          <cell r="BL932">
            <v>0</v>
          </cell>
          <cell r="BM932">
            <v>0</v>
          </cell>
          <cell r="BN932">
            <v>0</v>
          </cell>
          <cell r="BO932">
            <v>0</v>
          </cell>
          <cell r="BP932">
            <v>0</v>
          </cell>
          <cell r="BQ932">
            <v>0</v>
          </cell>
          <cell r="BR932">
            <v>0</v>
          </cell>
          <cell r="BS932">
            <v>0</v>
          </cell>
          <cell r="BT932">
            <v>0</v>
          </cell>
          <cell r="BU932">
            <v>0</v>
          </cell>
          <cell r="BV932">
            <v>0</v>
          </cell>
          <cell r="BW932">
            <v>0</v>
          </cell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  <cell r="CF932">
            <v>0</v>
          </cell>
          <cell r="CG932">
            <v>0</v>
          </cell>
          <cell r="CH932">
            <v>0</v>
          </cell>
          <cell r="CI932">
            <v>0</v>
          </cell>
          <cell r="CJ932">
            <v>0</v>
          </cell>
          <cell r="CK932">
            <v>0</v>
          </cell>
          <cell r="CL932">
            <v>0</v>
          </cell>
          <cell r="CM932">
            <v>0</v>
          </cell>
          <cell r="CN932">
            <v>0</v>
          </cell>
          <cell r="CO932">
            <v>0</v>
          </cell>
          <cell r="CP932">
            <v>0</v>
          </cell>
          <cell r="CQ932">
            <v>0</v>
          </cell>
          <cell r="CR932">
            <v>0</v>
          </cell>
          <cell r="CS932">
            <v>0</v>
          </cell>
          <cell r="CT932">
            <v>0</v>
          </cell>
          <cell r="CU932">
            <v>0</v>
          </cell>
          <cell r="CV932">
            <v>0</v>
          </cell>
          <cell r="CW932">
            <v>0</v>
          </cell>
          <cell r="CX932">
            <v>0</v>
          </cell>
          <cell r="CY932">
            <v>0</v>
          </cell>
          <cell r="CZ932">
            <v>0</v>
          </cell>
          <cell r="DA932">
            <v>0</v>
          </cell>
          <cell r="DB932">
            <v>0</v>
          </cell>
          <cell r="DC932">
            <v>0</v>
          </cell>
          <cell r="DD932">
            <v>0</v>
          </cell>
          <cell r="DE932">
            <v>0</v>
          </cell>
          <cell r="DF932">
            <v>0</v>
          </cell>
          <cell r="DG932">
            <v>0</v>
          </cell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T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</row>
        <row r="933"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  <cell r="BF933">
            <v>0</v>
          </cell>
          <cell r="BG933">
            <v>0</v>
          </cell>
          <cell r="BH933">
            <v>0</v>
          </cell>
          <cell r="BI933">
            <v>0</v>
          </cell>
          <cell r="BJ933">
            <v>0</v>
          </cell>
          <cell r="BK933">
            <v>0</v>
          </cell>
          <cell r="BL933">
            <v>0</v>
          </cell>
          <cell r="BM933">
            <v>0</v>
          </cell>
          <cell r="BN933">
            <v>0</v>
          </cell>
          <cell r="BO933">
            <v>0</v>
          </cell>
          <cell r="BP933">
            <v>0</v>
          </cell>
          <cell r="BQ933">
            <v>0</v>
          </cell>
          <cell r="BR933">
            <v>0</v>
          </cell>
          <cell r="BS933">
            <v>0</v>
          </cell>
          <cell r="BT933">
            <v>0</v>
          </cell>
          <cell r="BU933">
            <v>0</v>
          </cell>
          <cell r="BV933">
            <v>0</v>
          </cell>
          <cell r="BW933">
            <v>0</v>
          </cell>
          <cell r="BX933">
            <v>0</v>
          </cell>
          <cell r="BY933">
            <v>0</v>
          </cell>
          <cell r="BZ933">
            <v>0</v>
          </cell>
          <cell r="CA933">
            <v>0</v>
          </cell>
          <cell r="CB933">
            <v>0</v>
          </cell>
          <cell r="CC933">
            <v>0</v>
          </cell>
          <cell r="CD933">
            <v>0</v>
          </cell>
          <cell r="CE933">
            <v>0</v>
          </cell>
          <cell r="CF933">
            <v>0</v>
          </cell>
          <cell r="CG933">
            <v>0</v>
          </cell>
          <cell r="CH933">
            <v>0</v>
          </cell>
          <cell r="CI933">
            <v>0</v>
          </cell>
          <cell r="CJ933">
            <v>0</v>
          </cell>
          <cell r="CK933">
            <v>0</v>
          </cell>
          <cell r="CL933">
            <v>0</v>
          </cell>
          <cell r="CM933">
            <v>0</v>
          </cell>
          <cell r="CN933">
            <v>0</v>
          </cell>
          <cell r="CO933">
            <v>0</v>
          </cell>
          <cell r="CP933">
            <v>0</v>
          </cell>
          <cell r="CQ933">
            <v>0</v>
          </cell>
          <cell r="CR933">
            <v>0</v>
          </cell>
          <cell r="CS933">
            <v>0</v>
          </cell>
          <cell r="CT933">
            <v>0</v>
          </cell>
          <cell r="CU933">
            <v>0</v>
          </cell>
          <cell r="CV933">
            <v>0</v>
          </cell>
          <cell r="CW933">
            <v>0</v>
          </cell>
          <cell r="CX933">
            <v>0</v>
          </cell>
          <cell r="CY933">
            <v>0</v>
          </cell>
          <cell r="CZ933">
            <v>0</v>
          </cell>
          <cell r="DA933">
            <v>0</v>
          </cell>
          <cell r="DB933">
            <v>0</v>
          </cell>
          <cell r="DC933">
            <v>0</v>
          </cell>
          <cell r="DD933">
            <v>0</v>
          </cell>
          <cell r="DE933">
            <v>0</v>
          </cell>
          <cell r="DF933">
            <v>0</v>
          </cell>
          <cell r="DG933">
            <v>0</v>
          </cell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T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</row>
        <row r="934"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  <cell r="BF934">
            <v>0</v>
          </cell>
          <cell r="BG934">
            <v>0</v>
          </cell>
          <cell r="BH934">
            <v>0</v>
          </cell>
          <cell r="BI934">
            <v>0</v>
          </cell>
          <cell r="BJ934">
            <v>0</v>
          </cell>
          <cell r="BK934">
            <v>0</v>
          </cell>
          <cell r="BL934">
            <v>0</v>
          </cell>
          <cell r="BM934">
            <v>0</v>
          </cell>
          <cell r="BN934">
            <v>0</v>
          </cell>
          <cell r="BO934">
            <v>0</v>
          </cell>
          <cell r="BP934">
            <v>0</v>
          </cell>
          <cell r="BQ934">
            <v>0</v>
          </cell>
          <cell r="BR934">
            <v>0</v>
          </cell>
          <cell r="BS934">
            <v>0</v>
          </cell>
          <cell r="BT934">
            <v>0</v>
          </cell>
          <cell r="BU934">
            <v>0</v>
          </cell>
          <cell r="BV934">
            <v>0</v>
          </cell>
          <cell r="BW934">
            <v>0</v>
          </cell>
          <cell r="BX934">
            <v>0</v>
          </cell>
          <cell r="BY934">
            <v>0</v>
          </cell>
          <cell r="BZ934">
            <v>0</v>
          </cell>
          <cell r="CA934">
            <v>0</v>
          </cell>
          <cell r="CB934">
            <v>0</v>
          </cell>
          <cell r="CC934">
            <v>0</v>
          </cell>
          <cell r="CD934">
            <v>0</v>
          </cell>
          <cell r="CE934">
            <v>0</v>
          </cell>
          <cell r="CF934">
            <v>0</v>
          </cell>
          <cell r="CG934">
            <v>0</v>
          </cell>
          <cell r="CH934">
            <v>0</v>
          </cell>
          <cell r="CI934">
            <v>0</v>
          </cell>
          <cell r="CJ934">
            <v>0</v>
          </cell>
          <cell r="CK934">
            <v>0</v>
          </cell>
          <cell r="CL934">
            <v>0</v>
          </cell>
          <cell r="CM934">
            <v>0</v>
          </cell>
          <cell r="CN934">
            <v>0</v>
          </cell>
          <cell r="CO934">
            <v>0</v>
          </cell>
          <cell r="CP934">
            <v>0</v>
          </cell>
          <cell r="CQ934">
            <v>0</v>
          </cell>
          <cell r="CR934">
            <v>0</v>
          </cell>
          <cell r="CS934">
            <v>0</v>
          </cell>
          <cell r="CT934">
            <v>0</v>
          </cell>
          <cell r="CU934">
            <v>0</v>
          </cell>
          <cell r="CV934">
            <v>0</v>
          </cell>
          <cell r="CW934">
            <v>0</v>
          </cell>
          <cell r="CX934">
            <v>0</v>
          </cell>
          <cell r="CY934">
            <v>0</v>
          </cell>
          <cell r="CZ934">
            <v>0</v>
          </cell>
          <cell r="DA934">
            <v>0</v>
          </cell>
          <cell r="DB934">
            <v>0</v>
          </cell>
          <cell r="DC934">
            <v>0</v>
          </cell>
          <cell r="DD934">
            <v>0</v>
          </cell>
          <cell r="DE934">
            <v>0</v>
          </cell>
          <cell r="DF934">
            <v>0</v>
          </cell>
          <cell r="DG934">
            <v>0</v>
          </cell>
          <cell r="DH934">
            <v>0</v>
          </cell>
          <cell r="DI934">
            <v>0</v>
          </cell>
          <cell r="DJ934">
            <v>0</v>
          </cell>
          <cell r="DK934">
            <v>0</v>
          </cell>
          <cell r="DL934">
            <v>0</v>
          </cell>
          <cell r="DM934">
            <v>0</v>
          </cell>
          <cell r="DN934">
            <v>0</v>
          </cell>
          <cell r="DO934">
            <v>0</v>
          </cell>
          <cell r="DP934">
            <v>0</v>
          </cell>
          <cell r="DQ934">
            <v>0</v>
          </cell>
          <cell r="DR934">
            <v>0</v>
          </cell>
          <cell r="DS934">
            <v>0</v>
          </cell>
          <cell r="DT934">
            <v>0</v>
          </cell>
          <cell r="DU934">
            <v>0</v>
          </cell>
          <cell r="DV934">
            <v>0</v>
          </cell>
          <cell r="DW934">
            <v>0</v>
          </cell>
          <cell r="DX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</row>
        <row r="935"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0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  <cell r="BQ935">
            <v>0</v>
          </cell>
          <cell r="BR935">
            <v>0</v>
          </cell>
          <cell r="BS935">
            <v>0</v>
          </cell>
          <cell r="BT935">
            <v>0</v>
          </cell>
          <cell r="BU935">
            <v>0</v>
          </cell>
          <cell r="BV935">
            <v>0</v>
          </cell>
          <cell r="BW935">
            <v>0</v>
          </cell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  <cell r="CF935">
            <v>0</v>
          </cell>
          <cell r="CG935">
            <v>0</v>
          </cell>
          <cell r="CH935">
            <v>0</v>
          </cell>
          <cell r="CI935">
            <v>0</v>
          </cell>
          <cell r="CJ935">
            <v>0</v>
          </cell>
          <cell r="CK935">
            <v>0</v>
          </cell>
          <cell r="CL935">
            <v>0</v>
          </cell>
          <cell r="CM935">
            <v>0</v>
          </cell>
          <cell r="CN935">
            <v>0</v>
          </cell>
          <cell r="CO935">
            <v>0</v>
          </cell>
          <cell r="CP935">
            <v>0</v>
          </cell>
          <cell r="CQ935">
            <v>0</v>
          </cell>
          <cell r="CR935">
            <v>0</v>
          </cell>
          <cell r="CS935">
            <v>0</v>
          </cell>
          <cell r="CT935">
            <v>0</v>
          </cell>
          <cell r="CU935">
            <v>0</v>
          </cell>
          <cell r="CV935">
            <v>0</v>
          </cell>
          <cell r="CW935">
            <v>0</v>
          </cell>
          <cell r="CX935">
            <v>0</v>
          </cell>
          <cell r="CY935">
            <v>0</v>
          </cell>
          <cell r="CZ935">
            <v>0</v>
          </cell>
          <cell r="DA935">
            <v>0</v>
          </cell>
          <cell r="DB935">
            <v>0</v>
          </cell>
          <cell r="DC935">
            <v>0</v>
          </cell>
          <cell r="DD935">
            <v>0</v>
          </cell>
          <cell r="DE935">
            <v>0</v>
          </cell>
          <cell r="DF935">
            <v>0</v>
          </cell>
          <cell r="DG935">
            <v>0</v>
          </cell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T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</row>
        <row r="936"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  <cell r="BF936">
            <v>0</v>
          </cell>
          <cell r="BG936">
            <v>0</v>
          </cell>
          <cell r="BH936">
            <v>0</v>
          </cell>
          <cell r="BI936">
            <v>0</v>
          </cell>
          <cell r="BJ936">
            <v>0</v>
          </cell>
          <cell r="BK936">
            <v>0</v>
          </cell>
          <cell r="BL936">
            <v>0</v>
          </cell>
          <cell r="BM936">
            <v>0</v>
          </cell>
          <cell r="BN936">
            <v>0</v>
          </cell>
          <cell r="BO936">
            <v>0</v>
          </cell>
          <cell r="BP936">
            <v>0</v>
          </cell>
          <cell r="BQ936">
            <v>0</v>
          </cell>
          <cell r="BR936">
            <v>0</v>
          </cell>
          <cell r="BS936">
            <v>0</v>
          </cell>
          <cell r="BT936">
            <v>0</v>
          </cell>
          <cell r="BU936">
            <v>0</v>
          </cell>
          <cell r="BV936">
            <v>0</v>
          </cell>
          <cell r="BW936">
            <v>0</v>
          </cell>
          <cell r="BX936">
            <v>0</v>
          </cell>
          <cell r="BY936">
            <v>0</v>
          </cell>
          <cell r="BZ936">
            <v>0</v>
          </cell>
          <cell r="CA936">
            <v>0</v>
          </cell>
          <cell r="CB936">
            <v>0</v>
          </cell>
          <cell r="CC936">
            <v>0</v>
          </cell>
          <cell r="CD936">
            <v>0</v>
          </cell>
          <cell r="CE936">
            <v>0</v>
          </cell>
          <cell r="CF936">
            <v>0</v>
          </cell>
          <cell r="CG936">
            <v>0</v>
          </cell>
          <cell r="CH936">
            <v>0</v>
          </cell>
          <cell r="CI936">
            <v>0</v>
          </cell>
          <cell r="CJ936">
            <v>0</v>
          </cell>
          <cell r="CK936">
            <v>0</v>
          </cell>
          <cell r="CL936">
            <v>0</v>
          </cell>
          <cell r="CM936">
            <v>0</v>
          </cell>
          <cell r="CN936">
            <v>0</v>
          </cell>
          <cell r="CO936">
            <v>0</v>
          </cell>
          <cell r="CP936">
            <v>0</v>
          </cell>
          <cell r="CQ936">
            <v>0</v>
          </cell>
          <cell r="CR936">
            <v>0</v>
          </cell>
          <cell r="CS936">
            <v>0</v>
          </cell>
          <cell r="CT936">
            <v>0</v>
          </cell>
          <cell r="CU936">
            <v>0</v>
          </cell>
          <cell r="CV936">
            <v>0</v>
          </cell>
          <cell r="CW936">
            <v>0</v>
          </cell>
          <cell r="CX936">
            <v>0</v>
          </cell>
          <cell r="CY936">
            <v>0</v>
          </cell>
          <cell r="CZ936">
            <v>0</v>
          </cell>
          <cell r="DA936">
            <v>0</v>
          </cell>
          <cell r="DB936">
            <v>0</v>
          </cell>
          <cell r="DC936">
            <v>0</v>
          </cell>
          <cell r="DD936">
            <v>0</v>
          </cell>
          <cell r="DE936">
            <v>0</v>
          </cell>
          <cell r="DF936">
            <v>0</v>
          </cell>
          <cell r="DG936">
            <v>0</v>
          </cell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T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</row>
        <row r="937"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  <cell r="DD937">
            <v>0</v>
          </cell>
          <cell r="DE937">
            <v>0</v>
          </cell>
          <cell r="DF937">
            <v>0</v>
          </cell>
          <cell r="DG937">
            <v>0</v>
          </cell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T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</row>
        <row r="938"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0</v>
          </cell>
          <cell r="BD938">
            <v>0</v>
          </cell>
          <cell r="BE938">
            <v>0</v>
          </cell>
          <cell r="BF938">
            <v>0</v>
          </cell>
          <cell r="BG938">
            <v>0</v>
          </cell>
          <cell r="BH938">
            <v>0</v>
          </cell>
          <cell r="BI938">
            <v>0</v>
          </cell>
          <cell r="BJ938">
            <v>0</v>
          </cell>
          <cell r="BK938">
            <v>0</v>
          </cell>
          <cell r="BL938">
            <v>0</v>
          </cell>
          <cell r="BM938">
            <v>0</v>
          </cell>
          <cell r="BN938">
            <v>0</v>
          </cell>
          <cell r="BO938">
            <v>0</v>
          </cell>
          <cell r="BP938">
            <v>0</v>
          </cell>
          <cell r="BQ938">
            <v>0</v>
          </cell>
          <cell r="BR938">
            <v>0</v>
          </cell>
          <cell r="BS938">
            <v>0</v>
          </cell>
          <cell r="BT938">
            <v>0</v>
          </cell>
          <cell r="BU938">
            <v>0</v>
          </cell>
          <cell r="BV938">
            <v>0</v>
          </cell>
          <cell r="BW938">
            <v>0</v>
          </cell>
          <cell r="BX938">
            <v>0</v>
          </cell>
          <cell r="BY938">
            <v>0</v>
          </cell>
          <cell r="BZ938">
            <v>0</v>
          </cell>
          <cell r="CA938">
            <v>0</v>
          </cell>
          <cell r="CB938">
            <v>0</v>
          </cell>
          <cell r="CC938">
            <v>0</v>
          </cell>
          <cell r="CD938">
            <v>0</v>
          </cell>
          <cell r="CE938">
            <v>0</v>
          </cell>
          <cell r="CF938">
            <v>0</v>
          </cell>
          <cell r="CG938">
            <v>0</v>
          </cell>
          <cell r="CH938">
            <v>0</v>
          </cell>
          <cell r="CI938">
            <v>0</v>
          </cell>
          <cell r="CJ938">
            <v>0</v>
          </cell>
          <cell r="CK938">
            <v>0</v>
          </cell>
          <cell r="CL938">
            <v>0</v>
          </cell>
          <cell r="CM938">
            <v>0</v>
          </cell>
          <cell r="CN938">
            <v>0</v>
          </cell>
          <cell r="CO938">
            <v>0</v>
          </cell>
          <cell r="CP938">
            <v>0</v>
          </cell>
          <cell r="CQ938">
            <v>0</v>
          </cell>
          <cell r="CR938">
            <v>0</v>
          </cell>
          <cell r="CS938">
            <v>0</v>
          </cell>
          <cell r="CT938">
            <v>0</v>
          </cell>
          <cell r="CU938">
            <v>0</v>
          </cell>
          <cell r="CV938">
            <v>0</v>
          </cell>
          <cell r="CW938">
            <v>0</v>
          </cell>
          <cell r="CX938">
            <v>0</v>
          </cell>
          <cell r="CY938">
            <v>0</v>
          </cell>
          <cell r="CZ938">
            <v>0</v>
          </cell>
          <cell r="DA938">
            <v>0</v>
          </cell>
          <cell r="DB938">
            <v>0</v>
          </cell>
          <cell r="DC938">
            <v>0</v>
          </cell>
          <cell r="DD938">
            <v>0</v>
          </cell>
          <cell r="DE938">
            <v>0</v>
          </cell>
          <cell r="DF938">
            <v>0</v>
          </cell>
          <cell r="DG938">
            <v>0</v>
          </cell>
          <cell r="DH938">
            <v>0</v>
          </cell>
          <cell r="DI938">
            <v>0</v>
          </cell>
          <cell r="DJ938">
            <v>0</v>
          </cell>
          <cell r="DK938">
            <v>0</v>
          </cell>
          <cell r="DL938">
            <v>0</v>
          </cell>
          <cell r="DM938">
            <v>0</v>
          </cell>
          <cell r="DN938">
            <v>0</v>
          </cell>
          <cell r="DO938">
            <v>0</v>
          </cell>
          <cell r="DP938">
            <v>0</v>
          </cell>
          <cell r="DQ938">
            <v>0</v>
          </cell>
          <cell r="DR938">
            <v>0</v>
          </cell>
          <cell r="DS938">
            <v>0</v>
          </cell>
          <cell r="DT938">
            <v>0</v>
          </cell>
          <cell r="DU938">
            <v>0</v>
          </cell>
          <cell r="DV938">
            <v>0</v>
          </cell>
          <cell r="DW938">
            <v>0</v>
          </cell>
          <cell r="DX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</row>
        <row r="939"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F939">
            <v>0</v>
          </cell>
          <cell r="BG939">
            <v>0</v>
          </cell>
          <cell r="BH939">
            <v>0</v>
          </cell>
          <cell r="BI939">
            <v>0</v>
          </cell>
          <cell r="BJ939">
            <v>0</v>
          </cell>
          <cell r="BK939">
            <v>0</v>
          </cell>
          <cell r="BL939">
            <v>0</v>
          </cell>
          <cell r="BM939">
            <v>0</v>
          </cell>
          <cell r="BN939">
            <v>0</v>
          </cell>
          <cell r="BO939">
            <v>0</v>
          </cell>
          <cell r="BP939">
            <v>0</v>
          </cell>
          <cell r="BQ939">
            <v>0</v>
          </cell>
          <cell r="BR939">
            <v>0</v>
          </cell>
          <cell r="BS939">
            <v>0</v>
          </cell>
          <cell r="BT939">
            <v>0</v>
          </cell>
          <cell r="BU939">
            <v>0</v>
          </cell>
          <cell r="BV939">
            <v>0</v>
          </cell>
          <cell r="BW939">
            <v>0</v>
          </cell>
          <cell r="BX939">
            <v>0</v>
          </cell>
          <cell r="BY939">
            <v>0</v>
          </cell>
          <cell r="BZ939">
            <v>0</v>
          </cell>
          <cell r="CA939">
            <v>0</v>
          </cell>
          <cell r="CB939">
            <v>0</v>
          </cell>
          <cell r="CC939">
            <v>0</v>
          </cell>
          <cell r="CD939">
            <v>0</v>
          </cell>
          <cell r="CE939">
            <v>0</v>
          </cell>
          <cell r="CF939">
            <v>0</v>
          </cell>
          <cell r="CG939">
            <v>0</v>
          </cell>
          <cell r="CH939">
            <v>0</v>
          </cell>
          <cell r="CI939">
            <v>0</v>
          </cell>
          <cell r="CJ939">
            <v>0</v>
          </cell>
          <cell r="CK939">
            <v>0</v>
          </cell>
          <cell r="CL939">
            <v>0</v>
          </cell>
          <cell r="CM939">
            <v>0</v>
          </cell>
          <cell r="CN939">
            <v>0</v>
          </cell>
          <cell r="CO939">
            <v>0</v>
          </cell>
          <cell r="CP939">
            <v>0</v>
          </cell>
          <cell r="CQ939">
            <v>0</v>
          </cell>
          <cell r="CR939">
            <v>0</v>
          </cell>
          <cell r="CS939">
            <v>0</v>
          </cell>
          <cell r="CT939">
            <v>0</v>
          </cell>
          <cell r="CU939">
            <v>0</v>
          </cell>
          <cell r="CV939">
            <v>0</v>
          </cell>
          <cell r="CW939">
            <v>0</v>
          </cell>
          <cell r="CX939">
            <v>0</v>
          </cell>
          <cell r="CY939">
            <v>0</v>
          </cell>
          <cell r="CZ939">
            <v>0</v>
          </cell>
          <cell r="DA939">
            <v>0</v>
          </cell>
          <cell r="DB939">
            <v>0</v>
          </cell>
          <cell r="DC939">
            <v>0</v>
          </cell>
          <cell r="DD939">
            <v>0</v>
          </cell>
          <cell r="DE939">
            <v>0</v>
          </cell>
          <cell r="DF939">
            <v>0</v>
          </cell>
          <cell r="DG939">
            <v>0</v>
          </cell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T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</row>
        <row r="940"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  <cell r="BH940">
            <v>0</v>
          </cell>
          <cell r="BI940">
            <v>0</v>
          </cell>
          <cell r="BJ940">
            <v>0</v>
          </cell>
          <cell r="BK940">
            <v>0</v>
          </cell>
          <cell r="BL940">
            <v>0</v>
          </cell>
          <cell r="BM940">
            <v>0</v>
          </cell>
          <cell r="BN940">
            <v>0</v>
          </cell>
          <cell r="BO940">
            <v>0</v>
          </cell>
          <cell r="BP940">
            <v>0</v>
          </cell>
          <cell r="BQ940">
            <v>0</v>
          </cell>
          <cell r="BR940">
            <v>0</v>
          </cell>
          <cell r="BS940">
            <v>0</v>
          </cell>
          <cell r="BT940">
            <v>0</v>
          </cell>
          <cell r="BU940">
            <v>0</v>
          </cell>
          <cell r="BV940">
            <v>0</v>
          </cell>
          <cell r="BW940">
            <v>0</v>
          </cell>
          <cell r="BX940">
            <v>0</v>
          </cell>
          <cell r="BY940">
            <v>0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0</v>
          </cell>
          <cell r="CI940">
            <v>0</v>
          </cell>
          <cell r="CJ940">
            <v>0</v>
          </cell>
          <cell r="CK940">
            <v>0</v>
          </cell>
          <cell r="CL940">
            <v>0</v>
          </cell>
          <cell r="CM940">
            <v>0</v>
          </cell>
          <cell r="CN940">
            <v>0</v>
          </cell>
          <cell r="CO940">
            <v>0</v>
          </cell>
          <cell r="CP940">
            <v>0</v>
          </cell>
          <cell r="CQ940">
            <v>0</v>
          </cell>
          <cell r="CR940">
            <v>0</v>
          </cell>
          <cell r="CS940">
            <v>0</v>
          </cell>
          <cell r="CT940">
            <v>0</v>
          </cell>
          <cell r="CU940">
            <v>0</v>
          </cell>
          <cell r="CV940">
            <v>0</v>
          </cell>
          <cell r="CW940">
            <v>0</v>
          </cell>
          <cell r="CX940">
            <v>0</v>
          </cell>
          <cell r="CY940">
            <v>0</v>
          </cell>
          <cell r="CZ940">
            <v>0</v>
          </cell>
          <cell r="DA940">
            <v>0</v>
          </cell>
          <cell r="DB940">
            <v>0</v>
          </cell>
          <cell r="DC940">
            <v>0</v>
          </cell>
          <cell r="DD940">
            <v>0</v>
          </cell>
          <cell r="DE940">
            <v>0</v>
          </cell>
          <cell r="DF940">
            <v>0</v>
          </cell>
          <cell r="DG940">
            <v>0</v>
          </cell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T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</row>
        <row r="941"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  <cell r="BH941">
            <v>0</v>
          </cell>
          <cell r="BI941">
            <v>0</v>
          </cell>
          <cell r="BJ941">
            <v>0</v>
          </cell>
          <cell r="BK941">
            <v>0</v>
          </cell>
          <cell r="BL941">
            <v>0</v>
          </cell>
          <cell r="BM941">
            <v>0</v>
          </cell>
          <cell r="BN941">
            <v>0</v>
          </cell>
          <cell r="BO941">
            <v>0</v>
          </cell>
          <cell r="BP941">
            <v>0</v>
          </cell>
          <cell r="BQ941">
            <v>0</v>
          </cell>
          <cell r="BR941">
            <v>0</v>
          </cell>
          <cell r="BS941">
            <v>0</v>
          </cell>
          <cell r="BT941">
            <v>0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M941">
            <v>0</v>
          </cell>
          <cell r="CN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0</v>
          </cell>
          <cell r="CS941">
            <v>0</v>
          </cell>
          <cell r="CT941">
            <v>0</v>
          </cell>
          <cell r="CU941">
            <v>0</v>
          </cell>
          <cell r="CV941">
            <v>0</v>
          </cell>
          <cell r="CW941">
            <v>0</v>
          </cell>
          <cell r="CX941">
            <v>0</v>
          </cell>
          <cell r="CY941">
            <v>0</v>
          </cell>
          <cell r="CZ941">
            <v>0</v>
          </cell>
          <cell r="DA941">
            <v>0</v>
          </cell>
          <cell r="DB941">
            <v>0</v>
          </cell>
          <cell r="DC941">
            <v>0</v>
          </cell>
          <cell r="DD941">
            <v>0</v>
          </cell>
          <cell r="DE941">
            <v>0</v>
          </cell>
          <cell r="DF941">
            <v>0</v>
          </cell>
          <cell r="DG941">
            <v>0</v>
          </cell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T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</row>
        <row r="942"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0</v>
          </cell>
          <cell r="BJ944">
            <v>0</v>
          </cell>
          <cell r="BK944">
            <v>0</v>
          </cell>
          <cell r="BL944">
            <v>0</v>
          </cell>
          <cell r="BM944">
            <v>0</v>
          </cell>
          <cell r="BN944">
            <v>0</v>
          </cell>
          <cell r="BO944">
            <v>0</v>
          </cell>
          <cell r="BP944">
            <v>0</v>
          </cell>
          <cell r="BQ944">
            <v>0</v>
          </cell>
          <cell r="BR944">
            <v>0</v>
          </cell>
          <cell r="BS944">
            <v>0</v>
          </cell>
          <cell r="BT944">
            <v>0</v>
          </cell>
          <cell r="BU944">
            <v>0</v>
          </cell>
          <cell r="BV944">
            <v>0</v>
          </cell>
          <cell r="BW944">
            <v>0</v>
          </cell>
          <cell r="BX944">
            <v>0</v>
          </cell>
          <cell r="BY944">
            <v>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0</v>
          </cell>
          <cell r="CE944">
            <v>0</v>
          </cell>
          <cell r="CF944">
            <v>0</v>
          </cell>
          <cell r="CG944">
            <v>0</v>
          </cell>
          <cell r="CH944">
            <v>0</v>
          </cell>
          <cell r="CI944">
            <v>0</v>
          </cell>
          <cell r="CJ944">
            <v>0</v>
          </cell>
          <cell r="CK944">
            <v>0</v>
          </cell>
          <cell r="CL944">
            <v>0</v>
          </cell>
          <cell r="CM944">
            <v>0</v>
          </cell>
          <cell r="CN944">
            <v>0</v>
          </cell>
          <cell r="CO944">
            <v>0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0</v>
          </cell>
          <cell r="CU944">
            <v>0</v>
          </cell>
          <cell r="CV944">
            <v>0</v>
          </cell>
          <cell r="CW944">
            <v>0</v>
          </cell>
          <cell r="CX944">
            <v>0</v>
          </cell>
          <cell r="CY944">
            <v>0</v>
          </cell>
          <cell r="CZ944">
            <v>0</v>
          </cell>
          <cell r="DA944">
            <v>0</v>
          </cell>
          <cell r="DB944">
            <v>0</v>
          </cell>
          <cell r="DC944">
            <v>0</v>
          </cell>
          <cell r="DD944">
            <v>0</v>
          </cell>
          <cell r="DE944">
            <v>0</v>
          </cell>
          <cell r="DF944">
            <v>0</v>
          </cell>
          <cell r="DG944">
            <v>0</v>
          </cell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T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0</v>
          </cell>
          <cell r="BK945">
            <v>0</v>
          </cell>
          <cell r="BL945">
            <v>0</v>
          </cell>
          <cell r="BM945">
            <v>0</v>
          </cell>
          <cell r="BN945">
            <v>0</v>
          </cell>
          <cell r="BO945">
            <v>0</v>
          </cell>
          <cell r="BP945">
            <v>0</v>
          </cell>
          <cell r="BQ945">
            <v>0</v>
          </cell>
          <cell r="BR945">
            <v>0</v>
          </cell>
          <cell r="BS945">
            <v>0</v>
          </cell>
          <cell r="BT945">
            <v>0</v>
          </cell>
          <cell r="BU945">
            <v>0</v>
          </cell>
          <cell r="BV945">
            <v>0</v>
          </cell>
          <cell r="BW945">
            <v>0</v>
          </cell>
          <cell r="BX945">
            <v>0</v>
          </cell>
          <cell r="BY945">
            <v>0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0</v>
          </cell>
          <cell r="CE945">
            <v>0</v>
          </cell>
          <cell r="CF945">
            <v>0</v>
          </cell>
          <cell r="CG945">
            <v>0</v>
          </cell>
          <cell r="CH945">
            <v>0</v>
          </cell>
          <cell r="CI945">
            <v>0</v>
          </cell>
          <cell r="CJ945">
            <v>0</v>
          </cell>
          <cell r="CK945">
            <v>0</v>
          </cell>
          <cell r="CL945">
            <v>0</v>
          </cell>
          <cell r="CM945">
            <v>0</v>
          </cell>
          <cell r="CN945">
            <v>0</v>
          </cell>
          <cell r="CO945">
            <v>0</v>
          </cell>
          <cell r="CP945">
            <v>0</v>
          </cell>
          <cell r="CQ945">
            <v>0</v>
          </cell>
          <cell r="CR945">
            <v>0</v>
          </cell>
          <cell r="CS945">
            <v>0</v>
          </cell>
          <cell r="CT945">
            <v>0</v>
          </cell>
          <cell r="CU945">
            <v>0</v>
          </cell>
          <cell r="CV945">
            <v>0</v>
          </cell>
          <cell r="CW945">
            <v>0</v>
          </cell>
          <cell r="CX945">
            <v>0</v>
          </cell>
          <cell r="CY945">
            <v>0</v>
          </cell>
          <cell r="CZ945">
            <v>0</v>
          </cell>
          <cell r="DA945">
            <v>0</v>
          </cell>
          <cell r="DB945">
            <v>0</v>
          </cell>
          <cell r="DC945">
            <v>0</v>
          </cell>
          <cell r="DD945">
            <v>0</v>
          </cell>
          <cell r="DE945">
            <v>0</v>
          </cell>
          <cell r="DF945">
            <v>0</v>
          </cell>
          <cell r="DG945">
            <v>0</v>
          </cell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T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0</v>
          </cell>
          <cell r="BK946">
            <v>0</v>
          </cell>
          <cell r="BL946">
            <v>0</v>
          </cell>
          <cell r="BM946">
            <v>0</v>
          </cell>
          <cell r="BN946">
            <v>0</v>
          </cell>
          <cell r="BO946">
            <v>0</v>
          </cell>
          <cell r="BP946">
            <v>0</v>
          </cell>
          <cell r="BQ946">
            <v>0</v>
          </cell>
          <cell r="BR946">
            <v>0</v>
          </cell>
          <cell r="BS946">
            <v>0</v>
          </cell>
          <cell r="BT946">
            <v>0</v>
          </cell>
          <cell r="BU946">
            <v>0</v>
          </cell>
          <cell r="BV946">
            <v>0</v>
          </cell>
          <cell r="BW946">
            <v>0</v>
          </cell>
          <cell r="BX946">
            <v>0</v>
          </cell>
          <cell r="BY946">
            <v>0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0</v>
          </cell>
          <cell r="CE946">
            <v>0</v>
          </cell>
          <cell r="CF946">
            <v>0</v>
          </cell>
          <cell r="CG946">
            <v>0</v>
          </cell>
          <cell r="CH946">
            <v>0</v>
          </cell>
          <cell r="CI946">
            <v>0</v>
          </cell>
          <cell r="CJ946">
            <v>0</v>
          </cell>
          <cell r="CK946">
            <v>0</v>
          </cell>
          <cell r="CL946">
            <v>0</v>
          </cell>
          <cell r="CM946">
            <v>0</v>
          </cell>
          <cell r="CN946">
            <v>0</v>
          </cell>
          <cell r="CO946">
            <v>0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  <cell r="DD946">
            <v>0</v>
          </cell>
          <cell r="DE946">
            <v>0</v>
          </cell>
          <cell r="DF946">
            <v>0</v>
          </cell>
          <cell r="DG946">
            <v>0</v>
          </cell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T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  <cell r="BF947">
            <v>0</v>
          </cell>
          <cell r="BG947">
            <v>0</v>
          </cell>
          <cell r="BH947">
            <v>0</v>
          </cell>
          <cell r="BI947">
            <v>0</v>
          </cell>
          <cell r="BJ947">
            <v>0</v>
          </cell>
          <cell r="BK947">
            <v>0</v>
          </cell>
          <cell r="BL947">
            <v>0</v>
          </cell>
          <cell r="BM947">
            <v>0</v>
          </cell>
          <cell r="BN947">
            <v>0</v>
          </cell>
          <cell r="BO947">
            <v>0</v>
          </cell>
          <cell r="BP947">
            <v>0</v>
          </cell>
          <cell r="BQ947">
            <v>0</v>
          </cell>
          <cell r="BR947">
            <v>0</v>
          </cell>
          <cell r="BS947">
            <v>0</v>
          </cell>
          <cell r="BT947">
            <v>0</v>
          </cell>
          <cell r="BU947">
            <v>0</v>
          </cell>
          <cell r="BV947">
            <v>0</v>
          </cell>
          <cell r="BW947">
            <v>0</v>
          </cell>
          <cell r="BX947">
            <v>0</v>
          </cell>
          <cell r="BY947">
            <v>0</v>
          </cell>
          <cell r="BZ947">
            <v>0</v>
          </cell>
          <cell r="CA947">
            <v>0</v>
          </cell>
          <cell r="CB947">
            <v>0</v>
          </cell>
          <cell r="CC947">
            <v>0</v>
          </cell>
          <cell r="CD947">
            <v>0</v>
          </cell>
          <cell r="CE947">
            <v>0</v>
          </cell>
          <cell r="CF947">
            <v>0</v>
          </cell>
          <cell r="CG947">
            <v>0</v>
          </cell>
          <cell r="CH947">
            <v>0</v>
          </cell>
          <cell r="CI947">
            <v>0</v>
          </cell>
          <cell r="CJ947">
            <v>0</v>
          </cell>
          <cell r="CK947">
            <v>0</v>
          </cell>
          <cell r="CL947">
            <v>0</v>
          </cell>
          <cell r="CM947">
            <v>0</v>
          </cell>
          <cell r="CN947">
            <v>0</v>
          </cell>
          <cell r="CO947">
            <v>0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0</v>
          </cell>
          <cell r="CU947">
            <v>0</v>
          </cell>
          <cell r="CV947">
            <v>0</v>
          </cell>
          <cell r="CW947">
            <v>0</v>
          </cell>
          <cell r="CX947">
            <v>0</v>
          </cell>
          <cell r="CY947">
            <v>0</v>
          </cell>
          <cell r="CZ947">
            <v>0</v>
          </cell>
          <cell r="DA947">
            <v>0</v>
          </cell>
          <cell r="DB947">
            <v>0</v>
          </cell>
          <cell r="DC947">
            <v>0</v>
          </cell>
          <cell r="DD947">
            <v>0</v>
          </cell>
          <cell r="DE947">
            <v>0</v>
          </cell>
          <cell r="DF947">
            <v>0</v>
          </cell>
          <cell r="DG947">
            <v>0</v>
          </cell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T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  <cell r="BF948">
            <v>0</v>
          </cell>
          <cell r="BG948">
            <v>0</v>
          </cell>
          <cell r="BH948">
            <v>0</v>
          </cell>
          <cell r="BI948">
            <v>0</v>
          </cell>
          <cell r="BJ948">
            <v>0</v>
          </cell>
          <cell r="BK948">
            <v>0</v>
          </cell>
          <cell r="BL948">
            <v>0</v>
          </cell>
          <cell r="BM948">
            <v>0</v>
          </cell>
          <cell r="BN948">
            <v>0</v>
          </cell>
          <cell r="BO948">
            <v>0</v>
          </cell>
          <cell r="BP948">
            <v>0</v>
          </cell>
          <cell r="BQ948">
            <v>0</v>
          </cell>
          <cell r="BR948">
            <v>0</v>
          </cell>
          <cell r="BS948">
            <v>0</v>
          </cell>
          <cell r="BT948">
            <v>0</v>
          </cell>
          <cell r="BU948">
            <v>0</v>
          </cell>
          <cell r="BV948">
            <v>0</v>
          </cell>
          <cell r="BW948">
            <v>0</v>
          </cell>
          <cell r="BX948">
            <v>0</v>
          </cell>
          <cell r="BY948">
            <v>0</v>
          </cell>
          <cell r="BZ948">
            <v>0</v>
          </cell>
          <cell r="CA948">
            <v>0</v>
          </cell>
          <cell r="CB948">
            <v>0</v>
          </cell>
          <cell r="CC948">
            <v>0</v>
          </cell>
          <cell r="CD948">
            <v>0</v>
          </cell>
          <cell r="CE948">
            <v>0</v>
          </cell>
          <cell r="CF948">
            <v>0</v>
          </cell>
          <cell r="CG948">
            <v>0</v>
          </cell>
          <cell r="CH948">
            <v>0</v>
          </cell>
          <cell r="CI948">
            <v>0</v>
          </cell>
          <cell r="CJ948">
            <v>0</v>
          </cell>
          <cell r="CK948">
            <v>0</v>
          </cell>
          <cell r="CL948">
            <v>0</v>
          </cell>
          <cell r="CM948">
            <v>0</v>
          </cell>
          <cell r="CN948">
            <v>0</v>
          </cell>
          <cell r="CO948">
            <v>0</v>
          </cell>
          <cell r="CP948">
            <v>0</v>
          </cell>
          <cell r="CQ948">
            <v>0</v>
          </cell>
          <cell r="CR948">
            <v>0</v>
          </cell>
          <cell r="CS948">
            <v>0</v>
          </cell>
          <cell r="CT948">
            <v>0</v>
          </cell>
          <cell r="CU948">
            <v>0</v>
          </cell>
          <cell r="CV948">
            <v>0</v>
          </cell>
          <cell r="CW948">
            <v>0</v>
          </cell>
          <cell r="CX948">
            <v>0</v>
          </cell>
          <cell r="CY948">
            <v>0</v>
          </cell>
          <cell r="CZ948">
            <v>0</v>
          </cell>
          <cell r="DA948">
            <v>0</v>
          </cell>
          <cell r="DB948">
            <v>0</v>
          </cell>
          <cell r="DC948">
            <v>0</v>
          </cell>
          <cell r="DD948">
            <v>0</v>
          </cell>
          <cell r="DE948">
            <v>0</v>
          </cell>
          <cell r="DF948">
            <v>0</v>
          </cell>
          <cell r="DG948">
            <v>0</v>
          </cell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T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</row>
        <row r="949"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</row>
        <row r="950"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0</v>
          </cell>
          <cell r="BK950">
            <v>0</v>
          </cell>
          <cell r="BL950">
            <v>0</v>
          </cell>
          <cell r="BM950">
            <v>0</v>
          </cell>
          <cell r="BN950">
            <v>0</v>
          </cell>
          <cell r="BO950">
            <v>0</v>
          </cell>
          <cell r="BP950">
            <v>0</v>
          </cell>
          <cell r="BQ950">
            <v>0</v>
          </cell>
          <cell r="BR950">
            <v>0</v>
          </cell>
          <cell r="BS950">
            <v>0</v>
          </cell>
          <cell r="BT950">
            <v>0</v>
          </cell>
          <cell r="BU950">
            <v>0</v>
          </cell>
          <cell r="BV950">
            <v>0</v>
          </cell>
          <cell r="BW950">
            <v>0</v>
          </cell>
          <cell r="BX950">
            <v>0</v>
          </cell>
          <cell r="BY950">
            <v>0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0</v>
          </cell>
          <cell r="CE950">
            <v>0</v>
          </cell>
          <cell r="CF950">
            <v>0</v>
          </cell>
          <cell r="CG950">
            <v>0</v>
          </cell>
          <cell r="CH950">
            <v>0</v>
          </cell>
          <cell r="CI950">
            <v>0</v>
          </cell>
          <cell r="CJ950">
            <v>0</v>
          </cell>
          <cell r="CK950">
            <v>0</v>
          </cell>
          <cell r="CL950">
            <v>0</v>
          </cell>
          <cell r="CM950">
            <v>0</v>
          </cell>
          <cell r="CN950">
            <v>0</v>
          </cell>
          <cell r="CO950">
            <v>0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0</v>
          </cell>
          <cell r="CU950">
            <v>0</v>
          </cell>
          <cell r="CV950">
            <v>0</v>
          </cell>
          <cell r="CW950">
            <v>0</v>
          </cell>
          <cell r="CX950">
            <v>0</v>
          </cell>
          <cell r="CY950">
            <v>0</v>
          </cell>
          <cell r="CZ950">
            <v>0</v>
          </cell>
          <cell r="DA950">
            <v>0</v>
          </cell>
          <cell r="DB950">
            <v>0</v>
          </cell>
          <cell r="DC950">
            <v>0</v>
          </cell>
          <cell r="DD950">
            <v>0</v>
          </cell>
          <cell r="DE950">
            <v>0</v>
          </cell>
          <cell r="DF950">
            <v>0</v>
          </cell>
          <cell r="DG950">
            <v>0</v>
          </cell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T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</row>
        <row r="952">
          <cell r="A952" t="str">
            <v>Peak Capacity (Nameplate)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J953">
            <v>0</v>
          </cell>
          <cell r="BK953">
            <v>0</v>
          </cell>
          <cell r="BL953">
            <v>0</v>
          </cell>
          <cell r="BM953">
            <v>0</v>
          </cell>
          <cell r="BN953">
            <v>0</v>
          </cell>
          <cell r="BO953">
            <v>0</v>
          </cell>
          <cell r="BP953">
            <v>0</v>
          </cell>
          <cell r="BQ953">
            <v>0</v>
          </cell>
          <cell r="BR953">
            <v>0</v>
          </cell>
          <cell r="BS953">
            <v>0</v>
          </cell>
          <cell r="BT953">
            <v>0</v>
          </cell>
          <cell r="BU953">
            <v>0</v>
          </cell>
          <cell r="BV953">
            <v>0</v>
          </cell>
          <cell r="BW953">
            <v>0</v>
          </cell>
          <cell r="BX953">
            <v>0</v>
          </cell>
          <cell r="BY953">
            <v>0</v>
          </cell>
          <cell r="BZ953">
            <v>0</v>
          </cell>
          <cell r="CA953">
            <v>0</v>
          </cell>
          <cell r="CB953">
            <v>0</v>
          </cell>
          <cell r="CC953">
            <v>0</v>
          </cell>
          <cell r="CD953">
            <v>0</v>
          </cell>
          <cell r="CE953">
            <v>0</v>
          </cell>
          <cell r="CF953">
            <v>0</v>
          </cell>
          <cell r="CG953">
            <v>0</v>
          </cell>
          <cell r="CH953">
            <v>0</v>
          </cell>
          <cell r="CI953">
            <v>0</v>
          </cell>
          <cell r="CJ953">
            <v>0</v>
          </cell>
          <cell r="CK953">
            <v>0</v>
          </cell>
          <cell r="CL953">
            <v>0</v>
          </cell>
          <cell r="CM953">
            <v>0</v>
          </cell>
          <cell r="CN953">
            <v>0</v>
          </cell>
          <cell r="CO953">
            <v>0</v>
          </cell>
          <cell r="CP953">
            <v>0</v>
          </cell>
          <cell r="CQ953">
            <v>0</v>
          </cell>
          <cell r="CR953">
            <v>0</v>
          </cell>
          <cell r="CS953">
            <v>0</v>
          </cell>
          <cell r="CT953">
            <v>0</v>
          </cell>
          <cell r="CU953">
            <v>0</v>
          </cell>
          <cell r="CV953">
            <v>0</v>
          </cell>
          <cell r="CW953">
            <v>0</v>
          </cell>
          <cell r="CX953">
            <v>0</v>
          </cell>
          <cell r="CY953">
            <v>0</v>
          </cell>
          <cell r="CZ953">
            <v>0</v>
          </cell>
          <cell r="DA953">
            <v>0</v>
          </cell>
          <cell r="DB953">
            <v>0</v>
          </cell>
          <cell r="DC953">
            <v>0</v>
          </cell>
          <cell r="DD953">
            <v>0</v>
          </cell>
          <cell r="DE953">
            <v>0</v>
          </cell>
          <cell r="DF953">
            <v>0</v>
          </cell>
          <cell r="DG953">
            <v>0</v>
          </cell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T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G956">
            <v>0</v>
          </cell>
          <cell r="CH956">
            <v>0</v>
          </cell>
          <cell r="CI956">
            <v>0</v>
          </cell>
          <cell r="CJ956">
            <v>0</v>
          </cell>
          <cell r="CK956">
            <v>0</v>
          </cell>
          <cell r="CL956">
            <v>0</v>
          </cell>
          <cell r="CM956">
            <v>0</v>
          </cell>
          <cell r="CN956">
            <v>0</v>
          </cell>
          <cell r="CO956">
            <v>0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0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  <cell r="DD956">
            <v>0</v>
          </cell>
          <cell r="DE956">
            <v>0</v>
          </cell>
          <cell r="DF956">
            <v>0</v>
          </cell>
          <cell r="DG956">
            <v>0</v>
          </cell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T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</row>
        <row r="957"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  <cell r="CF957">
            <v>0</v>
          </cell>
          <cell r="CG957">
            <v>0</v>
          </cell>
          <cell r="CH957">
            <v>0</v>
          </cell>
          <cell r="CI957">
            <v>0</v>
          </cell>
          <cell r="CJ957">
            <v>0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  <cell r="CO957">
            <v>0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  <cell r="DD957">
            <v>0</v>
          </cell>
          <cell r="DE957">
            <v>0</v>
          </cell>
          <cell r="DF957">
            <v>0</v>
          </cell>
          <cell r="DG957">
            <v>0</v>
          </cell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T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</row>
        <row r="958"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0</v>
          </cell>
          <cell r="BK958">
            <v>0</v>
          </cell>
          <cell r="BL958">
            <v>0</v>
          </cell>
          <cell r="BM958">
            <v>0</v>
          </cell>
          <cell r="BN958">
            <v>0</v>
          </cell>
          <cell r="BO958">
            <v>0</v>
          </cell>
          <cell r="BP958">
            <v>0</v>
          </cell>
          <cell r="BQ958">
            <v>0</v>
          </cell>
          <cell r="BR958">
            <v>0</v>
          </cell>
          <cell r="BS958">
            <v>0</v>
          </cell>
          <cell r="BT958">
            <v>0</v>
          </cell>
          <cell r="BU958">
            <v>0</v>
          </cell>
          <cell r="BV958">
            <v>0</v>
          </cell>
          <cell r="BW958">
            <v>0</v>
          </cell>
          <cell r="BX958">
            <v>0</v>
          </cell>
          <cell r="BY958">
            <v>0</v>
          </cell>
          <cell r="BZ958">
            <v>0</v>
          </cell>
          <cell r="CA958">
            <v>0</v>
          </cell>
          <cell r="CB958">
            <v>0</v>
          </cell>
          <cell r="CC958">
            <v>0</v>
          </cell>
          <cell r="CD958">
            <v>0</v>
          </cell>
          <cell r="CE958">
            <v>0</v>
          </cell>
          <cell r="CF958">
            <v>0</v>
          </cell>
          <cell r="CG958">
            <v>0</v>
          </cell>
          <cell r="CH958">
            <v>0</v>
          </cell>
          <cell r="CI958">
            <v>0</v>
          </cell>
          <cell r="CJ958">
            <v>0</v>
          </cell>
          <cell r="CK958">
            <v>0</v>
          </cell>
          <cell r="CL958">
            <v>0</v>
          </cell>
          <cell r="CM958">
            <v>0</v>
          </cell>
          <cell r="CN958">
            <v>0</v>
          </cell>
          <cell r="CO958">
            <v>0</v>
          </cell>
          <cell r="CP958">
            <v>0</v>
          </cell>
          <cell r="CQ958">
            <v>0</v>
          </cell>
          <cell r="CR958">
            <v>0</v>
          </cell>
          <cell r="CS958">
            <v>0</v>
          </cell>
          <cell r="CT958">
            <v>0</v>
          </cell>
          <cell r="CU958">
            <v>0</v>
          </cell>
          <cell r="CV958">
            <v>0</v>
          </cell>
          <cell r="CW958">
            <v>0</v>
          </cell>
          <cell r="CX958">
            <v>0</v>
          </cell>
          <cell r="CY958">
            <v>0</v>
          </cell>
          <cell r="CZ958">
            <v>0</v>
          </cell>
          <cell r="DA958">
            <v>0</v>
          </cell>
          <cell r="DB958">
            <v>0</v>
          </cell>
          <cell r="DC958">
            <v>0</v>
          </cell>
          <cell r="DD958">
            <v>0</v>
          </cell>
          <cell r="DE958">
            <v>0</v>
          </cell>
          <cell r="DF958">
            <v>0</v>
          </cell>
          <cell r="DG958">
            <v>0</v>
          </cell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T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  <cell r="BH959">
            <v>0</v>
          </cell>
          <cell r="BI959">
            <v>0</v>
          </cell>
          <cell r="BJ959">
            <v>0</v>
          </cell>
          <cell r="BK959">
            <v>0</v>
          </cell>
          <cell r="BL959">
            <v>0</v>
          </cell>
          <cell r="BM959">
            <v>0</v>
          </cell>
          <cell r="BN959">
            <v>0</v>
          </cell>
          <cell r="BO959">
            <v>0</v>
          </cell>
          <cell r="BP959">
            <v>0</v>
          </cell>
          <cell r="BQ959">
            <v>0</v>
          </cell>
          <cell r="BR959">
            <v>0</v>
          </cell>
          <cell r="BS959">
            <v>0</v>
          </cell>
          <cell r="BT959">
            <v>0</v>
          </cell>
          <cell r="BU959">
            <v>0</v>
          </cell>
          <cell r="BV959">
            <v>0</v>
          </cell>
          <cell r="BW959">
            <v>0</v>
          </cell>
          <cell r="BX959">
            <v>0</v>
          </cell>
          <cell r="BY959">
            <v>0</v>
          </cell>
          <cell r="BZ959">
            <v>0</v>
          </cell>
          <cell r="CA959">
            <v>0</v>
          </cell>
          <cell r="CB959">
            <v>0</v>
          </cell>
          <cell r="CC959">
            <v>0</v>
          </cell>
          <cell r="CD959">
            <v>0</v>
          </cell>
          <cell r="CE959">
            <v>0</v>
          </cell>
          <cell r="CF959">
            <v>0</v>
          </cell>
          <cell r="CG959">
            <v>0</v>
          </cell>
          <cell r="CH959">
            <v>0</v>
          </cell>
          <cell r="CI959">
            <v>0</v>
          </cell>
          <cell r="CJ959">
            <v>0</v>
          </cell>
          <cell r="CK959">
            <v>0</v>
          </cell>
          <cell r="CL959">
            <v>0</v>
          </cell>
          <cell r="CM959">
            <v>0</v>
          </cell>
          <cell r="CN959">
            <v>0</v>
          </cell>
          <cell r="CO959">
            <v>0</v>
          </cell>
          <cell r="CP959">
            <v>0</v>
          </cell>
          <cell r="CQ959">
            <v>0</v>
          </cell>
          <cell r="CR959">
            <v>0</v>
          </cell>
          <cell r="CS959">
            <v>0</v>
          </cell>
          <cell r="CT959">
            <v>0</v>
          </cell>
          <cell r="CU959">
            <v>0</v>
          </cell>
          <cell r="CV959">
            <v>0</v>
          </cell>
          <cell r="CW959">
            <v>0</v>
          </cell>
          <cell r="CX959">
            <v>0</v>
          </cell>
          <cell r="CY959">
            <v>0</v>
          </cell>
          <cell r="CZ959">
            <v>0</v>
          </cell>
          <cell r="DA959">
            <v>0</v>
          </cell>
          <cell r="DB959">
            <v>0</v>
          </cell>
          <cell r="DC959">
            <v>0</v>
          </cell>
          <cell r="DD959">
            <v>0</v>
          </cell>
          <cell r="DE959">
            <v>0</v>
          </cell>
          <cell r="DF959">
            <v>0</v>
          </cell>
          <cell r="DG959">
            <v>0</v>
          </cell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T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0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0</v>
          </cell>
          <cell r="BS960">
            <v>0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</row>
        <row r="961"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  <cell r="CF961">
            <v>0</v>
          </cell>
          <cell r="CG961">
            <v>0</v>
          </cell>
          <cell r="CH961">
            <v>0</v>
          </cell>
          <cell r="CI961">
            <v>0</v>
          </cell>
          <cell r="CJ961">
            <v>0</v>
          </cell>
          <cell r="CK961">
            <v>0</v>
          </cell>
          <cell r="CL961">
            <v>0</v>
          </cell>
          <cell r="CM961">
            <v>0</v>
          </cell>
          <cell r="CN961">
            <v>0</v>
          </cell>
          <cell r="CO961">
            <v>0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0</v>
          </cell>
          <cell r="CU961">
            <v>0</v>
          </cell>
          <cell r="CV961">
            <v>0</v>
          </cell>
          <cell r="CW961">
            <v>0</v>
          </cell>
          <cell r="CX961">
            <v>0</v>
          </cell>
          <cell r="CY961">
            <v>0</v>
          </cell>
          <cell r="CZ961">
            <v>0</v>
          </cell>
          <cell r="DA961">
            <v>0</v>
          </cell>
          <cell r="DB961">
            <v>0</v>
          </cell>
          <cell r="DC961">
            <v>0</v>
          </cell>
          <cell r="DD961">
            <v>0</v>
          </cell>
          <cell r="DE961">
            <v>0</v>
          </cell>
          <cell r="DF961">
            <v>0</v>
          </cell>
          <cell r="DG961">
            <v>0</v>
          </cell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T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0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  <cell r="CF962">
            <v>0</v>
          </cell>
          <cell r="CG962">
            <v>0</v>
          </cell>
          <cell r="CH962">
            <v>0</v>
          </cell>
          <cell r="CI962">
            <v>0</v>
          </cell>
          <cell r="CJ962">
            <v>0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  <cell r="CO962">
            <v>0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0</v>
          </cell>
          <cell r="CU962">
            <v>0</v>
          </cell>
          <cell r="CV962">
            <v>0</v>
          </cell>
          <cell r="CW962">
            <v>0</v>
          </cell>
          <cell r="CX962">
            <v>0</v>
          </cell>
          <cell r="CY962">
            <v>0</v>
          </cell>
          <cell r="CZ962">
            <v>0</v>
          </cell>
          <cell r="DA962">
            <v>0</v>
          </cell>
          <cell r="DB962">
            <v>0</v>
          </cell>
          <cell r="DC962">
            <v>0</v>
          </cell>
          <cell r="DD962">
            <v>0</v>
          </cell>
          <cell r="DE962">
            <v>0</v>
          </cell>
          <cell r="DF962">
            <v>0</v>
          </cell>
          <cell r="DG962">
            <v>0</v>
          </cell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T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</row>
        <row r="963"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  <cell r="BQ964">
            <v>0</v>
          </cell>
          <cell r="BR964">
            <v>0</v>
          </cell>
          <cell r="BS964">
            <v>0</v>
          </cell>
          <cell r="BT964">
            <v>0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  <cell r="CF964">
            <v>0</v>
          </cell>
          <cell r="CG964">
            <v>0</v>
          </cell>
          <cell r="CH964">
            <v>0</v>
          </cell>
          <cell r="CI964">
            <v>0</v>
          </cell>
          <cell r="CJ964">
            <v>0</v>
          </cell>
          <cell r="CK964">
            <v>0</v>
          </cell>
          <cell r="CL964">
            <v>0</v>
          </cell>
          <cell r="CM964">
            <v>0</v>
          </cell>
          <cell r="CN964">
            <v>0</v>
          </cell>
          <cell r="CO964">
            <v>0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0</v>
          </cell>
          <cell r="CU964">
            <v>0</v>
          </cell>
          <cell r="CV964">
            <v>0</v>
          </cell>
          <cell r="CW964">
            <v>0</v>
          </cell>
          <cell r="CX964">
            <v>0</v>
          </cell>
          <cell r="CY964">
            <v>0</v>
          </cell>
          <cell r="CZ964">
            <v>0</v>
          </cell>
          <cell r="DA964">
            <v>0</v>
          </cell>
          <cell r="DB964">
            <v>0</v>
          </cell>
          <cell r="DC964">
            <v>0</v>
          </cell>
          <cell r="DD964">
            <v>0</v>
          </cell>
          <cell r="DE964">
            <v>0</v>
          </cell>
          <cell r="DF964">
            <v>0</v>
          </cell>
          <cell r="DG964">
            <v>0</v>
          </cell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T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  <cell r="CF966">
            <v>0</v>
          </cell>
          <cell r="CG966">
            <v>0</v>
          </cell>
          <cell r="CH966">
            <v>0</v>
          </cell>
          <cell r="CI966">
            <v>0</v>
          </cell>
          <cell r="CJ966">
            <v>0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  <cell r="DD966">
            <v>0</v>
          </cell>
          <cell r="DE966">
            <v>0</v>
          </cell>
          <cell r="DF966">
            <v>0</v>
          </cell>
          <cell r="DG966">
            <v>0</v>
          </cell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T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  <cell r="BQ967">
            <v>0</v>
          </cell>
          <cell r="BR967">
            <v>0</v>
          </cell>
          <cell r="BS967">
            <v>0</v>
          </cell>
          <cell r="BT967">
            <v>0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0</v>
          </cell>
          <cell r="CE967">
            <v>0</v>
          </cell>
          <cell r="CF967">
            <v>0</v>
          </cell>
          <cell r="CG967">
            <v>0</v>
          </cell>
          <cell r="CH967">
            <v>0</v>
          </cell>
          <cell r="CI967">
            <v>0</v>
          </cell>
          <cell r="CJ967">
            <v>0</v>
          </cell>
          <cell r="CK967">
            <v>0</v>
          </cell>
          <cell r="CL967">
            <v>0</v>
          </cell>
          <cell r="CM967">
            <v>0</v>
          </cell>
          <cell r="CN967">
            <v>0</v>
          </cell>
          <cell r="CO967">
            <v>0</v>
          </cell>
          <cell r="CP967">
            <v>0</v>
          </cell>
          <cell r="CQ967">
            <v>0</v>
          </cell>
          <cell r="CR967">
            <v>0</v>
          </cell>
          <cell r="CS967">
            <v>0</v>
          </cell>
          <cell r="CT967">
            <v>0</v>
          </cell>
          <cell r="CU967">
            <v>0</v>
          </cell>
          <cell r="CV967">
            <v>0</v>
          </cell>
          <cell r="CW967">
            <v>0</v>
          </cell>
          <cell r="CX967">
            <v>0</v>
          </cell>
          <cell r="CY967">
            <v>0</v>
          </cell>
          <cell r="CZ967">
            <v>0</v>
          </cell>
          <cell r="DA967">
            <v>0</v>
          </cell>
          <cell r="DB967">
            <v>0</v>
          </cell>
          <cell r="DC967">
            <v>0</v>
          </cell>
          <cell r="DD967">
            <v>0</v>
          </cell>
          <cell r="DE967">
            <v>0</v>
          </cell>
          <cell r="DF967">
            <v>0</v>
          </cell>
          <cell r="DG967">
            <v>0</v>
          </cell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T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H968">
            <v>0</v>
          </cell>
          <cell r="BI968">
            <v>0</v>
          </cell>
          <cell r="BJ968">
            <v>0</v>
          </cell>
          <cell r="BK968">
            <v>0</v>
          </cell>
          <cell r="BL968">
            <v>0</v>
          </cell>
          <cell r="BM968">
            <v>0</v>
          </cell>
          <cell r="BN968">
            <v>0</v>
          </cell>
          <cell r="BO968">
            <v>0</v>
          </cell>
          <cell r="BP968">
            <v>0</v>
          </cell>
          <cell r="BQ968">
            <v>0</v>
          </cell>
          <cell r="BR968">
            <v>0</v>
          </cell>
          <cell r="BS968">
            <v>0</v>
          </cell>
          <cell r="BT968">
            <v>0</v>
          </cell>
          <cell r="BU968">
            <v>0</v>
          </cell>
          <cell r="BV968">
            <v>0</v>
          </cell>
          <cell r="BW968">
            <v>0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  <cell r="CF968">
            <v>0</v>
          </cell>
          <cell r="CG968">
            <v>0</v>
          </cell>
          <cell r="CH968">
            <v>0</v>
          </cell>
          <cell r="CI968">
            <v>0</v>
          </cell>
          <cell r="CJ968">
            <v>0</v>
          </cell>
          <cell r="CK968">
            <v>0</v>
          </cell>
          <cell r="CL968">
            <v>0</v>
          </cell>
          <cell r="CM968">
            <v>0</v>
          </cell>
          <cell r="CN968">
            <v>0</v>
          </cell>
          <cell r="CO968">
            <v>0</v>
          </cell>
          <cell r="CP968">
            <v>0</v>
          </cell>
          <cell r="CQ968">
            <v>0</v>
          </cell>
          <cell r="CR968">
            <v>0</v>
          </cell>
          <cell r="CS968">
            <v>0</v>
          </cell>
          <cell r="CT968">
            <v>0</v>
          </cell>
          <cell r="CU968">
            <v>0</v>
          </cell>
          <cell r="CV968">
            <v>0</v>
          </cell>
          <cell r="CW968">
            <v>0</v>
          </cell>
          <cell r="CX968">
            <v>0</v>
          </cell>
          <cell r="CY968">
            <v>0</v>
          </cell>
          <cell r="CZ968">
            <v>0</v>
          </cell>
          <cell r="DA968">
            <v>0</v>
          </cell>
          <cell r="DB968">
            <v>0</v>
          </cell>
          <cell r="DC968">
            <v>0</v>
          </cell>
          <cell r="DD968">
            <v>0</v>
          </cell>
          <cell r="DE968">
            <v>0</v>
          </cell>
          <cell r="DF968">
            <v>0</v>
          </cell>
          <cell r="DG968">
            <v>0</v>
          </cell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T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G969">
            <v>0</v>
          </cell>
          <cell r="CH969">
            <v>0</v>
          </cell>
          <cell r="CI969">
            <v>0</v>
          </cell>
          <cell r="CJ969">
            <v>0</v>
          </cell>
          <cell r="CK969">
            <v>0</v>
          </cell>
          <cell r="CL969">
            <v>0</v>
          </cell>
          <cell r="CM969">
            <v>0</v>
          </cell>
          <cell r="CN969">
            <v>0</v>
          </cell>
          <cell r="CO969">
            <v>0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0</v>
          </cell>
          <cell r="CU969">
            <v>0</v>
          </cell>
          <cell r="CV969">
            <v>0</v>
          </cell>
          <cell r="CW969">
            <v>0</v>
          </cell>
          <cell r="CX969">
            <v>0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  <cell r="DD969">
            <v>0</v>
          </cell>
          <cell r="DE969">
            <v>0</v>
          </cell>
          <cell r="DF969">
            <v>0</v>
          </cell>
          <cell r="DG969">
            <v>0</v>
          </cell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T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  <cell r="BH970">
            <v>0</v>
          </cell>
          <cell r="BI970">
            <v>0</v>
          </cell>
          <cell r="BJ970">
            <v>0</v>
          </cell>
          <cell r="BK970">
            <v>0</v>
          </cell>
          <cell r="BL970">
            <v>0</v>
          </cell>
          <cell r="BM970">
            <v>0</v>
          </cell>
          <cell r="BN970">
            <v>0</v>
          </cell>
          <cell r="BO970">
            <v>0</v>
          </cell>
          <cell r="BP970">
            <v>0</v>
          </cell>
          <cell r="BQ970">
            <v>0</v>
          </cell>
          <cell r="BR970">
            <v>0</v>
          </cell>
          <cell r="BS970">
            <v>0</v>
          </cell>
          <cell r="BT970">
            <v>0</v>
          </cell>
          <cell r="BU970">
            <v>0</v>
          </cell>
          <cell r="BV970">
            <v>0</v>
          </cell>
          <cell r="BW970">
            <v>0</v>
          </cell>
          <cell r="BX970">
            <v>0</v>
          </cell>
          <cell r="BY970">
            <v>0</v>
          </cell>
          <cell r="BZ970">
            <v>0</v>
          </cell>
          <cell r="CA970">
            <v>0</v>
          </cell>
          <cell r="CB970">
            <v>0</v>
          </cell>
          <cell r="CC970">
            <v>0</v>
          </cell>
          <cell r="CD970">
            <v>0</v>
          </cell>
          <cell r="CE970">
            <v>0</v>
          </cell>
          <cell r="CF970">
            <v>0</v>
          </cell>
          <cell r="CG970">
            <v>0</v>
          </cell>
          <cell r="CH970">
            <v>0</v>
          </cell>
          <cell r="CI970">
            <v>0</v>
          </cell>
          <cell r="CJ970">
            <v>0</v>
          </cell>
          <cell r="CK970">
            <v>0</v>
          </cell>
          <cell r="CL970">
            <v>0</v>
          </cell>
          <cell r="CM970">
            <v>0</v>
          </cell>
          <cell r="CN970">
            <v>0</v>
          </cell>
          <cell r="CO970">
            <v>0</v>
          </cell>
          <cell r="CP970">
            <v>0</v>
          </cell>
          <cell r="CQ970">
            <v>0</v>
          </cell>
          <cell r="CR970">
            <v>0</v>
          </cell>
          <cell r="CS970">
            <v>0</v>
          </cell>
          <cell r="CT970">
            <v>0</v>
          </cell>
          <cell r="CU970">
            <v>0</v>
          </cell>
          <cell r="CV970">
            <v>0</v>
          </cell>
          <cell r="CW970">
            <v>0</v>
          </cell>
          <cell r="CX970">
            <v>0</v>
          </cell>
          <cell r="CY970">
            <v>0</v>
          </cell>
          <cell r="CZ970">
            <v>0</v>
          </cell>
          <cell r="DA970">
            <v>0</v>
          </cell>
          <cell r="DB970">
            <v>0</v>
          </cell>
          <cell r="DC970">
            <v>0</v>
          </cell>
          <cell r="DD970">
            <v>0</v>
          </cell>
          <cell r="DE970">
            <v>0</v>
          </cell>
          <cell r="DF970">
            <v>0</v>
          </cell>
          <cell r="DG970">
            <v>0</v>
          </cell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T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  <cell r="BI971">
            <v>0</v>
          </cell>
          <cell r="BJ971">
            <v>0</v>
          </cell>
          <cell r="BK971">
            <v>0</v>
          </cell>
          <cell r="BL971">
            <v>0</v>
          </cell>
          <cell r="BM971">
            <v>0</v>
          </cell>
          <cell r="BN971">
            <v>0</v>
          </cell>
          <cell r="BO971">
            <v>0</v>
          </cell>
          <cell r="BP971">
            <v>0</v>
          </cell>
          <cell r="BQ971">
            <v>0</v>
          </cell>
          <cell r="BR971">
            <v>0</v>
          </cell>
          <cell r="BS971">
            <v>0</v>
          </cell>
          <cell r="BT971">
            <v>0</v>
          </cell>
          <cell r="BU971">
            <v>0</v>
          </cell>
          <cell r="BV971">
            <v>0</v>
          </cell>
          <cell r="BW971">
            <v>0</v>
          </cell>
          <cell r="BX971">
            <v>0</v>
          </cell>
          <cell r="BY971">
            <v>0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0</v>
          </cell>
          <cell r="CE971">
            <v>0</v>
          </cell>
          <cell r="CF971">
            <v>0</v>
          </cell>
          <cell r="CG971">
            <v>0</v>
          </cell>
          <cell r="CH971">
            <v>0</v>
          </cell>
          <cell r="CI971">
            <v>0</v>
          </cell>
          <cell r="CJ971">
            <v>0</v>
          </cell>
          <cell r="CK971">
            <v>0</v>
          </cell>
          <cell r="CL971">
            <v>0</v>
          </cell>
          <cell r="CM971">
            <v>0</v>
          </cell>
          <cell r="CN971">
            <v>0</v>
          </cell>
          <cell r="CO971">
            <v>0</v>
          </cell>
          <cell r="CP971">
            <v>0</v>
          </cell>
          <cell r="CQ971">
            <v>0</v>
          </cell>
          <cell r="CR971">
            <v>0</v>
          </cell>
          <cell r="CS971">
            <v>0</v>
          </cell>
          <cell r="CT971">
            <v>0</v>
          </cell>
          <cell r="CU971">
            <v>0</v>
          </cell>
          <cell r="CV971">
            <v>0</v>
          </cell>
          <cell r="CW971">
            <v>0</v>
          </cell>
          <cell r="CX971">
            <v>0</v>
          </cell>
          <cell r="CY971">
            <v>0</v>
          </cell>
          <cell r="CZ971">
            <v>0</v>
          </cell>
          <cell r="DA971">
            <v>0</v>
          </cell>
          <cell r="DB971">
            <v>0</v>
          </cell>
          <cell r="DC971">
            <v>0</v>
          </cell>
          <cell r="DD971">
            <v>0</v>
          </cell>
          <cell r="DE971">
            <v>0</v>
          </cell>
          <cell r="DF971">
            <v>0</v>
          </cell>
          <cell r="DG971">
            <v>0</v>
          </cell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T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  <cell r="BD973">
            <v>0</v>
          </cell>
          <cell r="BE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0</v>
          </cell>
          <cell r="BJ973">
            <v>0</v>
          </cell>
          <cell r="BK973">
            <v>0</v>
          </cell>
          <cell r="BL973">
            <v>0</v>
          </cell>
          <cell r="BM973">
            <v>0</v>
          </cell>
          <cell r="BN973">
            <v>0</v>
          </cell>
          <cell r="BO973">
            <v>0</v>
          </cell>
          <cell r="BP973">
            <v>0</v>
          </cell>
          <cell r="BQ973">
            <v>0</v>
          </cell>
          <cell r="BR973">
            <v>0</v>
          </cell>
          <cell r="BS973">
            <v>0</v>
          </cell>
          <cell r="BT973">
            <v>0</v>
          </cell>
          <cell r="BU973">
            <v>0</v>
          </cell>
          <cell r="BV973">
            <v>0</v>
          </cell>
          <cell r="BW973">
            <v>0</v>
          </cell>
          <cell r="BX973">
            <v>0</v>
          </cell>
          <cell r="BY973">
            <v>0</v>
          </cell>
          <cell r="BZ973">
            <v>0</v>
          </cell>
          <cell r="CA973">
            <v>0</v>
          </cell>
          <cell r="CB973">
            <v>0</v>
          </cell>
          <cell r="CC973">
            <v>0</v>
          </cell>
          <cell r="CD973">
            <v>0</v>
          </cell>
          <cell r="CE973">
            <v>0</v>
          </cell>
          <cell r="CF973">
            <v>0</v>
          </cell>
          <cell r="CG973">
            <v>0</v>
          </cell>
          <cell r="CH973">
            <v>0</v>
          </cell>
          <cell r="CI973">
            <v>0</v>
          </cell>
          <cell r="CJ973">
            <v>0</v>
          </cell>
          <cell r="CK973">
            <v>0</v>
          </cell>
          <cell r="CL973">
            <v>0</v>
          </cell>
          <cell r="CM973">
            <v>0</v>
          </cell>
          <cell r="CN973">
            <v>0</v>
          </cell>
          <cell r="CO973">
            <v>0</v>
          </cell>
          <cell r="CP973">
            <v>0</v>
          </cell>
          <cell r="CQ973">
            <v>0</v>
          </cell>
          <cell r="CR973">
            <v>0</v>
          </cell>
          <cell r="CS973">
            <v>0</v>
          </cell>
          <cell r="CT973">
            <v>0</v>
          </cell>
          <cell r="CU973">
            <v>0</v>
          </cell>
          <cell r="CV973">
            <v>0</v>
          </cell>
          <cell r="CW973">
            <v>0</v>
          </cell>
          <cell r="CX973">
            <v>0</v>
          </cell>
          <cell r="CY973">
            <v>0</v>
          </cell>
          <cell r="CZ973">
            <v>0</v>
          </cell>
          <cell r="DA973">
            <v>0</v>
          </cell>
          <cell r="DB973">
            <v>0</v>
          </cell>
          <cell r="DC973">
            <v>0</v>
          </cell>
          <cell r="DD973">
            <v>0</v>
          </cell>
          <cell r="DE973">
            <v>0</v>
          </cell>
          <cell r="DF973">
            <v>0</v>
          </cell>
          <cell r="DG973">
            <v>0</v>
          </cell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T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0</v>
          </cell>
          <cell r="BJ974">
            <v>0</v>
          </cell>
          <cell r="BK974">
            <v>0</v>
          </cell>
          <cell r="BL974">
            <v>0</v>
          </cell>
          <cell r="BM974">
            <v>0</v>
          </cell>
          <cell r="BN974">
            <v>0</v>
          </cell>
          <cell r="BO974">
            <v>0</v>
          </cell>
          <cell r="BP974">
            <v>0</v>
          </cell>
          <cell r="BQ974">
            <v>0</v>
          </cell>
          <cell r="BR974">
            <v>0</v>
          </cell>
          <cell r="BS974">
            <v>0</v>
          </cell>
          <cell r="BT974">
            <v>0</v>
          </cell>
          <cell r="BU974">
            <v>0</v>
          </cell>
          <cell r="BV974">
            <v>0</v>
          </cell>
          <cell r="BW974">
            <v>0</v>
          </cell>
          <cell r="BX974">
            <v>0</v>
          </cell>
          <cell r="BY974">
            <v>0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  <cell r="CF974">
            <v>0</v>
          </cell>
          <cell r="CG974">
            <v>0</v>
          </cell>
          <cell r="CH974">
            <v>0</v>
          </cell>
          <cell r="CI974">
            <v>0</v>
          </cell>
          <cell r="CJ974">
            <v>0</v>
          </cell>
          <cell r="CK974">
            <v>0</v>
          </cell>
          <cell r="CL974">
            <v>0</v>
          </cell>
          <cell r="CM974">
            <v>0</v>
          </cell>
          <cell r="CN974">
            <v>0</v>
          </cell>
          <cell r="CO974">
            <v>0</v>
          </cell>
          <cell r="CP974">
            <v>0</v>
          </cell>
          <cell r="CQ974">
            <v>0</v>
          </cell>
          <cell r="CR974">
            <v>0</v>
          </cell>
          <cell r="CS974">
            <v>0</v>
          </cell>
          <cell r="CT974">
            <v>0</v>
          </cell>
          <cell r="CU974">
            <v>0</v>
          </cell>
          <cell r="CV974">
            <v>0</v>
          </cell>
          <cell r="CW974">
            <v>0</v>
          </cell>
          <cell r="CX974">
            <v>0</v>
          </cell>
          <cell r="CY974">
            <v>0</v>
          </cell>
          <cell r="CZ974">
            <v>0</v>
          </cell>
          <cell r="DA974">
            <v>0</v>
          </cell>
          <cell r="DB974">
            <v>0</v>
          </cell>
          <cell r="DC974">
            <v>0</v>
          </cell>
          <cell r="DD974">
            <v>0</v>
          </cell>
          <cell r="DE974">
            <v>0</v>
          </cell>
          <cell r="DF974">
            <v>0</v>
          </cell>
          <cell r="DG974">
            <v>0</v>
          </cell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T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0</v>
          </cell>
          <cell r="BJ975">
            <v>0</v>
          </cell>
          <cell r="BK975">
            <v>0</v>
          </cell>
          <cell r="BL975">
            <v>0</v>
          </cell>
          <cell r="BM975">
            <v>0</v>
          </cell>
          <cell r="BN975">
            <v>0</v>
          </cell>
          <cell r="BO975">
            <v>0</v>
          </cell>
          <cell r="BP975">
            <v>0</v>
          </cell>
          <cell r="BQ975">
            <v>0</v>
          </cell>
          <cell r="BR975">
            <v>0</v>
          </cell>
          <cell r="BS975">
            <v>0</v>
          </cell>
          <cell r="BT975">
            <v>0</v>
          </cell>
          <cell r="BU975">
            <v>0</v>
          </cell>
          <cell r="BV975">
            <v>0</v>
          </cell>
          <cell r="BW975">
            <v>0</v>
          </cell>
          <cell r="BX975">
            <v>0</v>
          </cell>
          <cell r="BY975">
            <v>0</v>
          </cell>
          <cell r="BZ975">
            <v>0</v>
          </cell>
          <cell r="CA975">
            <v>0</v>
          </cell>
          <cell r="CB975">
            <v>0</v>
          </cell>
          <cell r="CC975">
            <v>0</v>
          </cell>
          <cell r="CD975">
            <v>0</v>
          </cell>
          <cell r="CE975">
            <v>0</v>
          </cell>
          <cell r="CF975">
            <v>0</v>
          </cell>
          <cell r="CG975">
            <v>0</v>
          </cell>
          <cell r="CH975">
            <v>0</v>
          </cell>
          <cell r="CI975">
            <v>0</v>
          </cell>
          <cell r="CJ975">
            <v>0</v>
          </cell>
          <cell r="CK975">
            <v>0</v>
          </cell>
          <cell r="CL975">
            <v>0</v>
          </cell>
          <cell r="CM975">
            <v>0</v>
          </cell>
          <cell r="CN975">
            <v>0</v>
          </cell>
          <cell r="CO975">
            <v>0</v>
          </cell>
          <cell r="CP975">
            <v>0</v>
          </cell>
          <cell r="CQ975">
            <v>0</v>
          </cell>
          <cell r="CR975">
            <v>0</v>
          </cell>
          <cell r="CS975">
            <v>0</v>
          </cell>
          <cell r="CT975">
            <v>0</v>
          </cell>
          <cell r="CU975">
            <v>0</v>
          </cell>
          <cell r="CV975">
            <v>0</v>
          </cell>
          <cell r="CW975">
            <v>0</v>
          </cell>
          <cell r="CX975">
            <v>0</v>
          </cell>
          <cell r="CY975">
            <v>0</v>
          </cell>
          <cell r="CZ975">
            <v>0</v>
          </cell>
          <cell r="DA975">
            <v>0</v>
          </cell>
          <cell r="DB975">
            <v>0</v>
          </cell>
          <cell r="DC975">
            <v>0</v>
          </cell>
          <cell r="DD975">
            <v>0</v>
          </cell>
          <cell r="DE975">
            <v>0</v>
          </cell>
          <cell r="DF975">
            <v>0</v>
          </cell>
          <cell r="DG975">
            <v>0</v>
          </cell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T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0</v>
          </cell>
          <cell r="BJ976">
            <v>0</v>
          </cell>
          <cell r="BK976">
            <v>0</v>
          </cell>
          <cell r="BL976">
            <v>0</v>
          </cell>
          <cell r="BM976">
            <v>0</v>
          </cell>
          <cell r="BN976">
            <v>0</v>
          </cell>
          <cell r="BO976">
            <v>0</v>
          </cell>
          <cell r="BP976">
            <v>0</v>
          </cell>
          <cell r="BQ976">
            <v>0</v>
          </cell>
          <cell r="BR976">
            <v>0</v>
          </cell>
          <cell r="BS976">
            <v>0</v>
          </cell>
          <cell r="BT976">
            <v>0</v>
          </cell>
          <cell r="BU976">
            <v>0</v>
          </cell>
          <cell r="BV976">
            <v>0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  <cell r="BH977">
            <v>0</v>
          </cell>
          <cell r="BI977">
            <v>0</v>
          </cell>
          <cell r="BJ977">
            <v>0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0</v>
          </cell>
          <cell r="BQ977">
            <v>0</v>
          </cell>
          <cell r="BR977">
            <v>0</v>
          </cell>
          <cell r="BS977">
            <v>0</v>
          </cell>
          <cell r="BT977">
            <v>0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  <cell r="CF977">
            <v>0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M977">
            <v>0</v>
          </cell>
          <cell r="CN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0</v>
          </cell>
          <cell r="CU977">
            <v>0</v>
          </cell>
          <cell r="CV977">
            <v>0</v>
          </cell>
          <cell r="CW977">
            <v>0</v>
          </cell>
          <cell r="CX977">
            <v>0</v>
          </cell>
          <cell r="CY977">
            <v>0</v>
          </cell>
          <cell r="CZ977">
            <v>0</v>
          </cell>
          <cell r="DA977">
            <v>0</v>
          </cell>
          <cell r="DB977">
            <v>0</v>
          </cell>
          <cell r="DC977">
            <v>0</v>
          </cell>
          <cell r="DD977">
            <v>0</v>
          </cell>
          <cell r="DE977">
            <v>0</v>
          </cell>
          <cell r="DF977">
            <v>0</v>
          </cell>
          <cell r="DG977">
            <v>0</v>
          </cell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T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  <cell r="DE978">
            <v>0</v>
          </cell>
          <cell r="DF978">
            <v>0</v>
          </cell>
          <cell r="DG978">
            <v>0</v>
          </cell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T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  <cell r="DD979">
            <v>0</v>
          </cell>
          <cell r="DE979">
            <v>0</v>
          </cell>
          <cell r="DF979">
            <v>0</v>
          </cell>
          <cell r="DG979">
            <v>0</v>
          </cell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0</v>
          </cell>
          <cell r="CU980">
            <v>0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  <cell r="DD980">
            <v>0</v>
          </cell>
          <cell r="DE980">
            <v>0</v>
          </cell>
          <cell r="DF980">
            <v>0</v>
          </cell>
          <cell r="DG980">
            <v>0</v>
          </cell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T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0</v>
          </cell>
          <cell r="BJ981">
            <v>0</v>
          </cell>
          <cell r="BK981">
            <v>0</v>
          </cell>
          <cell r="BL981">
            <v>0</v>
          </cell>
          <cell r="BM981">
            <v>0</v>
          </cell>
          <cell r="BN981">
            <v>0</v>
          </cell>
          <cell r="BO981">
            <v>0</v>
          </cell>
          <cell r="BP981">
            <v>0</v>
          </cell>
          <cell r="BQ981">
            <v>0</v>
          </cell>
          <cell r="BR981">
            <v>0</v>
          </cell>
          <cell r="BS981">
            <v>0</v>
          </cell>
          <cell r="BT981">
            <v>0</v>
          </cell>
          <cell r="BU981">
            <v>0</v>
          </cell>
          <cell r="BV981">
            <v>0</v>
          </cell>
          <cell r="BW981">
            <v>0</v>
          </cell>
          <cell r="BX981">
            <v>0</v>
          </cell>
          <cell r="BY981">
            <v>0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0</v>
          </cell>
          <cell r="CF981">
            <v>0</v>
          </cell>
          <cell r="CG981">
            <v>0</v>
          </cell>
          <cell r="CH981">
            <v>0</v>
          </cell>
          <cell r="CI981">
            <v>0</v>
          </cell>
          <cell r="CJ981">
            <v>0</v>
          </cell>
          <cell r="CK981">
            <v>0</v>
          </cell>
          <cell r="CL981">
            <v>0</v>
          </cell>
          <cell r="CM981">
            <v>0</v>
          </cell>
          <cell r="CN981">
            <v>0</v>
          </cell>
          <cell r="CO981">
            <v>0</v>
          </cell>
          <cell r="CP981">
            <v>0</v>
          </cell>
          <cell r="CQ981">
            <v>0</v>
          </cell>
          <cell r="CR981">
            <v>0</v>
          </cell>
          <cell r="CS981">
            <v>0</v>
          </cell>
          <cell r="CT981">
            <v>0</v>
          </cell>
          <cell r="CU981">
            <v>0</v>
          </cell>
          <cell r="CV981">
            <v>0</v>
          </cell>
          <cell r="CW981">
            <v>0</v>
          </cell>
          <cell r="CX981">
            <v>0</v>
          </cell>
          <cell r="CY981">
            <v>0</v>
          </cell>
          <cell r="CZ981">
            <v>0</v>
          </cell>
          <cell r="DA981">
            <v>0</v>
          </cell>
          <cell r="DB981">
            <v>0</v>
          </cell>
          <cell r="DC981">
            <v>0</v>
          </cell>
          <cell r="DD981">
            <v>0</v>
          </cell>
          <cell r="DE981">
            <v>0</v>
          </cell>
          <cell r="DF981">
            <v>0</v>
          </cell>
          <cell r="DG981">
            <v>0</v>
          </cell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T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0</v>
          </cell>
          <cell r="BJ982">
            <v>0</v>
          </cell>
          <cell r="BK982">
            <v>0</v>
          </cell>
          <cell r="BL982">
            <v>0</v>
          </cell>
          <cell r="BM982">
            <v>0</v>
          </cell>
          <cell r="BN982">
            <v>0</v>
          </cell>
          <cell r="BO982">
            <v>0</v>
          </cell>
          <cell r="BP982">
            <v>0</v>
          </cell>
          <cell r="BQ982">
            <v>0</v>
          </cell>
          <cell r="BR982">
            <v>0</v>
          </cell>
          <cell r="BS982">
            <v>0</v>
          </cell>
          <cell r="BT982">
            <v>0</v>
          </cell>
          <cell r="BU982">
            <v>0</v>
          </cell>
          <cell r="BV982">
            <v>0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0</v>
          </cell>
          <cell r="CE982">
            <v>0</v>
          </cell>
          <cell r="CF982">
            <v>0</v>
          </cell>
          <cell r="CG982">
            <v>0</v>
          </cell>
          <cell r="CH982">
            <v>0</v>
          </cell>
          <cell r="CI982">
            <v>0</v>
          </cell>
          <cell r="CJ982">
            <v>0</v>
          </cell>
          <cell r="CK982">
            <v>0</v>
          </cell>
          <cell r="CL982">
            <v>0</v>
          </cell>
          <cell r="CM982">
            <v>0</v>
          </cell>
          <cell r="CN982">
            <v>0</v>
          </cell>
          <cell r="CO982">
            <v>0</v>
          </cell>
          <cell r="CP982">
            <v>0</v>
          </cell>
          <cell r="CQ982">
            <v>0</v>
          </cell>
          <cell r="CR982">
            <v>0</v>
          </cell>
          <cell r="CS982">
            <v>0</v>
          </cell>
          <cell r="CT982">
            <v>0</v>
          </cell>
          <cell r="CU982">
            <v>0</v>
          </cell>
          <cell r="CV982">
            <v>0</v>
          </cell>
          <cell r="CW982">
            <v>0</v>
          </cell>
          <cell r="CX982">
            <v>0</v>
          </cell>
          <cell r="CY982">
            <v>0</v>
          </cell>
          <cell r="CZ982">
            <v>0</v>
          </cell>
          <cell r="DA982">
            <v>0</v>
          </cell>
          <cell r="DB982">
            <v>0</v>
          </cell>
          <cell r="DC982">
            <v>0</v>
          </cell>
          <cell r="DD982">
            <v>0</v>
          </cell>
          <cell r="DE982">
            <v>0</v>
          </cell>
          <cell r="DF982">
            <v>0</v>
          </cell>
          <cell r="DG982">
            <v>0</v>
          </cell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T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</row>
        <row r="983"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F983">
            <v>0</v>
          </cell>
          <cell r="BG983">
            <v>0</v>
          </cell>
          <cell r="BH983">
            <v>0</v>
          </cell>
          <cell r="BI983">
            <v>0</v>
          </cell>
          <cell r="BJ983">
            <v>0</v>
          </cell>
          <cell r="BK983">
            <v>0</v>
          </cell>
          <cell r="BL983">
            <v>0</v>
          </cell>
          <cell r="BM983">
            <v>0</v>
          </cell>
          <cell r="BN983">
            <v>0</v>
          </cell>
          <cell r="BO983">
            <v>0</v>
          </cell>
          <cell r="BP983">
            <v>0</v>
          </cell>
          <cell r="BQ983">
            <v>0</v>
          </cell>
          <cell r="BR983">
            <v>0</v>
          </cell>
          <cell r="BS983">
            <v>0</v>
          </cell>
          <cell r="BT983">
            <v>0</v>
          </cell>
          <cell r="BU983">
            <v>0</v>
          </cell>
          <cell r="BV983">
            <v>0</v>
          </cell>
          <cell r="BW983">
            <v>0</v>
          </cell>
          <cell r="BX983">
            <v>0</v>
          </cell>
          <cell r="BY983">
            <v>0</v>
          </cell>
          <cell r="BZ983">
            <v>0</v>
          </cell>
          <cell r="CA983">
            <v>0</v>
          </cell>
          <cell r="CB983">
            <v>0</v>
          </cell>
          <cell r="CC983">
            <v>0</v>
          </cell>
          <cell r="CD983">
            <v>0</v>
          </cell>
          <cell r="CE983">
            <v>0</v>
          </cell>
          <cell r="CF983">
            <v>0</v>
          </cell>
          <cell r="CG983">
            <v>0</v>
          </cell>
          <cell r="CH983">
            <v>0</v>
          </cell>
          <cell r="CI983">
            <v>0</v>
          </cell>
          <cell r="CJ983">
            <v>0</v>
          </cell>
          <cell r="CK983">
            <v>0</v>
          </cell>
          <cell r="CL983">
            <v>0</v>
          </cell>
          <cell r="CM983">
            <v>0</v>
          </cell>
          <cell r="CN983">
            <v>0</v>
          </cell>
          <cell r="CO983">
            <v>0</v>
          </cell>
          <cell r="CP983">
            <v>0</v>
          </cell>
          <cell r="CQ983">
            <v>0</v>
          </cell>
          <cell r="CR983">
            <v>0</v>
          </cell>
          <cell r="CS983">
            <v>0</v>
          </cell>
          <cell r="CT983">
            <v>0</v>
          </cell>
          <cell r="CU983">
            <v>0</v>
          </cell>
          <cell r="CV983">
            <v>0</v>
          </cell>
          <cell r="CW983">
            <v>0</v>
          </cell>
          <cell r="CX983">
            <v>0</v>
          </cell>
          <cell r="CY983">
            <v>0</v>
          </cell>
          <cell r="CZ983">
            <v>0</v>
          </cell>
          <cell r="DA983">
            <v>0</v>
          </cell>
          <cell r="DB983">
            <v>0</v>
          </cell>
          <cell r="DC983">
            <v>0</v>
          </cell>
          <cell r="DD983">
            <v>0</v>
          </cell>
          <cell r="DE983">
            <v>0</v>
          </cell>
          <cell r="DF983">
            <v>0</v>
          </cell>
          <cell r="DG983">
            <v>0</v>
          </cell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T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</row>
        <row r="984"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0</v>
          </cell>
          <cell r="CU984">
            <v>0</v>
          </cell>
          <cell r="CV984">
            <v>0</v>
          </cell>
          <cell r="CW984">
            <v>0</v>
          </cell>
          <cell r="CX984">
            <v>0</v>
          </cell>
          <cell r="CY984">
            <v>0</v>
          </cell>
          <cell r="CZ984">
            <v>0</v>
          </cell>
          <cell r="DA984">
            <v>0</v>
          </cell>
          <cell r="DB984">
            <v>0</v>
          </cell>
          <cell r="DC984">
            <v>0</v>
          </cell>
          <cell r="DD984">
            <v>0</v>
          </cell>
          <cell r="DE984">
            <v>0</v>
          </cell>
          <cell r="DF984">
            <v>0</v>
          </cell>
          <cell r="DG984">
            <v>0</v>
          </cell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T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0</v>
          </cell>
          <cell r="CU985">
            <v>0</v>
          </cell>
          <cell r="CV985">
            <v>0</v>
          </cell>
          <cell r="CW985">
            <v>0</v>
          </cell>
          <cell r="CX985">
            <v>0</v>
          </cell>
          <cell r="CY985">
            <v>0</v>
          </cell>
          <cell r="CZ985">
            <v>0</v>
          </cell>
          <cell r="DA985">
            <v>0</v>
          </cell>
          <cell r="DB985">
            <v>0</v>
          </cell>
          <cell r="DC985">
            <v>0</v>
          </cell>
          <cell r="DD985">
            <v>0</v>
          </cell>
          <cell r="DE985">
            <v>0</v>
          </cell>
          <cell r="DF985">
            <v>0</v>
          </cell>
          <cell r="DG985">
            <v>0</v>
          </cell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T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  <cell r="CF986">
            <v>0</v>
          </cell>
          <cell r="CG986">
            <v>0</v>
          </cell>
          <cell r="CH986">
            <v>0</v>
          </cell>
          <cell r="CI986">
            <v>0</v>
          </cell>
          <cell r="CJ986">
            <v>0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  <cell r="CO986">
            <v>0</v>
          </cell>
          <cell r="CP986">
            <v>0</v>
          </cell>
          <cell r="CQ986">
            <v>0</v>
          </cell>
          <cell r="CR986">
            <v>0</v>
          </cell>
          <cell r="CS986">
            <v>0</v>
          </cell>
          <cell r="CT986">
            <v>0</v>
          </cell>
          <cell r="CU986">
            <v>0</v>
          </cell>
          <cell r="CV986">
            <v>0</v>
          </cell>
          <cell r="CW986">
            <v>0</v>
          </cell>
          <cell r="CX986">
            <v>0</v>
          </cell>
          <cell r="CY986">
            <v>0</v>
          </cell>
          <cell r="CZ986">
            <v>0</v>
          </cell>
          <cell r="DA986">
            <v>0</v>
          </cell>
          <cell r="DB986">
            <v>0</v>
          </cell>
          <cell r="DC986">
            <v>0</v>
          </cell>
          <cell r="DD986">
            <v>0</v>
          </cell>
          <cell r="DE986">
            <v>0</v>
          </cell>
          <cell r="DF986">
            <v>0</v>
          </cell>
          <cell r="DG986">
            <v>0</v>
          </cell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T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  <cell r="CO987">
            <v>0</v>
          </cell>
          <cell r="CP987">
            <v>0</v>
          </cell>
          <cell r="CQ987">
            <v>0</v>
          </cell>
          <cell r="CR987">
            <v>0</v>
          </cell>
          <cell r="CS987">
            <v>0</v>
          </cell>
          <cell r="CT987">
            <v>0</v>
          </cell>
          <cell r="CU987">
            <v>0</v>
          </cell>
          <cell r="CV987">
            <v>0</v>
          </cell>
          <cell r="CW987">
            <v>0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  <cell r="DD987">
            <v>0</v>
          </cell>
          <cell r="DE987">
            <v>0</v>
          </cell>
          <cell r="DF987">
            <v>0</v>
          </cell>
          <cell r="DG987">
            <v>0</v>
          </cell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T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0</v>
          </cell>
          <cell r="BJ988">
            <v>0</v>
          </cell>
          <cell r="BK988">
            <v>0</v>
          </cell>
          <cell r="BL988">
            <v>0</v>
          </cell>
          <cell r="BM988">
            <v>0</v>
          </cell>
          <cell r="BN988">
            <v>0</v>
          </cell>
          <cell r="BO988">
            <v>0</v>
          </cell>
          <cell r="BP988">
            <v>0</v>
          </cell>
          <cell r="BQ988">
            <v>0</v>
          </cell>
          <cell r="BR988">
            <v>0</v>
          </cell>
          <cell r="BS988">
            <v>0</v>
          </cell>
          <cell r="BT988">
            <v>0</v>
          </cell>
          <cell r="BU988">
            <v>0</v>
          </cell>
          <cell r="BV988">
            <v>0</v>
          </cell>
          <cell r="BW988">
            <v>0</v>
          </cell>
          <cell r="BX988">
            <v>0</v>
          </cell>
          <cell r="BY988">
            <v>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  <cell r="CF988">
            <v>0</v>
          </cell>
          <cell r="CG988">
            <v>0</v>
          </cell>
          <cell r="CH988">
            <v>0</v>
          </cell>
          <cell r="CI988">
            <v>0</v>
          </cell>
          <cell r="CJ988">
            <v>0</v>
          </cell>
          <cell r="CK988">
            <v>0</v>
          </cell>
          <cell r="CL988">
            <v>0</v>
          </cell>
          <cell r="CM988">
            <v>0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0</v>
          </cell>
          <cell r="CX988">
            <v>0</v>
          </cell>
          <cell r="CY988">
            <v>0</v>
          </cell>
          <cell r="CZ988">
            <v>0</v>
          </cell>
          <cell r="DA988">
            <v>0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T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  <cell r="DD990">
            <v>0</v>
          </cell>
          <cell r="DE990">
            <v>0</v>
          </cell>
          <cell r="DF990">
            <v>0</v>
          </cell>
          <cell r="DG990">
            <v>0</v>
          </cell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T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  <cell r="DD991">
            <v>0</v>
          </cell>
          <cell r="DE991">
            <v>0</v>
          </cell>
          <cell r="DF991">
            <v>0</v>
          </cell>
          <cell r="DG991">
            <v>0</v>
          </cell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T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0</v>
          </cell>
          <cell r="BJ992">
            <v>0</v>
          </cell>
          <cell r="BK992">
            <v>0</v>
          </cell>
          <cell r="BL992">
            <v>0</v>
          </cell>
          <cell r="BM992">
            <v>0</v>
          </cell>
          <cell r="BN992">
            <v>0</v>
          </cell>
          <cell r="BO992">
            <v>0</v>
          </cell>
          <cell r="BP992">
            <v>0</v>
          </cell>
          <cell r="BQ992">
            <v>0</v>
          </cell>
          <cell r="BR992">
            <v>0</v>
          </cell>
          <cell r="BS992">
            <v>0</v>
          </cell>
          <cell r="BT992">
            <v>0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M992">
            <v>0</v>
          </cell>
          <cell r="CN992">
            <v>0</v>
          </cell>
          <cell r="CO992">
            <v>0</v>
          </cell>
          <cell r="CP992">
            <v>0</v>
          </cell>
          <cell r="CQ992">
            <v>0</v>
          </cell>
          <cell r="CR992">
            <v>0</v>
          </cell>
          <cell r="CS992">
            <v>0</v>
          </cell>
          <cell r="CT992">
            <v>0</v>
          </cell>
          <cell r="CU992">
            <v>0</v>
          </cell>
          <cell r="CV992">
            <v>0</v>
          </cell>
          <cell r="CW992">
            <v>0</v>
          </cell>
          <cell r="CX992">
            <v>0</v>
          </cell>
          <cell r="CY992">
            <v>0</v>
          </cell>
          <cell r="CZ992">
            <v>0</v>
          </cell>
          <cell r="DA992">
            <v>0</v>
          </cell>
          <cell r="DB992">
            <v>0</v>
          </cell>
          <cell r="DC992">
            <v>0</v>
          </cell>
          <cell r="DD992">
            <v>0</v>
          </cell>
          <cell r="DE992">
            <v>0</v>
          </cell>
          <cell r="DF992">
            <v>0</v>
          </cell>
          <cell r="DG992">
            <v>0</v>
          </cell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T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0</v>
          </cell>
          <cell r="BK993">
            <v>0</v>
          </cell>
          <cell r="BL993">
            <v>0</v>
          </cell>
          <cell r="BM993">
            <v>0</v>
          </cell>
          <cell r="BN993">
            <v>0</v>
          </cell>
          <cell r="BO993">
            <v>0</v>
          </cell>
          <cell r="BP993">
            <v>0</v>
          </cell>
          <cell r="BQ993">
            <v>0</v>
          </cell>
          <cell r="BR993">
            <v>0</v>
          </cell>
          <cell r="BS993">
            <v>0</v>
          </cell>
          <cell r="BT993">
            <v>0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  <cell r="DD993">
            <v>0</v>
          </cell>
          <cell r="DE993">
            <v>0</v>
          </cell>
          <cell r="DF993">
            <v>0</v>
          </cell>
          <cell r="DG993">
            <v>0</v>
          </cell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T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0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0</v>
          </cell>
          <cell r="BR994">
            <v>0</v>
          </cell>
          <cell r="BS994">
            <v>0</v>
          </cell>
          <cell r="BT994">
            <v>0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M994">
            <v>0</v>
          </cell>
          <cell r="CN994">
            <v>0</v>
          </cell>
          <cell r="CO994">
            <v>0</v>
          </cell>
          <cell r="CP994">
            <v>0</v>
          </cell>
          <cell r="CQ994">
            <v>0</v>
          </cell>
          <cell r="CR994">
            <v>0</v>
          </cell>
          <cell r="CS994">
            <v>0</v>
          </cell>
          <cell r="CT994">
            <v>0</v>
          </cell>
          <cell r="CU994">
            <v>0</v>
          </cell>
          <cell r="CV994">
            <v>0</v>
          </cell>
          <cell r="CW994">
            <v>0</v>
          </cell>
          <cell r="CX994">
            <v>0</v>
          </cell>
          <cell r="CY994">
            <v>0</v>
          </cell>
          <cell r="CZ994">
            <v>0</v>
          </cell>
          <cell r="DA994">
            <v>0</v>
          </cell>
          <cell r="DB994">
            <v>0</v>
          </cell>
          <cell r="DC994">
            <v>0</v>
          </cell>
          <cell r="DD994">
            <v>0</v>
          </cell>
          <cell r="DE994">
            <v>0</v>
          </cell>
          <cell r="DF994">
            <v>0</v>
          </cell>
          <cell r="DG994">
            <v>0</v>
          </cell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T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  <cell r="BF995">
            <v>0</v>
          </cell>
          <cell r="BG995">
            <v>0</v>
          </cell>
          <cell r="BH995">
            <v>0</v>
          </cell>
          <cell r="BI995">
            <v>0</v>
          </cell>
          <cell r="BJ995">
            <v>0</v>
          </cell>
          <cell r="BK995">
            <v>0</v>
          </cell>
          <cell r="BL995">
            <v>0</v>
          </cell>
          <cell r="BM995">
            <v>0</v>
          </cell>
          <cell r="BN995">
            <v>0</v>
          </cell>
          <cell r="BO995">
            <v>0</v>
          </cell>
          <cell r="BP995">
            <v>0</v>
          </cell>
          <cell r="BQ995">
            <v>0</v>
          </cell>
          <cell r="BR995">
            <v>0</v>
          </cell>
          <cell r="BS995">
            <v>0</v>
          </cell>
          <cell r="BT995">
            <v>0</v>
          </cell>
          <cell r="BU995">
            <v>0</v>
          </cell>
          <cell r="BV995">
            <v>0</v>
          </cell>
          <cell r="BW995">
            <v>0</v>
          </cell>
          <cell r="BX995">
            <v>0</v>
          </cell>
          <cell r="BY995">
            <v>0</v>
          </cell>
          <cell r="BZ995">
            <v>0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0</v>
          </cell>
          <cell r="CF995">
            <v>0</v>
          </cell>
          <cell r="CG995">
            <v>0</v>
          </cell>
          <cell r="CH995">
            <v>0</v>
          </cell>
          <cell r="CI995">
            <v>0</v>
          </cell>
          <cell r="CJ995">
            <v>0</v>
          </cell>
          <cell r="CK995">
            <v>0</v>
          </cell>
          <cell r="CL995">
            <v>0</v>
          </cell>
          <cell r="CM995">
            <v>0</v>
          </cell>
          <cell r="CN995">
            <v>0</v>
          </cell>
          <cell r="CO995">
            <v>0</v>
          </cell>
          <cell r="CP995">
            <v>0</v>
          </cell>
          <cell r="CQ995">
            <v>0</v>
          </cell>
          <cell r="CR995">
            <v>0</v>
          </cell>
          <cell r="CS995">
            <v>0</v>
          </cell>
          <cell r="CT995">
            <v>0</v>
          </cell>
          <cell r="CU995">
            <v>0</v>
          </cell>
          <cell r="CV995">
            <v>0</v>
          </cell>
          <cell r="CW995">
            <v>0</v>
          </cell>
          <cell r="CX995">
            <v>0</v>
          </cell>
          <cell r="CY995">
            <v>0</v>
          </cell>
          <cell r="CZ995">
            <v>0</v>
          </cell>
          <cell r="DA995">
            <v>0</v>
          </cell>
          <cell r="DB995">
            <v>0</v>
          </cell>
          <cell r="DC995">
            <v>0</v>
          </cell>
          <cell r="DD995">
            <v>0</v>
          </cell>
          <cell r="DE995">
            <v>0</v>
          </cell>
          <cell r="DF995">
            <v>0</v>
          </cell>
          <cell r="DG995">
            <v>0</v>
          </cell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T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  <cell r="DD996">
            <v>0</v>
          </cell>
          <cell r="DE996">
            <v>0</v>
          </cell>
          <cell r="DF996">
            <v>0</v>
          </cell>
          <cell r="DG996">
            <v>0</v>
          </cell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T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</row>
        <row r="997"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0</v>
          </cell>
          <cell r="BJ997">
            <v>0</v>
          </cell>
          <cell r="BK997">
            <v>0</v>
          </cell>
          <cell r="BL997">
            <v>0</v>
          </cell>
          <cell r="BM997">
            <v>0</v>
          </cell>
          <cell r="BN997">
            <v>0</v>
          </cell>
          <cell r="BO997">
            <v>0</v>
          </cell>
          <cell r="BP997">
            <v>0</v>
          </cell>
          <cell r="BQ997">
            <v>0</v>
          </cell>
          <cell r="BR997">
            <v>0</v>
          </cell>
          <cell r="BS997">
            <v>0</v>
          </cell>
          <cell r="BT997">
            <v>0</v>
          </cell>
          <cell r="BU997">
            <v>0</v>
          </cell>
          <cell r="BV997">
            <v>0</v>
          </cell>
          <cell r="BW997">
            <v>0</v>
          </cell>
          <cell r="BX997">
            <v>0</v>
          </cell>
          <cell r="BY997">
            <v>0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  <cell r="CO997">
            <v>0</v>
          </cell>
          <cell r="CP997">
            <v>0</v>
          </cell>
          <cell r="CQ997">
            <v>0</v>
          </cell>
          <cell r="CR997">
            <v>0</v>
          </cell>
          <cell r="CS997">
            <v>0</v>
          </cell>
          <cell r="CT997">
            <v>0</v>
          </cell>
          <cell r="CU997">
            <v>0</v>
          </cell>
          <cell r="CV997">
            <v>0</v>
          </cell>
          <cell r="CW997">
            <v>0</v>
          </cell>
          <cell r="CX997">
            <v>0</v>
          </cell>
          <cell r="CY997">
            <v>0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  <cell r="DD997">
            <v>0</v>
          </cell>
          <cell r="DE997">
            <v>0</v>
          </cell>
          <cell r="DF997">
            <v>0</v>
          </cell>
          <cell r="DG997">
            <v>0</v>
          </cell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T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</row>
      </sheetData>
      <sheetData sheetId="3">
        <row r="3">
          <cell r="F3">
            <v>45292</v>
          </cell>
        </row>
        <row r="107">
          <cell r="EI107" t="str">
            <v>Not Used</v>
          </cell>
          <cell r="EK107" t="str">
            <v>Not Used</v>
          </cell>
          <cell r="EM107" t="str">
            <v>QF - 435 - UT - Gas</v>
          </cell>
          <cell r="EO107" t="str">
            <v>Not Used</v>
          </cell>
          <cell r="EQ107">
            <v>3</v>
          </cell>
        </row>
      </sheetData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lpay, Ebru (PacifiCorp)" id="{F624B6B6-EC9C-48D4-8B52-2F87B0078BF9}" userId="S::Ebru.Alpay@pacificorp.com::c63fa4a3-6416-416a-8468-911824a0691b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16" dT="2023-04-03T23:15:29.54" personId="{F624B6B6-EC9C-48D4-8B52-2F87B0078BF9}" id="{708B2112-D520-4B0E-B9F6-87296AA30D3F}">
    <text>Per Dan M. Difference is Demolitiobn cost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R16" dT="2023-04-03T23:15:29.54" personId="{F624B6B6-EC9C-48D4-8B52-2F87B0078BF9}" id="{47CE663A-330D-47C8-A968-5A13FACBDECA}">
    <text>Per Dan M. Difference is Demolitiobn cost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R16" dT="2023-04-03T23:15:29.54" personId="{F624B6B6-EC9C-48D4-8B52-2F87B0078BF9}" id="{4A29A7C5-2193-4D57-9C4D-7E781C5E7C59}">
    <text>Per Dan M. Difference is Demolitiobn cost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R16" dT="2023-04-03T23:15:29.54" personId="{F624B6B6-EC9C-48D4-8B52-2F87B0078BF9}" id="{8C2A8BAE-1B6E-40AE-82BD-418822DE3211}">
    <text>Per Dan M. Difference is Demolitiobn cost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R16" dT="2023-04-03T23:15:29.54" personId="{F624B6B6-EC9C-48D4-8B52-2F87B0078BF9}" id="{7B5627F7-7D61-44A4-85B2-60418A3A1A4D}">
    <text>Per Dan M. Difference is Demolitiobn cost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R16" dT="2023-04-03T23:15:29.54" personId="{F624B6B6-EC9C-48D4-8B52-2F87B0078BF9}" id="{09C40EDE-2176-4824-A1E3-01F8C1162906}">
    <text>Per Dan M. Difference is Demolitiobn cost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R16" dT="2023-04-03T23:15:29.54" personId="{F624B6B6-EC9C-48D4-8B52-2F87B0078BF9}" id="{59F5654A-454B-4EE1-8707-170539A87DAB}">
    <text>Per Dan M. Difference is Demolitiobn cost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R16" dT="2023-04-03T23:15:29.54" personId="{F624B6B6-EC9C-48D4-8B52-2F87B0078BF9}" id="{543C050C-AFA8-476B-963E-53CF2F382991}">
    <text>Per Dan M. Difference is Demolitiobn cost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R16" dT="2023-04-03T23:15:29.54" personId="{F624B6B6-EC9C-48D4-8B52-2F87B0078BF9}" id="{837C5913-CAFB-4ECA-B61E-169DFE26A27B}">
    <text>Per Dan M. Difference is Demolitiobn cost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R16" dT="2023-04-03T23:15:29.54" personId="{F624B6B6-EC9C-48D4-8B52-2F87B0078BF9}" id="{CABA1068-BB15-48BB-90B6-2E7D4DE6290D}">
    <text>Per Dan M. Difference is Demolitiobn cost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R16" dT="2023-04-03T23:15:29.54" personId="{F624B6B6-EC9C-48D4-8B52-2F87B0078BF9}" id="{12D35165-2D7C-4565-8519-F1162AE82D3B}">
    <text>Per Dan M. Difference is Demolitiobn cost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0.bin"/><Relationship Id="rId4" Type="http://schemas.microsoft.com/office/2017/10/relationships/threadedComment" Target="../threadedComments/threadedComment1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1.bin"/><Relationship Id="rId4" Type="http://schemas.microsoft.com/office/2017/10/relationships/threadedComment" Target="../threadedComments/threadedComment2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2.bin"/><Relationship Id="rId4" Type="http://schemas.microsoft.com/office/2017/10/relationships/threadedComment" Target="../threadedComments/threadedComment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3.bin"/><Relationship Id="rId4" Type="http://schemas.microsoft.com/office/2017/10/relationships/threadedComment" Target="../threadedComments/threadedComment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4.bin"/><Relationship Id="rId4" Type="http://schemas.microsoft.com/office/2017/10/relationships/threadedComment" Target="../threadedComments/threadedComment5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5.bin"/><Relationship Id="rId4" Type="http://schemas.microsoft.com/office/2017/10/relationships/threadedComment" Target="../threadedComments/threadedComment6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6.bin"/><Relationship Id="rId4" Type="http://schemas.microsoft.com/office/2017/10/relationships/threadedComment" Target="../threadedComments/threadedComment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7.bin"/><Relationship Id="rId4" Type="http://schemas.microsoft.com/office/2017/10/relationships/threadedComment" Target="../threadedComments/threadedComment8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8.bin"/><Relationship Id="rId4" Type="http://schemas.microsoft.com/office/2017/10/relationships/threadedComment" Target="../threadedComments/threadedComment9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9.bin"/><Relationship Id="rId4" Type="http://schemas.microsoft.com/office/2017/10/relationships/threadedComment" Target="../threadedComments/threadedComment10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0.bin"/><Relationship Id="rId4" Type="http://schemas.microsoft.com/office/2017/10/relationships/threadedComment" Target="../threadedComments/threadedComment11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A82"/>
  <sheetViews>
    <sheetView tabSelected="1" view="pageBreakPreview" topLeftCell="A2" zoomScale="90" zoomScaleNormal="70" zoomScaleSheetLayoutView="90" workbookViewId="0">
      <selection activeCell="E9" sqref="E9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4.33203125" customWidth="1"/>
    <col min="26" max="26" width="14.1640625" customWidth="1"/>
    <col min="27" max="27" width="14.6640625" customWidth="1"/>
    <col min="28" max="28" width="14.83203125" customWidth="1"/>
    <col min="29" max="48" width="15.1640625" customWidth="1"/>
    <col min="49" max="49" width="15" customWidth="1"/>
    <col min="50" max="50" width="14.6640625" customWidth="1"/>
    <col min="51" max="51" width="17.6640625" customWidth="1"/>
    <col min="52" max="52" width="15.5" customWidth="1"/>
    <col min="53" max="53" width="10.83203125" customWidth="1"/>
    <col min="54" max="54" width="14" customWidth="1"/>
    <col min="55" max="55" width="12.5" customWidth="1"/>
    <col min="57" max="58" width="10" customWidth="1"/>
    <col min="59" max="92" width="15.33203125" customWidth="1"/>
    <col min="93" max="93" width="14.1640625" customWidth="1"/>
    <col min="94" max="96" width="9" customWidth="1"/>
    <col min="97" max="97" width="10.6640625" customWidth="1"/>
    <col min="98" max="100" width="16.1640625" customWidth="1"/>
    <col min="101" max="101" width="14.83203125" customWidth="1"/>
    <col min="102" max="102" width="17.83203125" customWidth="1"/>
    <col min="103" max="103" width="17.1640625" customWidth="1"/>
    <col min="104" max="104" width="16.6640625" customWidth="1"/>
    <col min="105" max="105" width="16" customWidth="1"/>
    <col min="106" max="106" width="17" customWidth="1"/>
    <col min="107" max="107" width="17.5" customWidth="1"/>
    <col min="108" max="133" width="16" customWidth="1"/>
    <col min="134" max="134" width="20.6640625" customWidth="1"/>
    <col min="135" max="135" width="11.6640625" customWidth="1"/>
    <col min="136" max="136" width="13.33203125" customWidth="1"/>
    <col min="137" max="137" width="12.1640625" customWidth="1"/>
    <col min="139" max="179" width="15.33203125" customWidth="1"/>
    <col min="182" max="182" width="17.33203125" customWidth="1"/>
    <col min="183" max="183" width="16.6640625" customWidth="1"/>
    <col min="184" max="184" width="15" customWidth="1"/>
  </cols>
  <sheetData>
    <row r="1" spans="2:183" customFormat="1" ht="15.75" hidden="1">
      <c r="B1" s="1" t="s">
        <v>35</v>
      </c>
      <c r="C1" s="2"/>
      <c r="D1" s="2"/>
      <c r="E1" s="2"/>
      <c r="F1" s="2"/>
      <c r="G1" s="10"/>
      <c r="H1" s="34"/>
      <c r="I1" s="3"/>
    </row>
    <row r="2" spans="2:183" customFormat="1" ht="5.25" customHeight="1">
      <c r="B2" s="1"/>
      <c r="C2" s="2"/>
      <c r="D2" s="2"/>
      <c r="E2" s="2"/>
      <c r="F2" s="3"/>
      <c r="G2" s="10"/>
      <c r="H2" s="34"/>
      <c r="I2" s="3"/>
    </row>
    <row r="3" spans="2:183" customFormat="1" ht="15.75">
      <c r="B3" s="1" t="s">
        <v>20</v>
      </c>
      <c r="C3" s="2"/>
      <c r="D3" s="2"/>
      <c r="E3" s="2"/>
      <c r="F3" s="2"/>
      <c r="G3" s="10"/>
      <c r="H3" s="34"/>
      <c r="I3" s="3"/>
      <c r="K3">
        <f>MATCH('Table 5'!K5,'Table 5'!$B$12:$B$264,FALSE)+ROW('Table 5'!B11)</f>
        <v>13</v>
      </c>
      <c r="FZ3" s="162">
        <v>1</v>
      </c>
      <c r="GA3" t="s">
        <v>87</v>
      </c>
    </row>
    <row r="4" spans="2:183" customFormat="1" ht="15.75">
      <c r="B4" s="4" t="s">
        <v>17</v>
      </c>
      <c r="C4" s="4"/>
      <c r="D4" s="4"/>
      <c r="E4" s="4"/>
      <c r="F4" s="4"/>
      <c r="G4" s="1"/>
      <c r="H4" s="34"/>
      <c r="I4" s="3"/>
      <c r="K4">
        <v>322</v>
      </c>
      <c r="P4" s="139" t="s">
        <v>58</v>
      </c>
      <c r="Q4" s="139"/>
      <c r="R4" s="139"/>
      <c r="FZ4">
        <v>0</v>
      </c>
      <c r="GA4" t="s">
        <v>88</v>
      </c>
    </row>
    <row r="5" spans="2:183" customFormat="1" ht="15.75">
      <c r="B5" s="4" t="str">
        <f ca="1">'Table 5'!M4&amp; " - "&amp;TEXT(Study_MW,"#.0")&amp;" MW and "&amp;TEXT(Study_CF,"#.0%")&amp;" CF"</f>
        <v>Tesoro Non Firm - 25.0 MW and 85.0% CF</v>
      </c>
      <c r="C5" s="4"/>
      <c r="D5" s="4"/>
      <c r="E5" s="4"/>
      <c r="F5" s="4"/>
      <c r="G5" s="1"/>
      <c r="H5" s="34"/>
      <c r="I5" s="3"/>
      <c r="P5" s="140">
        <v>0.30601336826237258</v>
      </c>
      <c r="Q5" s="140">
        <v>0.30601336826237258</v>
      </c>
      <c r="R5" s="140">
        <v>0.33678291245920933</v>
      </c>
      <c r="S5" s="140">
        <v>0.30601336826237258</v>
      </c>
      <c r="T5" s="140">
        <v>0.30601336826237258</v>
      </c>
      <c r="U5" s="140">
        <v>0.30601336826237258</v>
      </c>
      <c r="V5" s="140">
        <v>0.30601336826237258</v>
      </c>
      <c r="W5" s="140">
        <v>0.42792879720636467</v>
      </c>
      <c r="X5" s="140">
        <v>0.30601336826237258</v>
      </c>
      <c r="Y5" s="140">
        <v>0.42792879720636467</v>
      </c>
      <c r="Z5" s="140">
        <v>0.41156195349570163</v>
      </c>
      <c r="AA5" s="140">
        <v>0.42792879720636467</v>
      </c>
      <c r="AB5" s="140">
        <v>0.41156195349570163</v>
      </c>
      <c r="AC5" s="140">
        <v>0.12920722056433673</v>
      </c>
      <c r="AD5" s="140">
        <v>0.13830849853860969</v>
      </c>
      <c r="AE5" s="140">
        <v>0.1404055565678316</v>
      </c>
      <c r="AF5" s="140">
        <v>0.1404055565678316</v>
      </c>
      <c r="AG5" s="140">
        <v>0.1404055565678316</v>
      </c>
      <c r="AH5" s="140">
        <v>0.80898596435506986</v>
      </c>
      <c r="AI5" s="140">
        <v>0.80898596435506986</v>
      </c>
      <c r="AJ5" s="140">
        <v>0.83616598140283749</v>
      </c>
      <c r="AK5" s="140">
        <v>0.83616598140283749</v>
      </c>
      <c r="AL5" s="140">
        <v>0.82755792378807014</v>
      </c>
      <c r="AM5" s="140">
        <v>0.83616598140283749</v>
      </c>
      <c r="AN5" s="140">
        <v>0.82777864308066862</v>
      </c>
      <c r="AO5" s="140">
        <v>0.82777864308066862</v>
      </c>
      <c r="AP5" s="140">
        <v>0.82752951363946159</v>
      </c>
      <c r="AQ5" s="140">
        <v>0.82752951363946159</v>
      </c>
      <c r="AR5" s="140">
        <v>0.82755792378807014</v>
      </c>
      <c r="AS5" s="140">
        <v>0.88620737005739791</v>
      </c>
      <c r="AT5" s="140">
        <v>0.88620737005739791</v>
      </c>
      <c r="AU5" s="140">
        <v>0.93399999999999994</v>
      </c>
      <c r="AV5" s="140">
        <v>0.93399999999999994</v>
      </c>
      <c r="AW5" s="140">
        <v>0.92500000000000004</v>
      </c>
      <c r="AX5" s="140">
        <v>0</v>
      </c>
      <c r="AY5" s="140">
        <v>0</v>
      </c>
      <c r="AZ5" s="140"/>
      <c r="BA5" s="140"/>
      <c r="BB5" s="140"/>
      <c r="BC5" s="140"/>
      <c r="BD5" s="140"/>
      <c r="FZ5" s="143">
        <f>$FZ$3*$FZ$4</f>
        <v>0</v>
      </c>
      <c r="GA5" t="s">
        <v>85</v>
      </c>
    </row>
    <row r="6" spans="2:183" customFormat="1" ht="14.25" hidden="1">
      <c r="B6" s="18"/>
      <c r="C6" s="4"/>
      <c r="D6" s="4"/>
      <c r="E6" s="4"/>
      <c r="F6" s="4"/>
      <c r="G6" s="10"/>
      <c r="H6" s="34"/>
      <c r="I6" s="3"/>
    </row>
    <row r="7" spans="2:183" customFormat="1" ht="38.25">
      <c r="B7" s="3"/>
      <c r="C7" s="6"/>
      <c r="D7" s="6"/>
      <c r="E7" s="3"/>
      <c r="F7" s="3"/>
      <c r="G7" s="3"/>
      <c r="H7" s="34"/>
      <c r="BE7" s="174" t="s">
        <v>74</v>
      </c>
      <c r="BF7" s="174"/>
    </row>
    <row r="8" spans="2:183" s="164" customFormat="1" ht="40.700000000000003" customHeight="1">
      <c r="B8" s="167"/>
      <c r="C8" s="167"/>
      <c r="D8" s="167"/>
      <c r="E8" s="168"/>
      <c r="F8" s="169"/>
      <c r="G8" s="168" t="s">
        <v>14</v>
      </c>
      <c r="H8" s="171"/>
      <c r="I8" s="173"/>
      <c r="K8"/>
      <c r="L8"/>
      <c r="M8"/>
      <c r="BE8" s="164">
        <f>P8</f>
        <v>0</v>
      </c>
      <c r="BG8" s="164">
        <f t="shared" ref="BG8" si="0">R8</f>
        <v>0</v>
      </c>
      <c r="BH8" s="164">
        <f t="shared" ref="BH8" si="1">S8</f>
        <v>0</v>
      </c>
      <c r="BI8" s="164">
        <f t="shared" ref="BI8" si="2">T8</f>
        <v>0</v>
      </c>
      <c r="BJ8" s="164">
        <f t="shared" ref="BJ8" si="3">U8</f>
        <v>0</v>
      </c>
      <c r="BK8" s="164">
        <f t="shared" ref="BK8" si="4">V8</f>
        <v>0</v>
      </c>
      <c r="BL8" s="164">
        <f t="shared" ref="BL8" si="5">W8</f>
        <v>0</v>
      </c>
      <c r="BM8" s="164">
        <f t="shared" ref="BM8" si="6">X8</f>
        <v>0</v>
      </c>
      <c r="BN8" s="164">
        <f t="shared" ref="BN8" si="7">Y8</f>
        <v>0</v>
      </c>
      <c r="BO8" s="164">
        <f t="shared" ref="BO8" si="8">Z8</f>
        <v>0</v>
      </c>
      <c r="BP8" s="164">
        <f t="shared" ref="BP8" si="9">AA8</f>
        <v>0</v>
      </c>
      <c r="BQ8" s="164">
        <f t="shared" ref="BQ8" si="10">AB8</f>
        <v>0</v>
      </c>
      <c r="BR8" s="164">
        <f t="shared" ref="BR8:BR9" si="11">AC8</f>
        <v>0</v>
      </c>
      <c r="BS8" s="164">
        <f t="shared" ref="BS8:BS9" si="12">AD8</f>
        <v>0</v>
      </c>
      <c r="BT8" s="164">
        <f t="shared" ref="BT8:BT9" si="13">AE8</f>
        <v>0</v>
      </c>
      <c r="BU8" s="164">
        <f t="shared" ref="BU8:BU9" si="14">AF8</f>
        <v>0</v>
      </c>
      <c r="BV8" s="164">
        <f t="shared" ref="BV8:BV9" si="15">AG8</f>
        <v>0</v>
      </c>
      <c r="BW8" s="164">
        <f t="shared" ref="BW8:BW9" si="16">AH8</f>
        <v>0</v>
      </c>
      <c r="BX8" s="164">
        <f t="shared" ref="BX8:BX9" si="17">AI8</f>
        <v>0</v>
      </c>
      <c r="BY8" s="164">
        <f t="shared" ref="BY8:BY9" si="18">AJ8</f>
        <v>0</v>
      </c>
      <c r="BZ8" s="164">
        <f t="shared" ref="BZ8:BZ9" si="19">AK8</f>
        <v>0</v>
      </c>
      <c r="CA8" s="164">
        <f t="shared" ref="CA8:CA9" si="20">AL8</f>
        <v>0</v>
      </c>
      <c r="CB8" s="164">
        <f t="shared" ref="CB8:CB9" si="21">AM8</f>
        <v>0</v>
      </c>
      <c r="CC8" s="164">
        <f t="shared" ref="CC8:CC9" si="22">AN8</f>
        <v>0</v>
      </c>
      <c r="CD8" s="164">
        <f t="shared" ref="CD8:CD9" si="23">AO8</f>
        <v>0</v>
      </c>
      <c r="CE8" s="164">
        <f t="shared" ref="CE8:CE9" si="24">AP8</f>
        <v>0</v>
      </c>
      <c r="CF8" s="164">
        <f t="shared" ref="CF8:CF9" si="25">AQ8</f>
        <v>0</v>
      </c>
      <c r="CG8" s="164">
        <f t="shared" ref="CG8:CG9" si="26">AR8</f>
        <v>0</v>
      </c>
      <c r="CH8" s="164">
        <f t="shared" ref="CH8:CH9" si="27">AS8</f>
        <v>0</v>
      </c>
      <c r="CI8" s="164">
        <f t="shared" ref="CI8:CI9" si="28">AT8</f>
        <v>0</v>
      </c>
      <c r="CJ8" s="164">
        <f t="shared" ref="CJ8:CJ9" si="29">AU8</f>
        <v>0</v>
      </c>
      <c r="CK8" s="164">
        <f t="shared" ref="CK8" si="30">AV8</f>
        <v>0</v>
      </c>
      <c r="CL8" s="164">
        <f t="shared" ref="CL8" si="31">AW8</f>
        <v>0</v>
      </c>
      <c r="CM8" s="164">
        <f t="shared" ref="CM8" si="32">AX8</f>
        <v>0</v>
      </c>
      <c r="CN8" s="164">
        <f>AY8</f>
        <v>0</v>
      </c>
      <c r="CO8" s="164">
        <f>AZ8</f>
        <v>0</v>
      </c>
      <c r="CT8" s="174" t="s">
        <v>75</v>
      </c>
      <c r="CU8" s="174"/>
      <c r="CV8" s="174"/>
      <c r="CY8" s="164">
        <f t="shared" ref="CY8:DF9" si="33">U8</f>
        <v>0</v>
      </c>
      <c r="CZ8" s="164">
        <f t="shared" si="33"/>
        <v>0</v>
      </c>
      <c r="DA8" s="164">
        <f t="shared" si="33"/>
        <v>0</v>
      </c>
      <c r="DB8" s="164">
        <f t="shared" si="33"/>
        <v>0</v>
      </c>
      <c r="DC8" s="164">
        <f t="shared" si="33"/>
        <v>0</v>
      </c>
      <c r="DD8" s="164">
        <f t="shared" si="33"/>
        <v>0</v>
      </c>
      <c r="DE8" s="164">
        <f t="shared" si="33"/>
        <v>0</v>
      </c>
      <c r="DF8" s="164">
        <f t="shared" si="33"/>
        <v>0</v>
      </c>
      <c r="DG8" s="164">
        <f t="shared" ref="DG8:EC9" si="34">AC8</f>
        <v>0</v>
      </c>
      <c r="DH8" s="164">
        <f t="shared" si="34"/>
        <v>0</v>
      </c>
      <c r="DI8" s="164">
        <f t="shared" si="34"/>
        <v>0</v>
      </c>
      <c r="DJ8" s="164">
        <f t="shared" si="34"/>
        <v>0</v>
      </c>
      <c r="DK8" s="164">
        <f t="shared" si="34"/>
        <v>0</v>
      </c>
      <c r="DL8" s="164">
        <f t="shared" si="34"/>
        <v>0</v>
      </c>
      <c r="DM8" s="164">
        <f t="shared" si="34"/>
        <v>0</v>
      </c>
      <c r="DN8" s="164">
        <f t="shared" si="34"/>
        <v>0</v>
      </c>
      <c r="DO8" s="164">
        <f t="shared" si="34"/>
        <v>0</v>
      </c>
      <c r="DP8" s="164">
        <f t="shared" si="34"/>
        <v>0</v>
      </c>
      <c r="DQ8" s="164">
        <f t="shared" si="34"/>
        <v>0</v>
      </c>
      <c r="DR8" s="164">
        <f t="shared" si="34"/>
        <v>0</v>
      </c>
      <c r="DS8" s="164">
        <f t="shared" si="34"/>
        <v>0</v>
      </c>
      <c r="DT8" s="164">
        <f t="shared" si="34"/>
        <v>0</v>
      </c>
      <c r="DU8" s="164">
        <f t="shared" si="34"/>
        <v>0</v>
      </c>
      <c r="DV8" s="164">
        <f t="shared" si="34"/>
        <v>0</v>
      </c>
      <c r="DW8" s="164">
        <f t="shared" si="34"/>
        <v>0</v>
      </c>
      <c r="DX8" s="164">
        <f t="shared" si="34"/>
        <v>0</v>
      </c>
      <c r="DY8" s="164">
        <f t="shared" si="34"/>
        <v>0</v>
      </c>
      <c r="DZ8" s="164">
        <f t="shared" si="34"/>
        <v>0</v>
      </c>
      <c r="EA8" s="164">
        <f t="shared" si="34"/>
        <v>0</v>
      </c>
      <c r="EB8" s="164">
        <f t="shared" si="34"/>
        <v>0</v>
      </c>
      <c r="EC8" s="164">
        <f t="shared" si="34"/>
        <v>0</v>
      </c>
      <c r="ED8" s="164">
        <f>AZ8</f>
        <v>0</v>
      </c>
      <c r="EI8" s="174" t="s">
        <v>76</v>
      </c>
      <c r="EJ8" s="174"/>
      <c r="EK8" s="174"/>
      <c r="FZ8" s="155" t="s">
        <v>75</v>
      </c>
      <c r="GA8" s="156" t="s">
        <v>76</v>
      </c>
    </row>
    <row r="9" spans="2:183" s="164" customFormat="1" ht="76.7" customHeight="1">
      <c r="B9" s="167"/>
      <c r="C9" s="168" t="s">
        <v>6</v>
      </c>
      <c r="D9" s="168"/>
      <c r="E9" s="168" t="s">
        <v>18</v>
      </c>
      <c r="F9" s="169"/>
      <c r="G9" s="170">
        <f ca="1">Study_CF</f>
        <v>0.85</v>
      </c>
      <c r="H9" s="171"/>
      <c r="K9"/>
      <c r="L9"/>
      <c r="M9"/>
      <c r="P9" s="164" t="s">
        <v>509</v>
      </c>
      <c r="Q9" s="164" t="s">
        <v>510</v>
      </c>
      <c r="R9" s="164" t="s">
        <v>511</v>
      </c>
      <c r="S9" s="164" t="s">
        <v>512</v>
      </c>
      <c r="T9" s="164" t="s">
        <v>513</v>
      </c>
      <c r="U9" s="164" t="s">
        <v>514</v>
      </c>
      <c r="V9" s="164" t="s">
        <v>515</v>
      </c>
      <c r="W9" s="164" t="s">
        <v>516</v>
      </c>
      <c r="X9" s="164" t="s">
        <v>517</v>
      </c>
      <c r="Y9" s="164" t="s">
        <v>518</v>
      </c>
      <c r="Z9" s="164" t="s">
        <v>519</v>
      </c>
      <c r="AA9" s="164" t="s">
        <v>520</v>
      </c>
      <c r="AB9" s="164" t="s">
        <v>521</v>
      </c>
      <c r="AC9" s="164" t="s">
        <v>522</v>
      </c>
      <c r="AD9" s="164" t="s">
        <v>523</v>
      </c>
      <c r="AE9" s="164" t="s">
        <v>524</v>
      </c>
      <c r="AF9" s="164" t="s">
        <v>525</v>
      </c>
      <c r="AG9" s="164" t="s">
        <v>526</v>
      </c>
      <c r="AH9" s="164" t="s">
        <v>527</v>
      </c>
      <c r="AI9" s="164" t="s">
        <v>528</v>
      </c>
      <c r="AJ9" s="164" t="s">
        <v>529</v>
      </c>
      <c r="AK9" s="164" t="s">
        <v>530</v>
      </c>
      <c r="AL9" s="164" t="s">
        <v>531</v>
      </c>
      <c r="AM9" s="164" t="s">
        <v>532</v>
      </c>
      <c r="AN9" s="164" t="s">
        <v>533</v>
      </c>
      <c r="AO9" s="164" t="s">
        <v>534</v>
      </c>
      <c r="AP9" s="164" t="s">
        <v>535</v>
      </c>
      <c r="AQ9" s="164" t="s">
        <v>536</v>
      </c>
      <c r="AR9" s="164" t="s">
        <v>537</v>
      </c>
      <c r="AS9" s="164" t="s">
        <v>538</v>
      </c>
      <c r="AT9" s="164" t="s">
        <v>539</v>
      </c>
      <c r="AU9" s="164" t="s">
        <v>540</v>
      </c>
      <c r="AV9" s="164" t="s">
        <v>541</v>
      </c>
      <c r="AW9" s="164" t="s">
        <v>542</v>
      </c>
      <c r="BE9" s="164" t="str">
        <f>P9</f>
        <v>23IRP_WD_.PX.WYE._.PTC.WD</v>
      </c>
      <c r="BF9" s="164" t="str">
        <f t="shared" ref="BF9:BQ9" si="35">Q9</f>
        <v>23IRP_WD_.PX.WYN._.PTC.WD</v>
      </c>
      <c r="BG9" s="164" t="str">
        <f t="shared" si="35"/>
        <v>23IRP_WD_.PX.BOR._.PTC.WD</v>
      </c>
      <c r="BH9" s="164" t="str">
        <f t="shared" si="35"/>
        <v>23IRP_WD_.PX.BDG._.PTC.Bridger.WD</v>
      </c>
      <c r="BI9" s="164" t="str">
        <f t="shared" si="35"/>
        <v>23IRP_WD_.PX.UWY._.SER.WD_T</v>
      </c>
      <c r="BJ9" s="164" t="str">
        <f t="shared" si="35"/>
        <v>23IRP_WD_.PX.WYE._.SER.WD_T</v>
      </c>
      <c r="BK9" s="164" t="str">
        <f t="shared" si="35"/>
        <v>23IRP_WD_.PX.WYE.1.A01.WD_T</v>
      </c>
      <c r="BL9" s="164" t="str">
        <f t="shared" si="35"/>
        <v>23IRP_WD_.PX.YAK._.PTC.WD</v>
      </c>
      <c r="BM9" s="164" t="str">
        <f t="shared" si="35"/>
        <v>23IRP_WD_.PX.WYE._.PTC.Djohns.WD</v>
      </c>
      <c r="BN9" s="164" t="str">
        <f t="shared" si="35"/>
        <v>23IRP_WD_.PX.WWA._.215.WD_T</v>
      </c>
      <c r="BO9" s="164" t="str">
        <f t="shared" si="35"/>
        <v>23IRP_WD_.PX.PNC._.PTC.WD</v>
      </c>
      <c r="BP9" s="164" t="str">
        <f t="shared" si="35"/>
        <v>23IRP_WD_.PX.WWA._.PTC.WD</v>
      </c>
      <c r="BQ9" s="164" t="str">
        <f t="shared" si="35"/>
        <v>23IRP_WD_.PX.SOR._.PTC.WD</v>
      </c>
      <c r="BR9" s="164" t="str">
        <f t="shared" si="11"/>
        <v>23IRP_PV_.PX.BOR._.PTC.PV</v>
      </c>
      <c r="BS9" s="164" t="str">
        <f t="shared" si="12"/>
        <v>23IRP_PV_.PX.UWY._.SER.PV</v>
      </c>
      <c r="BT9" s="164" t="str">
        <f t="shared" si="13"/>
        <v>23IRP_PV_.PX.UTS._.PTC.Hunter.PV</v>
      </c>
      <c r="BU9" s="164" t="str">
        <f t="shared" si="14"/>
        <v>23IRP_PV_.PX.UTS._.PTC.Huntington.PV</v>
      </c>
      <c r="BV9" s="164" t="str">
        <f t="shared" si="15"/>
        <v>23IRP_PV_.PX.UTS._.SER.PV</v>
      </c>
      <c r="BW9" s="164" t="str">
        <f t="shared" si="16"/>
        <v>23IRP_PVS.PX.YAK._.110.PV</v>
      </c>
      <c r="BX9" s="164" t="str">
        <f t="shared" si="17"/>
        <v>23IRP_PVS.PX.WWA._.215.PV</v>
      </c>
      <c r="BY9" s="164" t="str">
        <f t="shared" si="18"/>
        <v>23IRP_PVS.PX.WMV._.222.PV</v>
      </c>
      <c r="BZ9" s="164" t="str">
        <f t="shared" si="19"/>
        <v>23IRP_PVS.PX.WMV._.223.PV</v>
      </c>
      <c r="CA9" s="164" t="str">
        <f t="shared" si="20"/>
        <v>23IRP_PVS.PX.BOR._.2C5.PV</v>
      </c>
      <c r="CB9" s="164" t="str">
        <f t="shared" si="21"/>
        <v>23IRP_PVS.PX.COR._.TC8.PV</v>
      </c>
      <c r="CC9" s="164" t="str">
        <f t="shared" si="22"/>
        <v>23IRP_PVS.PX.UWY._.SER.PV</v>
      </c>
      <c r="CD9" s="164" t="str">
        <f t="shared" si="23"/>
        <v>23IRP_PVS.PX.WYE._.SER.PV</v>
      </c>
      <c r="CE9" s="164" t="str">
        <f t="shared" si="24"/>
        <v>23IRP_PVS.PX.CLV.1.TC4.PV</v>
      </c>
      <c r="CF9" s="164" t="str">
        <f t="shared" si="25"/>
        <v>23IRP_PVS.PX.UTS._.SER.PV</v>
      </c>
      <c r="CG9" s="164" t="str">
        <f t="shared" si="26"/>
        <v>23IRP_PVS.PX.GOE.1.A43.PV</v>
      </c>
      <c r="CH9" s="164" t="str">
        <f t="shared" si="27"/>
        <v>23IRP_NUC.PX.UTS._.PTC.SM Adv Hunter+Huntington</v>
      </c>
      <c r="CI9" s="164" t="str">
        <f t="shared" si="28"/>
        <v>23IRP_NUC.PX.UTS._.PTC.SM Adv Hunter+Huntington_2</v>
      </c>
      <c r="CJ9" s="164" t="str">
        <f t="shared" si="29"/>
        <v>23IRP_XSC.PX.UTN._.ITC.Non-E</v>
      </c>
      <c r="CK9" s="164" t="str">
        <f>AV9</f>
        <v>23IRP_XSC.PX.SOR._.ITC.Non-E</v>
      </c>
      <c r="CL9" s="164" t="str">
        <f>AW9</f>
        <v>23IRP_XSC.PX.BDG._.ITC.Jim Bridger - Non-E</v>
      </c>
      <c r="CT9" s="164" t="str">
        <f t="shared" ref="CT9:CU9" si="36">P9</f>
        <v>23IRP_WD_.PX.WYE._.PTC.WD</v>
      </c>
      <c r="CU9" s="164" t="str">
        <f t="shared" si="36"/>
        <v>23IRP_WD_.PX.WYN._.PTC.WD</v>
      </c>
      <c r="CV9" s="164" t="str">
        <f t="shared" ref="CV9" si="37">R9</f>
        <v>23IRP_WD_.PX.BOR._.PTC.WD</v>
      </c>
      <c r="CW9" s="164" t="str">
        <f t="shared" ref="CW9" si="38">S9</f>
        <v>23IRP_WD_.PX.BDG._.PTC.Bridger.WD</v>
      </c>
      <c r="CX9" s="164" t="str">
        <f>T9</f>
        <v>23IRP_WD_.PX.UWY._.SER.WD_T</v>
      </c>
      <c r="CY9" s="164" t="str">
        <f t="shared" si="33"/>
        <v>23IRP_WD_.PX.WYE._.SER.WD_T</v>
      </c>
      <c r="CZ9" s="164" t="str">
        <f t="shared" si="33"/>
        <v>23IRP_WD_.PX.WYE.1.A01.WD_T</v>
      </c>
      <c r="DA9" s="164" t="str">
        <f t="shared" si="33"/>
        <v>23IRP_WD_.PX.YAK._.PTC.WD</v>
      </c>
      <c r="DB9" s="164" t="str">
        <f t="shared" si="33"/>
        <v>23IRP_WD_.PX.WYE._.PTC.Djohns.WD</v>
      </c>
      <c r="DC9" s="164" t="str">
        <f t="shared" si="33"/>
        <v>23IRP_WD_.PX.WWA._.215.WD_T</v>
      </c>
      <c r="DD9" s="164" t="str">
        <f t="shared" si="33"/>
        <v>23IRP_WD_.PX.PNC._.PTC.WD</v>
      </c>
      <c r="DE9" s="164" t="str">
        <f t="shared" si="33"/>
        <v>23IRP_WD_.PX.WWA._.PTC.WD</v>
      </c>
      <c r="DF9" s="164" t="str">
        <f t="shared" si="33"/>
        <v>23IRP_WD_.PX.SOR._.PTC.WD</v>
      </c>
      <c r="DG9" s="164" t="str">
        <f t="shared" si="34"/>
        <v>23IRP_PV_.PX.BOR._.PTC.PV</v>
      </c>
      <c r="DH9" s="164" t="str">
        <f t="shared" si="34"/>
        <v>23IRP_PV_.PX.UWY._.SER.PV</v>
      </c>
      <c r="DI9" s="164" t="str">
        <f t="shared" si="34"/>
        <v>23IRP_PV_.PX.UTS._.PTC.Hunter.PV</v>
      </c>
      <c r="DJ9" s="164" t="str">
        <f t="shared" si="34"/>
        <v>23IRP_PV_.PX.UTS._.PTC.Huntington.PV</v>
      </c>
      <c r="DK9" s="164" t="str">
        <f t="shared" si="34"/>
        <v>23IRP_PV_.PX.UTS._.SER.PV</v>
      </c>
      <c r="DL9" s="164" t="str">
        <f t="shared" si="34"/>
        <v>23IRP_PVS.PX.YAK._.110.PV</v>
      </c>
      <c r="DM9" s="164" t="str">
        <f t="shared" si="34"/>
        <v>23IRP_PVS.PX.WWA._.215.PV</v>
      </c>
      <c r="DN9" s="164" t="str">
        <f t="shared" si="34"/>
        <v>23IRP_PVS.PX.WMV._.222.PV</v>
      </c>
      <c r="DO9" s="164" t="str">
        <f t="shared" si="34"/>
        <v>23IRP_PVS.PX.WMV._.223.PV</v>
      </c>
      <c r="DP9" s="164" t="str">
        <f t="shared" si="34"/>
        <v>23IRP_PVS.PX.BOR._.2C5.PV</v>
      </c>
      <c r="DQ9" s="164" t="str">
        <f t="shared" si="34"/>
        <v>23IRP_PVS.PX.COR._.TC8.PV</v>
      </c>
      <c r="DR9" s="164" t="str">
        <f t="shared" si="34"/>
        <v>23IRP_PVS.PX.UWY._.SER.PV</v>
      </c>
      <c r="DS9" s="164" t="str">
        <f t="shared" si="34"/>
        <v>23IRP_PVS.PX.WYE._.SER.PV</v>
      </c>
      <c r="DT9" s="164" t="str">
        <f t="shared" si="34"/>
        <v>23IRP_PVS.PX.CLV.1.TC4.PV</v>
      </c>
      <c r="DU9" s="164" t="str">
        <f t="shared" si="34"/>
        <v>23IRP_PVS.PX.UTS._.SER.PV</v>
      </c>
      <c r="DV9" s="164" t="str">
        <f t="shared" si="34"/>
        <v>23IRP_PVS.PX.GOE.1.A43.PV</v>
      </c>
      <c r="DW9" s="164" t="str">
        <f t="shared" si="34"/>
        <v>23IRP_NUC.PX.UTS._.PTC.SM Adv Hunter+Huntington</v>
      </c>
      <c r="DX9" s="164" t="str">
        <f t="shared" si="34"/>
        <v>23IRP_NUC.PX.UTS._.PTC.SM Adv Hunter+Huntington_2</v>
      </c>
      <c r="DY9" s="164" t="str">
        <f t="shared" si="34"/>
        <v>23IRP_XSC.PX.UTN._.ITC.Non-E</v>
      </c>
      <c r="DZ9" s="164" t="str">
        <f t="shared" si="34"/>
        <v>23IRP_XSC.PX.SOR._.ITC.Non-E</v>
      </c>
      <c r="EA9" s="164" t="str">
        <f t="shared" si="34"/>
        <v>23IRP_XSC.PX.BDG._.ITC.Jim Bridger - Non-E</v>
      </c>
      <c r="EI9" s="164" t="str">
        <f t="shared" ref="EI9:EU9" si="39">CT9</f>
        <v>23IRP_WD_.PX.WYE._.PTC.WD</v>
      </c>
      <c r="EJ9" s="164" t="str">
        <f t="shared" si="39"/>
        <v>23IRP_WD_.PX.WYN._.PTC.WD</v>
      </c>
      <c r="EK9" s="164" t="str">
        <f t="shared" si="39"/>
        <v>23IRP_WD_.PX.BOR._.PTC.WD</v>
      </c>
      <c r="EL9" s="164" t="str">
        <f t="shared" si="39"/>
        <v>23IRP_WD_.PX.BDG._.PTC.Bridger.WD</v>
      </c>
      <c r="EM9" s="164" t="str">
        <f t="shared" si="39"/>
        <v>23IRP_WD_.PX.UWY._.SER.WD_T</v>
      </c>
      <c r="EN9" s="176" t="str">
        <f t="shared" si="39"/>
        <v>23IRP_WD_.PX.WYE._.SER.WD_T</v>
      </c>
      <c r="EO9" s="164" t="str">
        <f t="shared" si="39"/>
        <v>23IRP_WD_.PX.WYE.1.A01.WD_T</v>
      </c>
      <c r="EP9" s="164" t="str">
        <f t="shared" si="39"/>
        <v>23IRP_WD_.PX.YAK._.PTC.WD</v>
      </c>
      <c r="EQ9" s="164" t="str">
        <f t="shared" si="39"/>
        <v>23IRP_WD_.PX.WYE._.PTC.Djohns.WD</v>
      </c>
      <c r="ER9" s="164" t="str">
        <f t="shared" si="39"/>
        <v>23IRP_WD_.PX.WWA._.215.WD_T</v>
      </c>
      <c r="ES9" s="176" t="str">
        <f t="shared" si="39"/>
        <v>23IRP_WD_.PX.PNC._.PTC.WD</v>
      </c>
      <c r="ET9" s="164" t="str">
        <f t="shared" si="39"/>
        <v>23IRP_WD_.PX.WWA._.PTC.WD</v>
      </c>
      <c r="EU9" s="164" t="str">
        <f t="shared" si="39"/>
        <v>23IRP_WD_.PX.SOR._.PTC.WD</v>
      </c>
      <c r="EV9" s="164" t="str">
        <f t="shared" ref="EV9:FN9" si="40">DG9</f>
        <v>23IRP_PV_.PX.BOR._.PTC.PV</v>
      </c>
      <c r="EW9" s="164" t="str">
        <f t="shared" si="40"/>
        <v>23IRP_PV_.PX.UWY._.SER.PV</v>
      </c>
      <c r="EX9" s="164" t="str">
        <f t="shared" si="40"/>
        <v>23IRP_PV_.PX.UTS._.PTC.Hunter.PV</v>
      </c>
      <c r="EY9" s="164" t="str">
        <f t="shared" si="40"/>
        <v>23IRP_PV_.PX.UTS._.PTC.Huntington.PV</v>
      </c>
      <c r="EZ9" s="164" t="str">
        <f t="shared" si="40"/>
        <v>23IRP_PV_.PX.UTS._.SER.PV</v>
      </c>
      <c r="FA9" s="164" t="str">
        <f t="shared" si="40"/>
        <v>23IRP_PVS.PX.YAK._.110.PV</v>
      </c>
      <c r="FB9" s="164" t="str">
        <f t="shared" si="40"/>
        <v>23IRP_PVS.PX.WWA._.215.PV</v>
      </c>
      <c r="FC9" s="164" t="str">
        <f t="shared" si="40"/>
        <v>23IRP_PVS.PX.WMV._.222.PV</v>
      </c>
      <c r="FD9" s="164" t="str">
        <f t="shared" si="40"/>
        <v>23IRP_PVS.PX.WMV._.223.PV</v>
      </c>
      <c r="FE9" s="164" t="str">
        <f t="shared" si="40"/>
        <v>23IRP_PVS.PX.BOR._.2C5.PV</v>
      </c>
      <c r="FF9" s="164" t="str">
        <f t="shared" si="40"/>
        <v>23IRP_PVS.PX.COR._.TC8.PV</v>
      </c>
      <c r="FG9" s="164" t="str">
        <f t="shared" si="40"/>
        <v>23IRP_PVS.PX.UWY._.SER.PV</v>
      </c>
      <c r="FH9" s="164" t="str">
        <f t="shared" si="40"/>
        <v>23IRP_PVS.PX.WYE._.SER.PV</v>
      </c>
      <c r="FI9" s="164" t="str">
        <f t="shared" si="40"/>
        <v>23IRP_PVS.PX.CLV.1.TC4.PV</v>
      </c>
      <c r="FJ9" s="164" t="str">
        <f t="shared" si="40"/>
        <v>23IRP_PVS.PX.UTS._.SER.PV</v>
      </c>
      <c r="FK9" s="164" t="str">
        <f t="shared" si="40"/>
        <v>23IRP_PVS.PX.GOE.1.A43.PV</v>
      </c>
      <c r="FL9" s="164" t="str">
        <f t="shared" si="40"/>
        <v>23IRP_NUC.PX.UTS._.PTC.SM Adv Hunter+Huntington</v>
      </c>
      <c r="FM9" s="164" t="str">
        <f t="shared" si="40"/>
        <v>23IRP_NUC.PX.UTS._.PTC.SM Adv Hunter+Huntington_2</v>
      </c>
      <c r="FN9" s="164" t="str">
        <f t="shared" si="40"/>
        <v>23IRP_XSC.PX.UTN._.ITC.Non-E</v>
      </c>
      <c r="FO9" s="164" t="str">
        <f>DZ9</f>
        <v>23IRP_XSC.PX.SOR._.ITC.Non-E</v>
      </c>
      <c r="FP9" s="164" t="str">
        <f>EA9</f>
        <v>23IRP_XSC.PX.BDG._.ITC.Jim Bridger - Non-E</v>
      </c>
      <c r="FW9" s="164" t="s">
        <v>77</v>
      </c>
      <c r="FZ9" s="164" t="s">
        <v>144</v>
      </c>
      <c r="GA9" s="164" t="s">
        <v>144</v>
      </c>
    </row>
    <row r="10" spans="2:183" customFormat="1">
      <c r="B10" s="5" t="s">
        <v>0</v>
      </c>
      <c r="C10" s="5" t="str">
        <f>"Price"&amp;IF(I8&lt;&gt;1," ","")</f>
        <v xml:space="preserve">Price </v>
      </c>
      <c r="D10" s="5"/>
      <c r="E10" s="5" t="s">
        <v>19</v>
      </c>
      <c r="F10" s="36"/>
      <c r="G10" s="5" t="s">
        <v>15</v>
      </c>
      <c r="H10" s="34"/>
      <c r="I10" s="78"/>
    </row>
    <row r="11" spans="2:183" customFormat="1" ht="13.5">
      <c r="B11" s="5"/>
      <c r="C11" s="5" t="s">
        <v>16</v>
      </c>
      <c r="D11" s="5"/>
      <c r="E11" s="76" t="s">
        <v>53</v>
      </c>
      <c r="F11" s="36"/>
      <c r="G11" s="5" t="s">
        <v>31</v>
      </c>
      <c r="H11" s="34"/>
      <c r="I11" s="78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G11" t="s">
        <v>32</v>
      </c>
      <c r="AH11" t="s">
        <v>32</v>
      </c>
      <c r="AI11" t="s">
        <v>32</v>
      </c>
      <c r="AJ11" t="s">
        <v>32</v>
      </c>
      <c r="AK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BE11" t="s">
        <v>32</v>
      </c>
      <c r="BF11" t="s">
        <v>32</v>
      </c>
      <c r="BG11" t="s">
        <v>32</v>
      </c>
      <c r="BH11" t="s">
        <v>32</v>
      </c>
      <c r="BI11" t="s">
        <v>32</v>
      </c>
      <c r="BJ11" t="s">
        <v>32</v>
      </c>
      <c r="BK11" t="s">
        <v>32</v>
      </c>
      <c r="BL11" t="s">
        <v>32</v>
      </c>
      <c r="BM11" t="s">
        <v>32</v>
      </c>
      <c r="BN11" t="s">
        <v>32</v>
      </c>
      <c r="BO11" t="s">
        <v>32</v>
      </c>
      <c r="BP11" t="s">
        <v>32</v>
      </c>
      <c r="BQ11" t="s">
        <v>32</v>
      </c>
      <c r="BR11" t="s">
        <v>32</v>
      </c>
      <c r="BS11" t="s">
        <v>32</v>
      </c>
      <c r="BT11" t="s">
        <v>32</v>
      </c>
      <c r="BU11" t="s">
        <v>32</v>
      </c>
      <c r="BV11" t="s">
        <v>32</v>
      </c>
      <c r="BW11" t="s">
        <v>32</v>
      </c>
      <c r="BX11" t="s">
        <v>32</v>
      </c>
      <c r="BY11" t="s">
        <v>32</v>
      </c>
      <c r="BZ11" t="s">
        <v>32</v>
      </c>
      <c r="CA11" t="s">
        <v>32</v>
      </c>
      <c r="CB11" t="s">
        <v>32</v>
      </c>
      <c r="CC11" t="s">
        <v>32</v>
      </c>
      <c r="CD11" t="s">
        <v>32</v>
      </c>
      <c r="CE11" t="s">
        <v>32</v>
      </c>
      <c r="CF11" t="s">
        <v>32</v>
      </c>
      <c r="CG11" t="s">
        <v>32</v>
      </c>
      <c r="CH11" t="s">
        <v>32</v>
      </c>
      <c r="CI11" t="s">
        <v>32</v>
      </c>
      <c r="CJ11" t="s">
        <v>32</v>
      </c>
      <c r="CK11" t="s">
        <v>32</v>
      </c>
      <c r="CL11" t="s">
        <v>32</v>
      </c>
      <c r="CT11" t="s">
        <v>78</v>
      </c>
      <c r="CV11" t="s">
        <v>78</v>
      </c>
      <c r="CW11" t="s">
        <v>78</v>
      </c>
      <c r="CX11" t="s">
        <v>78</v>
      </c>
      <c r="CY11" t="s">
        <v>78</v>
      </c>
      <c r="CZ11" t="s">
        <v>78</v>
      </c>
      <c r="DA11" t="s">
        <v>78</v>
      </c>
      <c r="DB11" t="s">
        <v>78</v>
      </c>
      <c r="DC11" t="s">
        <v>78</v>
      </c>
      <c r="DD11" t="s">
        <v>78</v>
      </c>
      <c r="DE11" t="s">
        <v>78</v>
      </c>
      <c r="DF11" t="s">
        <v>78</v>
      </c>
      <c r="DG11" t="s">
        <v>78</v>
      </c>
      <c r="DH11" t="s">
        <v>78</v>
      </c>
      <c r="DI11" t="s">
        <v>78</v>
      </c>
      <c r="DJ11" t="s">
        <v>78</v>
      </c>
      <c r="DK11" t="s">
        <v>78</v>
      </c>
      <c r="DL11" t="s">
        <v>78</v>
      </c>
      <c r="DM11" t="s">
        <v>78</v>
      </c>
      <c r="DN11" t="s">
        <v>78</v>
      </c>
      <c r="DO11" t="s">
        <v>78</v>
      </c>
      <c r="DP11" t="s">
        <v>78</v>
      </c>
      <c r="DQ11" t="s">
        <v>78</v>
      </c>
      <c r="DR11" t="s">
        <v>78</v>
      </c>
      <c r="DS11" t="s">
        <v>78</v>
      </c>
      <c r="DT11" t="s">
        <v>78</v>
      </c>
      <c r="DU11" t="s">
        <v>78</v>
      </c>
      <c r="DV11" t="s">
        <v>78</v>
      </c>
      <c r="DW11" t="s">
        <v>78</v>
      </c>
      <c r="DX11" t="s">
        <v>78</v>
      </c>
      <c r="DY11" t="s">
        <v>78</v>
      </c>
      <c r="DZ11" t="s">
        <v>78</v>
      </c>
      <c r="EA11" t="s">
        <v>78</v>
      </c>
      <c r="EI11" t="s">
        <v>79</v>
      </c>
      <c r="EJ11" t="s">
        <v>79</v>
      </c>
      <c r="EK11" t="s">
        <v>79</v>
      </c>
      <c r="EL11" t="s">
        <v>79</v>
      </c>
      <c r="EM11" t="s">
        <v>79</v>
      </c>
      <c r="EN11" t="s">
        <v>79</v>
      </c>
      <c r="EO11" t="s">
        <v>79</v>
      </c>
      <c r="EP11" t="s">
        <v>79</v>
      </c>
      <c r="EQ11" t="s">
        <v>79</v>
      </c>
      <c r="ER11" t="s">
        <v>79</v>
      </c>
      <c r="ES11" t="s">
        <v>79</v>
      </c>
      <c r="ET11" t="s">
        <v>79</v>
      </c>
      <c r="EU11" t="s">
        <v>79</v>
      </c>
      <c r="EV11" t="s">
        <v>79</v>
      </c>
      <c r="EW11" t="s">
        <v>79</v>
      </c>
      <c r="EX11" t="s">
        <v>79</v>
      </c>
      <c r="EY11" t="s">
        <v>79</v>
      </c>
      <c r="EZ11" t="s">
        <v>79</v>
      </c>
      <c r="FA11" t="s">
        <v>79</v>
      </c>
      <c r="FB11" t="s">
        <v>79</v>
      </c>
      <c r="FC11" t="s">
        <v>79</v>
      </c>
      <c r="FD11" t="s">
        <v>79</v>
      </c>
      <c r="FE11" t="s">
        <v>79</v>
      </c>
      <c r="FF11" t="s">
        <v>79</v>
      </c>
      <c r="FG11" t="s">
        <v>79</v>
      </c>
      <c r="FH11" t="s">
        <v>79</v>
      </c>
      <c r="FI11" t="s">
        <v>79</v>
      </c>
      <c r="FJ11" t="s">
        <v>79</v>
      </c>
      <c r="FK11" t="s">
        <v>79</v>
      </c>
      <c r="FL11" t="s">
        <v>79</v>
      </c>
      <c r="FM11" t="s">
        <v>79</v>
      </c>
      <c r="FN11" t="s">
        <v>79</v>
      </c>
      <c r="FO11" t="s">
        <v>79</v>
      </c>
      <c r="FP11" t="s">
        <v>79</v>
      </c>
      <c r="FW11" t="s">
        <v>79</v>
      </c>
      <c r="FZ11" t="s">
        <v>78</v>
      </c>
      <c r="GA11" t="s">
        <v>79</v>
      </c>
    </row>
    <row r="12" spans="2:183" customFormat="1">
      <c r="B12" s="141"/>
      <c r="C12" s="142"/>
      <c r="D12" s="141"/>
      <c r="E12" s="5"/>
      <c r="F12" s="5"/>
      <c r="G12" s="3"/>
      <c r="H12" s="34"/>
      <c r="I12" s="78"/>
    </row>
    <row r="13" spans="2:183" customFormat="1">
      <c r="B13" s="13">
        <f>'Table 5'!J13</f>
        <v>2024</v>
      </c>
      <c r="C13" s="8">
        <f t="shared" ref="C13" si="41">(INDEX($FW:$FW,MATCH(B13,$O:$O,0),1)+INDEX($GA:$GA,MATCH(B13,$O:$O,0),1))*1000/Study_MW</f>
        <v>0</v>
      </c>
      <c r="D13" s="41"/>
      <c r="E13" s="7">
        <f ca="1">SUMIF(INDIRECT("'Table 5'!$J$"&amp;$K$3&amp;":$J$"&amp;$K$4),B13,INDIRECT("'Table 5'!$c$"&amp;$K$3&amp;":$c$"&amp;$K$4))/SUMIF(INDIRECT("'Table 5'!$J$"&amp;$K$3&amp;":$J$"&amp;$K$4),B13,INDIRECT("'Table 5'!$f$"&amp;$K$3&amp;":$f$"&amp;$K$4))</f>
        <v>46.187980847596101</v>
      </c>
      <c r="F13" s="40"/>
      <c r="G13" s="11">
        <f ca="1">SUMIF(INDIRECT("'Table 5'!$J$"&amp;$K$3&amp;":$J$"&amp;$K$4),B13,INDIRECT("'Table 5'!$e$"&amp;$K$3&amp;":$e$"&amp;$K$4))/SUMIF(INDIRECT("'Table 5'!$J$"&amp;$K$3&amp;":$J$"&amp;$K$4),B13,INDIRECT("'Table 5'!$f$"&amp;$K$3&amp;":$f$"&amp;$K$4))</f>
        <v>46.187980847596101</v>
      </c>
      <c r="H13" s="34"/>
      <c r="I13" s="143"/>
      <c r="J13" s="143"/>
      <c r="O13">
        <f t="shared" ref="O13:O32" si="42">B13</f>
        <v>2024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BE13">
        <f t="shared" ref="BE13:BE30" si="43">P13/P$5</f>
        <v>0</v>
      </c>
      <c r="BF13">
        <f t="shared" ref="BF13:BF30" si="44">Q13/Q$5</f>
        <v>0</v>
      </c>
      <c r="BG13">
        <f t="shared" ref="BG13:BG30" si="45">R13/R$5</f>
        <v>0</v>
      </c>
      <c r="BH13">
        <f t="shared" ref="BH13:BH30" si="46">S13/S$5</f>
        <v>0</v>
      </c>
      <c r="BI13">
        <f t="shared" ref="BI13:BI30" si="47">T13/T$5</f>
        <v>0</v>
      </c>
      <c r="BJ13">
        <f t="shared" ref="BJ13:BJ30" si="48">U13/U$5</f>
        <v>0</v>
      </c>
      <c r="BK13">
        <f t="shared" ref="BK13:BK30" si="49">V13/V$5</f>
        <v>0</v>
      </c>
      <c r="BL13">
        <f t="shared" ref="BL13:BL30" si="50">W13/W$5</f>
        <v>0</v>
      </c>
      <c r="BM13">
        <f t="shared" ref="BM13:BM30" si="51">X13/X$5</f>
        <v>0</v>
      </c>
      <c r="BN13">
        <f t="shared" ref="BN13:BN30" si="52">Y13/Y$5</f>
        <v>0</v>
      </c>
      <c r="BO13">
        <f t="shared" ref="BO13:BO30" si="53">Z13/Z$5</f>
        <v>0</v>
      </c>
      <c r="BP13">
        <f t="shared" ref="BP13:BP30" si="54">AA13/AA$5</f>
        <v>0</v>
      </c>
      <c r="BQ13">
        <f t="shared" ref="BQ13:BQ30" si="55">AB13/AB$5</f>
        <v>0</v>
      </c>
      <c r="BR13">
        <f t="shared" ref="BR13:BR32" si="56">AC13/AC$5</f>
        <v>0</v>
      </c>
      <c r="BS13">
        <f t="shared" ref="BS13:BS32" si="57">AD13/AD$5</f>
        <v>0</v>
      </c>
      <c r="BT13">
        <f t="shared" ref="BT13:BT32" si="58">AE13/AE$5</f>
        <v>0</v>
      </c>
      <c r="BU13">
        <f t="shared" ref="BU13:BU32" si="59">AF13/AF$5</f>
        <v>0</v>
      </c>
      <c r="BV13">
        <f t="shared" ref="BV13:BV32" si="60">AG13/AG$5</f>
        <v>0</v>
      </c>
      <c r="BW13">
        <f t="shared" ref="BW13:BW32" si="61">AH13/AH$5</f>
        <v>0</v>
      </c>
      <c r="BX13">
        <f t="shared" ref="BX13:BX32" si="62">AI13/AI$5</f>
        <v>0</v>
      </c>
      <c r="BY13">
        <f t="shared" ref="BY13:BY32" si="63">AJ13/AJ$5</f>
        <v>0</v>
      </c>
      <c r="BZ13">
        <f t="shared" ref="BZ13:BZ32" si="64">AK13/AK$5</f>
        <v>0</v>
      </c>
      <c r="CA13">
        <f t="shared" ref="CA13:CA32" si="65">AL13/AL$5</f>
        <v>0</v>
      </c>
      <c r="CB13">
        <f t="shared" ref="CB13:CB32" si="66">AM13/AM$5</f>
        <v>0</v>
      </c>
      <c r="CC13">
        <f t="shared" ref="CC13:CC32" si="67">AN13/AN$5</f>
        <v>0</v>
      </c>
      <c r="CD13">
        <f t="shared" ref="CD13:CD32" si="68">AO13/AO$5</f>
        <v>0</v>
      </c>
      <c r="CE13">
        <f t="shared" ref="CE13:CE32" si="69">AP13/AP$5</f>
        <v>0</v>
      </c>
      <c r="CF13">
        <f t="shared" ref="CF13:CF32" si="70">AQ13/AQ$5</f>
        <v>0</v>
      </c>
      <c r="CG13">
        <f t="shared" ref="CG13:CG32" si="71">AR13/AR$5</f>
        <v>0</v>
      </c>
      <c r="CH13">
        <f t="shared" ref="CH13:CH32" si="72">AS13/AS$5</f>
        <v>0</v>
      </c>
      <c r="CI13">
        <f t="shared" ref="CI13:CI32" si="73">AT13/AT$5</f>
        <v>0</v>
      </c>
      <c r="CJ13">
        <f t="shared" ref="CJ13:CJ32" si="74">AU13/AU$5</f>
        <v>0</v>
      </c>
      <c r="CK13">
        <f t="shared" ref="CK13:CK30" si="75">AV13/AV$5</f>
        <v>0</v>
      </c>
      <c r="CL13">
        <f t="shared" ref="CL13:CL30" si="76">AW13/AW$5</f>
        <v>0</v>
      </c>
      <c r="CS13">
        <f>O13</f>
        <v>2024</v>
      </c>
      <c r="CT13" s="112">
        <f>IFERROR(VLOOKUP($O13,'2029_WD_.PX.WYE._.PTC.WD'!$B$10:$L$38,11,FALSE),0)</f>
        <v>0</v>
      </c>
      <c r="CU13" s="112">
        <f>IFERROR(VLOOKUP($O13,'2032_WD_.PX.WYN._.PTC.WD'!$B$10:$L$38,11,FALSE),0)</f>
        <v>0</v>
      </c>
      <c r="CV13" s="112">
        <f>IFERROR(VLOOKUP($O13,'2028_WD_.PX.BOR._.PTC.WD'!$B$10:$L$38,11,FALSE),0)</f>
        <v>0</v>
      </c>
      <c r="CW13" s="112">
        <f>IFERROR(VLOOKUP($O13,'2029_WD_.PX.BDG._.PTC.Bridger.W'!$B$10:$L$38,11,FALSE),0)</f>
        <v>0</v>
      </c>
      <c r="CX13" s="112">
        <f>IFERROR(VLOOKUP($O13,'2025_WD_.PX.UWY._.SER.WD'!$B$10:$L$38,11,FALSE),0)</f>
        <v>0</v>
      </c>
      <c r="CY13" s="112">
        <f>IFERROR(VLOOKUP($O13,'2025_WD_.PX.WYE._.SER.WD'!$B$10:$L$38,11,FALSE),0)</f>
        <v>0</v>
      </c>
      <c r="CZ13" s="112">
        <f>IFERROR(VLOOKUP($O13,'2029_WD_.PX.WYE.1.A01.WD'!$B$10:$L$38,11,FALSE),0)</f>
        <v>0</v>
      </c>
      <c r="DA13" s="112">
        <f>IFERROR(VLOOKUP($O13,'2032_WD_.PX.YAK._.PTC.WD'!$B$10:$L$38,11,FALSE),0)</f>
        <v>0</v>
      </c>
      <c r="DB13" s="112">
        <f>IFERROR(VLOOKUP($O13,'2032_WD_.PX.WYE._.PTC.Djohns.WD'!$B$10:$L$38,11,FALSE),0)</f>
        <v>0</v>
      </c>
      <c r="DC13" s="112">
        <f>IFERROR(VLOOKUP($O13,'2027_WD_.PX.WWA._.215.WD'!$B$10:$L$38,11,FALSE),0)</f>
        <v>0</v>
      </c>
      <c r="DD13" s="112">
        <f>IFERROR(VLOOKUP($O13,'2032_WD_.PX.PNC._.PTC.WD'!$B$10:$L$38,11,FALSE),0)</f>
        <v>0</v>
      </c>
      <c r="DE13" s="112">
        <f>IFERROR(VLOOKUP($O13,'2032_WD_.PX.WWA._.PTC.WD'!$B$10:$L$38,11,FALSE),0)</f>
        <v>0</v>
      </c>
      <c r="DF13" s="112">
        <f>IFERROR(VLOOKUP($O13,'2032_WD_.PX.SOR._.PTC.WD'!$B$10:$L$38,11,FALSE),0)</f>
        <v>0</v>
      </c>
      <c r="DG13" s="112">
        <f>IFERROR(VLOOKUP($O13,'2028_PV_.PX.BOR._.PTC.PV'!$B$10:$L$38,11,FALSE),0)</f>
        <v>0</v>
      </c>
      <c r="DH13" s="112">
        <f>IFERROR(VLOOKUP($O13,'2025_PV_.PX.UWY._.SER.PV'!$B$10:$L$38,11,FALSE),0)</f>
        <v>0</v>
      </c>
      <c r="DI13" s="112">
        <f>IFERROR(VLOOKUP($O13,'2028_PV_.PX.UTS._.PTC.Hunter.PV'!$B$10:$L$38,11,FALSE),0)</f>
        <v>0</v>
      </c>
      <c r="DJ13" s="112">
        <f>IFERROR(VLOOKUP($O13,'2028_PV_.PX.UTS._.PTC.Huntingto'!$B$10:$L$38,11,FALSE),0)</f>
        <v>0</v>
      </c>
      <c r="DK13" s="112">
        <f>IFERROR(VLOOKUP($O13,'2025_PV_.PX.UTS._.SER.PV'!$B$10:$L$38,11,FALSE),0)</f>
        <v>0</v>
      </c>
      <c r="DL13" s="112">
        <f>IFERROR(VLOOKUP($O13,'2026_PVS.PX.YAK._.110.PV'!$B$10:$L$38,11,FALSE),0)</f>
        <v>0</v>
      </c>
      <c r="DM13" s="112">
        <f>IFERROR(VLOOKUP($O13,'2027_PVS.PX.WWA._.215.PV'!$B$10:$L$38,11,FALSE),0)</f>
        <v>0</v>
      </c>
      <c r="DN13" s="112">
        <f>IFERROR(VLOOKUP($O13,'2025_PVS.PX.WMV._.222.PV'!$B$10:$L$38,11,FALSE),0)</f>
        <v>0</v>
      </c>
      <c r="DO13" s="112">
        <f>IFERROR(VLOOKUP($O13,'2026_PVS.PX.WMV._.223.PV'!$B$10:$L$38,11,FALSE),0)</f>
        <v>0</v>
      </c>
      <c r="DP13" s="112">
        <f>IFERROR(VLOOKUP($O13,'2026_PVS.PX.BOR._.2C5.PV'!$B$10:$L$38,11,FALSE),0)</f>
        <v>0</v>
      </c>
      <c r="DQ13" s="112">
        <f>IFERROR(VLOOKUP($O13,'2026_PVS.PX.COR._.TC8.PV'!$B$10:$L$38,11,FALSE),0)</f>
        <v>0</v>
      </c>
      <c r="DR13" s="112">
        <f>IFERROR(VLOOKUP($O13,'2025_PVS.PX.UWY._.SER.PV'!$B$10:$L$38,11,FALSE),0)</f>
        <v>0</v>
      </c>
      <c r="DS13" s="112">
        <f>IFERROR(VLOOKUP($O13,'2025_PVS.PX.WYE._.SER.PV'!$B$10:$L$38,11,FALSE),0)</f>
        <v>0</v>
      </c>
      <c r="DT13" s="112">
        <f>IFERROR(VLOOKUP($O13,'2026_PVS.PX.CLV.1.TC4.PV'!$B$10:$L$38,11,FALSE),0)</f>
        <v>0</v>
      </c>
      <c r="DU13" s="112">
        <f>IFERROR(VLOOKUP($O13,'2025_PVS.PX.UTS._.SER.PV'!$B$10:$L$38,11,FALSE),0)</f>
        <v>0</v>
      </c>
      <c r="DV13" s="112">
        <f>IFERROR(VLOOKUP($O13,'2029_PVS.PX.GOE.1.A43.PV'!$B$10:$L$38,11,FALSE),0)</f>
        <v>0</v>
      </c>
      <c r="DW13" s="112"/>
      <c r="DX13" s="112"/>
      <c r="DY13" s="112">
        <f>IFERROR(VLOOKUP($O13,'NonE 303MW (UT) 2030'!$B$16:$H$36,7,FALSE),0)</f>
        <v>0</v>
      </c>
      <c r="DZ13" s="112"/>
      <c r="EA13" s="112"/>
      <c r="EB13" s="112"/>
      <c r="EC13" s="112"/>
      <c r="ED13" s="264"/>
      <c r="EI13">
        <f>SUM(BE$13:BE13)*CT13/1000</f>
        <v>0</v>
      </c>
      <c r="EJ13">
        <f>SUM(BF$13:BF13)*CU13/1000</f>
        <v>0</v>
      </c>
      <c r="EK13">
        <f>SUM(BG$13:BG13)*CV13/1000</f>
        <v>0</v>
      </c>
      <c r="EL13">
        <f>SUM(BH$13:BH13)*CW13/1000</f>
        <v>0</v>
      </c>
      <c r="EM13">
        <f>SUM(BI$13:BI13)*CX13/1000</f>
        <v>0</v>
      </c>
      <c r="EN13">
        <f>SUM(BJ$13:BJ13)*CY13/1000</f>
        <v>0</v>
      </c>
      <c r="EO13">
        <f>SUM(BK$13:BK13)*CZ13/1000</f>
        <v>0</v>
      </c>
      <c r="EP13">
        <f>SUM(BL$13:BL13)*DA13/1000</f>
        <v>0</v>
      </c>
      <c r="EQ13">
        <f>SUM(BM$13:BM13)*DB13/1000</f>
        <v>0</v>
      </c>
      <c r="ER13">
        <f>SUM(BN$13:BN13)*DC13/1000</f>
        <v>0</v>
      </c>
      <c r="ES13">
        <f>SUM(BO$13:BO13)*DD13/1000</f>
        <v>0</v>
      </c>
      <c r="ET13">
        <f>SUM(BP$13:BP13)*DE13/1000</f>
        <v>0</v>
      </c>
      <c r="EU13">
        <f>SUM(BQ$13:BQ13)*DF13/1000</f>
        <v>0</v>
      </c>
      <c r="EV13">
        <f>SUM(BR$13:BR13)*DG13/1000</f>
        <v>0</v>
      </c>
      <c r="EW13">
        <f>SUM(BS$13:BS13)*DH13/1000</f>
        <v>0</v>
      </c>
      <c r="EX13">
        <f>SUM(BT$13:BT13)*DI13/1000</f>
        <v>0</v>
      </c>
      <c r="EY13">
        <f>SUM(BU$13:BU13)*DJ13/1000</f>
        <v>0</v>
      </c>
      <c r="EZ13">
        <f>SUM(BV$13:BV13)*DK13/1000</f>
        <v>0</v>
      </c>
      <c r="FA13">
        <f>SUM(BW$13:BW13)*DL13/1000</f>
        <v>0</v>
      </c>
      <c r="FB13">
        <f>SUM(BX$13:BX13)*DM13/1000</f>
        <v>0</v>
      </c>
      <c r="FC13">
        <f>SUM(BY$13:BY13)*DN13/1000</f>
        <v>0</v>
      </c>
      <c r="FD13">
        <f>SUM(BZ$13:BZ13)*DO13/1000</f>
        <v>0</v>
      </c>
      <c r="FE13">
        <f>SUM(CA$13:CA13)*DP13/1000</f>
        <v>0</v>
      </c>
      <c r="FF13">
        <f>SUM(CB$13:CB13)*DQ13/1000</f>
        <v>0</v>
      </c>
      <c r="FG13">
        <f>SUM(CC$13:CC13)*DR13/1000</f>
        <v>0</v>
      </c>
      <c r="FH13">
        <f>SUM(CD$13:CD13)*DS13/1000</f>
        <v>0</v>
      </c>
      <c r="FI13">
        <f>SUM(CE$13:CE13)*DT13/1000</f>
        <v>0</v>
      </c>
      <c r="FJ13">
        <f>SUM(CF$13:CF13)*DU13/1000</f>
        <v>0</v>
      </c>
      <c r="FK13">
        <f>SUM(CG$13:CG13)*DV13/1000</f>
        <v>0</v>
      </c>
      <c r="FL13">
        <f>SUM(CH$13:CH13)*DW13/1000</f>
        <v>0</v>
      </c>
      <c r="FM13">
        <f>SUM(CI$13:CI13)*DX13/1000</f>
        <v>0</v>
      </c>
      <c r="FN13">
        <f>SUM(CJ$13:CJ13)*DY13/1000</f>
        <v>0</v>
      </c>
      <c r="FO13">
        <f>SUM(CK$13:CK13)*DZ13/1000</f>
        <v>0</v>
      </c>
      <c r="FP13">
        <f>SUM(CL$13:CL13)*EA13/1000</f>
        <v>0</v>
      </c>
      <c r="FW13">
        <f t="shared" ref="FW13" si="77">SUM(EI13:FV13)</f>
        <v>0</v>
      </c>
      <c r="FY13">
        <f t="shared" ref="FY13:FY30" si="78">O13</f>
        <v>2024</v>
      </c>
      <c r="FZ13" s="78">
        <f>IFERROR(VLOOKUP($FY13,'Table 3 TransCost'!$AA$10:$AD$32,4,FALSE),0)</f>
        <v>0</v>
      </c>
      <c r="GA13" s="143">
        <f>$FZ$5*FZ13/1000</f>
        <v>0</v>
      </c>
    </row>
    <row r="14" spans="2:183" customFormat="1">
      <c r="B14" s="13"/>
      <c r="C14" s="8"/>
      <c r="D14" s="41"/>
      <c r="E14" s="8"/>
      <c r="F14" s="34"/>
      <c r="G14" s="12"/>
      <c r="H14" s="34"/>
      <c r="I14" s="143"/>
      <c r="J14" s="143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264"/>
      <c r="DX14" s="264"/>
      <c r="DY14" s="112"/>
      <c r="DZ14" s="264"/>
      <c r="EA14" s="264"/>
      <c r="EB14" s="264"/>
      <c r="EC14" s="264"/>
      <c r="ED14" s="264"/>
      <c r="FZ14" s="78"/>
      <c r="GA14" s="143"/>
    </row>
    <row r="15" spans="2:183" customFormat="1">
      <c r="B15" s="13"/>
      <c r="C15" s="8"/>
      <c r="D15" s="41"/>
      <c r="E15" s="8"/>
      <c r="F15" s="34"/>
      <c r="G15" s="12"/>
      <c r="H15" s="34"/>
      <c r="I15" s="143"/>
      <c r="J15" s="143"/>
      <c r="N15" s="78"/>
      <c r="BK15" s="78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264"/>
      <c r="DX15" s="264"/>
      <c r="DY15" s="112"/>
      <c r="DZ15" s="264"/>
      <c r="EA15" s="264"/>
      <c r="EB15" s="264"/>
      <c r="EC15" s="264"/>
      <c r="ED15" s="264"/>
      <c r="FZ15" s="78"/>
      <c r="GA15" s="143"/>
    </row>
    <row r="16" spans="2:183" customFormat="1">
      <c r="B16" s="13"/>
      <c r="C16" s="8"/>
      <c r="D16" s="41"/>
      <c r="E16" s="8"/>
      <c r="F16" s="34"/>
      <c r="G16" s="12"/>
      <c r="H16" s="34"/>
      <c r="I16" s="143"/>
      <c r="J16" s="78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264"/>
      <c r="DX16" s="264"/>
      <c r="DY16" s="112"/>
      <c r="DZ16" s="264"/>
      <c r="EA16" s="264"/>
      <c r="EB16" s="264"/>
      <c r="EC16" s="264"/>
      <c r="ED16" s="264"/>
      <c r="FZ16" s="78"/>
      <c r="GA16" s="143"/>
    </row>
    <row r="17" spans="2:183">
      <c r="B17" s="13"/>
      <c r="C17" s="8"/>
      <c r="D17" s="41"/>
      <c r="E17" s="8"/>
      <c r="F17" s="34"/>
      <c r="G17" s="12"/>
      <c r="H17" s="34"/>
      <c r="I17" s="143"/>
      <c r="J17" s="78"/>
      <c r="CO17" s="143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264"/>
      <c r="DX17" s="264"/>
      <c r="DY17" s="112"/>
      <c r="DZ17" s="264"/>
      <c r="EA17" s="264"/>
      <c r="EB17" s="264"/>
      <c r="EC17" s="264"/>
      <c r="ED17" s="264"/>
      <c r="FZ17" s="78"/>
      <c r="GA17" s="143"/>
    </row>
    <row r="18" spans="2:183">
      <c r="B18" s="13"/>
      <c r="C18" s="8"/>
      <c r="D18" s="41"/>
      <c r="E18" s="8"/>
      <c r="F18" s="34"/>
      <c r="G18" s="12"/>
      <c r="H18" s="34"/>
      <c r="I18" s="143"/>
      <c r="J18" s="78"/>
      <c r="BH18" s="78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264"/>
      <c r="DX18" s="264"/>
      <c r="DY18" s="112"/>
      <c r="DZ18" s="264"/>
      <c r="EA18" s="264"/>
      <c r="EB18" s="264"/>
      <c r="EC18" s="264"/>
      <c r="ED18" s="264"/>
      <c r="FZ18" s="78"/>
      <c r="GA18" s="143"/>
    </row>
    <row r="19" spans="2:183">
      <c r="B19" s="13"/>
      <c r="C19" s="8"/>
      <c r="D19" s="41"/>
      <c r="E19" s="8"/>
      <c r="F19" s="34"/>
      <c r="G19" s="12"/>
      <c r="H19" s="34"/>
      <c r="I19" s="143"/>
      <c r="J19" s="78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264"/>
      <c r="DX19" s="264"/>
      <c r="DY19" s="112"/>
      <c r="DZ19" s="264"/>
      <c r="EA19" s="264"/>
      <c r="EB19" s="264"/>
      <c r="EC19" s="264"/>
      <c r="ED19" s="264"/>
      <c r="FZ19" s="78"/>
      <c r="GA19" s="143"/>
    </row>
    <row r="20" spans="2:183">
      <c r="B20" s="13"/>
      <c r="C20" s="8"/>
      <c r="D20" s="41"/>
      <c r="E20" s="8"/>
      <c r="F20" s="34"/>
      <c r="G20" s="12"/>
      <c r="H20" s="34"/>
      <c r="I20" s="143"/>
      <c r="J20" s="78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264"/>
      <c r="DX20" s="264"/>
      <c r="DY20" s="112"/>
      <c r="DZ20" s="264"/>
      <c r="EA20" s="264"/>
      <c r="EB20" s="264"/>
      <c r="EC20" s="264"/>
      <c r="ED20" s="264"/>
      <c r="FZ20" s="78"/>
      <c r="GA20" s="143"/>
    </row>
    <row r="21" spans="2:183">
      <c r="B21" s="13"/>
      <c r="C21" s="8"/>
      <c r="D21" s="41"/>
      <c r="E21" s="8"/>
      <c r="F21" s="34"/>
      <c r="G21" s="12"/>
      <c r="H21" s="34"/>
      <c r="I21" s="143"/>
      <c r="J21" s="78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264"/>
      <c r="DX21" s="264"/>
      <c r="DY21" s="112"/>
      <c r="DZ21" s="264"/>
      <c r="EA21" s="264"/>
      <c r="EB21" s="264"/>
      <c r="EC21" s="264"/>
      <c r="ED21" s="264"/>
      <c r="FZ21" s="78"/>
      <c r="GA21" s="143"/>
    </row>
    <row r="22" spans="2:183">
      <c r="B22" s="13"/>
      <c r="C22" s="8"/>
      <c r="D22" s="41"/>
      <c r="E22" s="8"/>
      <c r="F22" s="34"/>
      <c r="G22" s="12"/>
      <c r="H22" s="34"/>
      <c r="I22" s="143"/>
      <c r="J22" s="78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264"/>
      <c r="DX22" s="264"/>
      <c r="DY22" s="112"/>
      <c r="DZ22" s="264"/>
      <c r="EA22" s="264"/>
      <c r="EB22" s="264"/>
      <c r="EC22" s="264"/>
      <c r="ED22" s="264"/>
      <c r="FZ22" s="78"/>
      <c r="GA22" s="143"/>
    </row>
    <row r="23" spans="2:183">
      <c r="B23" s="13"/>
      <c r="C23" s="8"/>
      <c r="D23" s="41"/>
      <c r="E23" s="8"/>
      <c r="F23" s="34"/>
      <c r="G23" s="12"/>
      <c r="H23" s="34"/>
      <c r="I23" s="143"/>
      <c r="J23" s="78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264"/>
      <c r="DX23" s="264"/>
      <c r="DY23" s="112"/>
      <c r="DZ23" s="264"/>
      <c r="EA23" s="264"/>
      <c r="EB23" s="264"/>
      <c r="EC23" s="264"/>
      <c r="ED23" s="264"/>
      <c r="FZ23" s="78"/>
      <c r="GA23" s="143"/>
    </row>
    <row r="24" spans="2:183">
      <c r="B24" s="13"/>
      <c r="C24" s="8"/>
      <c r="D24" s="41"/>
      <c r="E24" s="8"/>
      <c r="F24" s="34"/>
      <c r="G24" s="12"/>
      <c r="H24" s="34"/>
      <c r="I24" s="143"/>
      <c r="J24" s="78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264"/>
      <c r="DX24" s="264"/>
      <c r="DY24" s="112"/>
      <c r="DZ24" s="264"/>
      <c r="EA24" s="264"/>
      <c r="EB24" s="264"/>
      <c r="EC24" s="264"/>
      <c r="ED24" s="264"/>
      <c r="FZ24" s="78"/>
      <c r="GA24" s="143"/>
    </row>
    <row r="25" spans="2:183">
      <c r="B25" s="13"/>
      <c r="C25" s="8"/>
      <c r="D25" s="41"/>
      <c r="E25" s="8"/>
      <c r="F25" s="34"/>
      <c r="G25" s="12"/>
      <c r="H25" s="34"/>
      <c r="I25" s="143"/>
      <c r="J25" s="78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264"/>
      <c r="DX25" s="264"/>
      <c r="DY25" s="112"/>
      <c r="DZ25" s="264"/>
      <c r="EA25" s="264"/>
      <c r="EB25" s="264"/>
      <c r="EC25" s="264"/>
      <c r="ED25" s="264"/>
      <c r="FZ25" s="78"/>
      <c r="GA25" s="143"/>
    </row>
    <row r="26" spans="2:183">
      <c r="B26" s="13"/>
      <c r="C26" s="8"/>
      <c r="D26" s="41"/>
      <c r="E26" s="8"/>
      <c r="F26" s="34"/>
      <c r="G26" s="12"/>
      <c r="H26" s="34"/>
      <c r="I26" s="143"/>
      <c r="J26" s="78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264"/>
      <c r="DX26" s="264"/>
      <c r="DY26" s="112"/>
      <c r="DZ26" s="264"/>
      <c r="EA26" s="264"/>
      <c r="EB26" s="264"/>
      <c r="EC26" s="264"/>
      <c r="ED26" s="264"/>
      <c r="FZ26" s="78"/>
      <c r="GA26" s="143"/>
    </row>
    <row r="27" spans="2:183">
      <c r="B27" s="13"/>
      <c r="C27" s="8"/>
      <c r="D27" s="41"/>
      <c r="E27" s="8"/>
      <c r="F27" s="34"/>
      <c r="G27" s="12"/>
      <c r="H27" s="34"/>
      <c r="I27" s="143"/>
      <c r="J27" s="78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264"/>
      <c r="DX27" s="264"/>
      <c r="DY27" s="112"/>
      <c r="DZ27" s="264"/>
      <c r="EA27" s="264"/>
      <c r="EB27" s="264"/>
      <c r="EC27" s="264"/>
      <c r="ED27" s="264"/>
      <c r="FZ27" s="78"/>
      <c r="GA27" s="143"/>
    </row>
    <row r="28" spans="2:183" hidden="1">
      <c r="B28" s="13">
        <f t="shared" ref="B28:B34" si="79">B27+1</f>
        <v>1</v>
      </c>
      <c r="C28" s="8"/>
      <c r="D28" s="41"/>
      <c r="E28" s="8"/>
      <c r="F28" s="34"/>
      <c r="G28" s="12"/>
      <c r="H28" s="34"/>
      <c r="I28" s="143"/>
      <c r="J28" s="78"/>
      <c r="M28" s="97"/>
      <c r="O28">
        <f t="shared" si="42"/>
        <v>1</v>
      </c>
      <c r="P28" t="e">
        <v>#N/A</v>
      </c>
      <c r="Q28" t="e">
        <v>#N/A</v>
      </c>
      <c r="R28" t="e">
        <v>#N/A</v>
      </c>
      <c r="S28" t="e">
        <v>#N/A</v>
      </c>
      <c r="T28" t="e">
        <v>#N/A</v>
      </c>
      <c r="U28" t="e">
        <v>#N/A</v>
      </c>
      <c r="V28" t="e">
        <v>#N/A</v>
      </c>
      <c r="W28" t="e">
        <v>#N/A</v>
      </c>
      <c r="X28" t="e">
        <v>#N/A</v>
      </c>
      <c r="Y28" t="e">
        <v>#N/A</v>
      </c>
      <c r="Z28" t="e">
        <v>#N/A</v>
      </c>
      <c r="AA28" t="e">
        <v>#N/A</v>
      </c>
      <c r="AB28" t="e">
        <v>#N/A</v>
      </c>
      <c r="AC28" t="e">
        <v>#N/A</v>
      </c>
      <c r="AD28" t="e">
        <v>#N/A</v>
      </c>
      <c r="AE28" t="e">
        <v>#N/A</v>
      </c>
      <c r="AF28" t="e">
        <v>#N/A</v>
      </c>
      <c r="AG28" t="e">
        <v>#N/A</v>
      </c>
      <c r="AH28" t="e">
        <v>#N/A</v>
      </c>
      <c r="AI28" t="e">
        <v>#N/A</v>
      </c>
      <c r="AJ28" t="e">
        <v>#N/A</v>
      </c>
      <c r="AK28" t="e">
        <v>#N/A</v>
      </c>
      <c r="AL28" t="e">
        <v>#N/A</v>
      </c>
      <c r="AM28" t="e">
        <v>#N/A</v>
      </c>
      <c r="AN28" t="e">
        <v>#N/A</v>
      </c>
      <c r="AO28" t="e">
        <v>#N/A</v>
      </c>
      <c r="AP28" t="e">
        <v>#N/A</v>
      </c>
      <c r="AQ28" t="e">
        <v>#N/A</v>
      </c>
      <c r="AR28" t="e">
        <v>#N/A</v>
      </c>
      <c r="AS28" t="e">
        <v>#N/A</v>
      </c>
      <c r="AT28" t="e">
        <v>#N/A</v>
      </c>
      <c r="AU28" t="e">
        <v>#N/A</v>
      </c>
      <c r="AV28" t="e">
        <v>#N/A</v>
      </c>
      <c r="AW28" t="e">
        <v>#N/A</v>
      </c>
      <c r="AX28" t="e">
        <v>#N/A</v>
      </c>
      <c r="BE28" t="e">
        <f t="shared" si="43"/>
        <v>#N/A</v>
      </c>
      <c r="BF28" t="e">
        <f t="shared" si="44"/>
        <v>#N/A</v>
      </c>
      <c r="BG28" t="e">
        <f t="shared" si="45"/>
        <v>#N/A</v>
      </c>
      <c r="BH28" t="e">
        <f t="shared" si="46"/>
        <v>#N/A</v>
      </c>
      <c r="BI28" t="e">
        <f t="shared" si="47"/>
        <v>#N/A</v>
      </c>
      <c r="BJ28" t="e">
        <f t="shared" si="48"/>
        <v>#N/A</v>
      </c>
      <c r="BK28" t="e">
        <f t="shared" si="49"/>
        <v>#N/A</v>
      </c>
      <c r="BL28" t="e">
        <f t="shared" si="50"/>
        <v>#N/A</v>
      </c>
      <c r="BM28" t="e">
        <f t="shared" si="51"/>
        <v>#N/A</v>
      </c>
      <c r="BN28" t="e">
        <f t="shared" si="52"/>
        <v>#N/A</v>
      </c>
      <c r="BO28" t="e">
        <f t="shared" si="53"/>
        <v>#N/A</v>
      </c>
      <c r="BP28" t="e">
        <f t="shared" si="54"/>
        <v>#N/A</v>
      </c>
      <c r="BQ28" t="e">
        <f t="shared" si="55"/>
        <v>#N/A</v>
      </c>
      <c r="BR28" t="e">
        <f t="shared" si="56"/>
        <v>#N/A</v>
      </c>
      <c r="BS28" t="e">
        <f t="shared" si="57"/>
        <v>#N/A</v>
      </c>
      <c r="BT28" t="e">
        <f t="shared" si="58"/>
        <v>#N/A</v>
      </c>
      <c r="BU28" t="e">
        <f t="shared" si="59"/>
        <v>#N/A</v>
      </c>
      <c r="BV28" t="e">
        <f t="shared" si="60"/>
        <v>#N/A</v>
      </c>
      <c r="BW28" t="e">
        <f t="shared" si="61"/>
        <v>#N/A</v>
      </c>
      <c r="BX28" t="e">
        <f t="shared" si="62"/>
        <v>#N/A</v>
      </c>
      <c r="BY28" t="e">
        <f t="shared" si="63"/>
        <v>#N/A</v>
      </c>
      <c r="BZ28" t="e">
        <f t="shared" si="64"/>
        <v>#N/A</v>
      </c>
      <c r="CA28" t="e">
        <f t="shared" si="65"/>
        <v>#N/A</v>
      </c>
      <c r="CB28" t="e">
        <f t="shared" si="66"/>
        <v>#N/A</v>
      </c>
      <c r="CC28" t="e">
        <f t="shared" si="67"/>
        <v>#N/A</v>
      </c>
      <c r="CD28" t="e">
        <f t="shared" si="68"/>
        <v>#N/A</v>
      </c>
      <c r="CE28" t="e">
        <f t="shared" si="69"/>
        <v>#N/A</v>
      </c>
      <c r="CF28" t="e">
        <f t="shared" si="70"/>
        <v>#N/A</v>
      </c>
      <c r="CG28" t="e">
        <f t="shared" si="71"/>
        <v>#N/A</v>
      </c>
      <c r="CH28" t="e">
        <f t="shared" si="72"/>
        <v>#N/A</v>
      </c>
      <c r="CI28" t="e">
        <f t="shared" si="73"/>
        <v>#N/A</v>
      </c>
      <c r="CJ28" t="e">
        <f t="shared" si="74"/>
        <v>#N/A</v>
      </c>
      <c r="CK28" t="e">
        <f t="shared" si="75"/>
        <v>#N/A</v>
      </c>
      <c r="CL28" t="e">
        <f t="shared" si="76"/>
        <v>#N/A</v>
      </c>
      <c r="CS28">
        <f t="shared" ref="CS28:CS30" si="80">O28</f>
        <v>1</v>
      </c>
      <c r="CT28" s="112">
        <f>IFERROR(VLOOKUP($O28,'2029_WD_.PX.WYE._.PTC.WD'!$B$10:$L$38,11,FALSE),0)</f>
        <v>0</v>
      </c>
      <c r="CU28" s="112">
        <f>IFERROR(VLOOKUP($O28,'2032_WD_.PX.WYN._.PTC.WD'!$B$10:$L$38,11,FALSE),0)</f>
        <v>0</v>
      </c>
      <c r="CV28" s="112">
        <f>IFERROR(VLOOKUP($O28,'2028_WD_.PX.BOR._.PTC.WD'!$B$10:$L$38,11,FALSE),0)</f>
        <v>0</v>
      </c>
      <c r="CW28" s="112">
        <f>IFERROR(VLOOKUP($O28,'2029_WD_.PX.BDG._.PTC.Bridger.W'!$B$10:$L$38,11,FALSE),0)</f>
        <v>0</v>
      </c>
      <c r="CX28" s="112">
        <f>IFERROR(VLOOKUP($O28,'2025_WD_.PX.UWY._.SER.WD'!$B$10:$L$38,11,FALSE),0)</f>
        <v>0</v>
      </c>
      <c r="CY28" s="112">
        <f>IFERROR(VLOOKUP($O28,'2025_WD_.PX.WYE._.SER.WD'!$B$10:$L$38,11,FALSE),0)</f>
        <v>0</v>
      </c>
      <c r="CZ28" s="112">
        <f>IFERROR(VLOOKUP($O28,'2029_WD_.PX.WYE.1.A01.WD'!$B$10:$L$38,11,FALSE),0)</f>
        <v>0</v>
      </c>
      <c r="DA28" s="112">
        <f>IFERROR(VLOOKUP($O28,'2032_WD_.PX.YAK._.PTC.WD'!$B$10:$L$38,11,FALSE),0)</f>
        <v>0</v>
      </c>
      <c r="DB28" s="112">
        <f>IFERROR(VLOOKUP($O28,'2032_WD_.PX.WYE._.PTC.Djohns.WD'!$B$10:$L$38,11,FALSE),0)</f>
        <v>0</v>
      </c>
      <c r="DC28" s="112">
        <f>IFERROR(VLOOKUP($O28,'2027_WD_.PX.WWA._.215.WD'!$B$10:$L$38,11,FALSE),0)</f>
        <v>0</v>
      </c>
      <c r="DD28" s="112">
        <f>IFERROR(VLOOKUP($O28,'2032_WD_.PX.PNC._.PTC.WD'!$B$10:$L$38,11,FALSE),0)</f>
        <v>0</v>
      </c>
      <c r="DE28" s="112">
        <f>IFERROR(VLOOKUP($O28,'2032_WD_.PX.WWA._.PTC.WD'!$B$10:$L$38,11,FALSE),0)</f>
        <v>0</v>
      </c>
      <c r="DF28" s="112">
        <f>IFERROR(VLOOKUP($O28,'2032_WD_.PX.SOR._.PTC.WD'!$B$10:$L$38,11,FALSE),0)</f>
        <v>0</v>
      </c>
      <c r="DG28" s="112">
        <f>IFERROR(VLOOKUP($O28,'2028_PV_.PX.BOR._.PTC.PV'!$B$10:$L$38,11,FALSE),0)</f>
        <v>0</v>
      </c>
      <c r="DH28" s="112">
        <f>IFERROR(VLOOKUP($O28,'2025_PV_.PX.UWY._.SER.PV'!$B$10:$L$38,11,FALSE),0)</f>
        <v>0</v>
      </c>
      <c r="DI28" s="112">
        <f>IFERROR(VLOOKUP($O28,'2028_PV_.PX.UTS._.PTC.Hunter.PV'!$B$10:$L$38,11,FALSE),0)</f>
        <v>0</v>
      </c>
      <c r="DJ28" s="112">
        <f>IFERROR(VLOOKUP($O28,'2028_PV_.PX.UTS._.PTC.Huntingto'!$B$10:$L$38,11,FALSE),0)</f>
        <v>0</v>
      </c>
      <c r="DK28" s="112">
        <f>IFERROR(VLOOKUP($O28,'2025_PV_.PX.UTS._.SER.PV'!$B$10:$L$38,11,FALSE),0)</f>
        <v>0</v>
      </c>
      <c r="DL28" s="112">
        <f>IFERROR(VLOOKUP($O28,'2026_PVS.PX.YAK._.110.PV'!$B$10:$L$38,11,FALSE),0)</f>
        <v>0</v>
      </c>
      <c r="DM28" s="112">
        <f>IFERROR(VLOOKUP($O28,'2027_PVS.PX.WWA._.215.PV'!$B$10:$L$38,11,FALSE),0)</f>
        <v>0</v>
      </c>
      <c r="DN28" s="112">
        <f>IFERROR(VLOOKUP($O28,'2025_PVS.PX.WMV._.222.PV'!$B$10:$L$38,11,FALSE),0)</f>
        <v>0</v>
      </c>
      <c r="DO28" s="112">
        <f>IFERROR(VLOOKUP($O28,'2026_PVS.PX.WMV._.223.PV'!$B$10:$L$38,11,FALSE),0)</f>
        <v>0</v>
      </c>
      <c r="DP28" s="112">
        <f>IFERROR(VLOOKUP($O28,'2026_PVS.PX.BOR._.2C5.PV'!$B$10:$L$38,11,FALSE),0)</f>
        <v>0</v>
      </c>
      <c r="DQ28" s="112">
        <f>IFERROR(VLOOKUP($O28,'2026_PVS.PX.COR._.TC8.PV'!$B$10:$L$38,11,FALSE),0)</f>
        <v>0</v>
      </c>
      <c r="DR28" s="112">
        <f>IFERROR(VLOOKUP($O28,'2025_PVS.PX.UWY._.SER.PV'!$B$10:$L$38,11,FALSE),0)</f>
        <v>0</v>
      </c>
      <c r="DS28" s="112">
        <f>IFERROR(VLOOKUP($O28,'2025_PVS.PX.WYE._.SER.PV'!$B$10:$L$38,11,FALSE),0)</f>
        <v>0</v>
      </c>
      <c r="DT28" s="112">
        <f>IFERROR(VLOOKUP($O28,'2026_PVS.PX.CLV.1.TC4.PV'!$B$10:$L$38,11,FALSE),0)</f>
        <v>0</v>
      </c>
      <c r="DU28" s="112">
        <f>IFERROR(VLOOKUP($O28,'2025_PVS.PX.UTS._.SER.PV'!$B$10:$L$38,11,FALSE),0)</f>
        <v>0</v>
      </c>
      <c r="DV28" s="112">
        <f>IFERROR(VLOOKUP($O28,'2029_PVS.PX.GOE.1.A43.PV'!$B$10:$L$38,11,FALSE),0)</f>
        <v>0</v>
      </c>
      <c r="DW28" s="264"/>
      <c r="DX28" s="264"/>
      <c r="DY28" s="112">
        <f>IFERROR(VLOOKUP($O28,'NonE 303MW (UT) 2030'!$B$16:$H$36,7,FALSE),0)</f>
        <v>0</v>
      </c>
      <c r="DZ28" s="264"/>
      <c r="EA28" s="264"/>
      <c r="EB28" s="264"/>
      <c r="EC28" s="264"/>
      <c r="ED28" s="264"/>
      <c r="EI28" t="e">
        <f>SUM(BE$13:BE28)*CT28/1000</f>
        <v>#N/A</v>
      </c>
      <c r="EJ28" t="e">
        <f>SUM(BF$13:BF28)*CU28/1000</f>
        <v>#N/A</v>
      </c>
      <c r="EK28" t="e">
        <f>SUM(BG$13:BG28)*CV28/1000</f>
        <v>#N/A</v>
      </c>
      <c r="EL28" t="e">
        <f>SUM(BH$13:BH28)*CW28/1000</f>
        <v>#N/A</v>
      </c>
      <c r="EM28" t="e">
        <f>SUM(BI$13:BI28)*CX28/1000</f>
        <v>#N/A</v>
      </c>
      <c r="EN28" t="e">
        <f>SUM(BJ$13:BJ28)*CY28/1000</f>
        <v>#N/A</v>
      </c>
      <c r="EO28" t="e">
        <f>SUM(BK$13:BK28)*CZ28/1000</f>
        <v>#N/A</v>
      </c>
      <c r="EP28" t="e">
        <f>SUM(BL$13:BL28)*DA28/1000</f>
        <v>#N/A</v>
      </c>
      <c r="EQ28" t="e">
        <f>SUM(BM$13:BM28)*DB28/1000</f>
        <v>#N/A</v>
      </c>
      <c r="ER28" t="e">
        <f>SUM(BN$13:BN28)*DC28/1000</f>
        <v>#N/A</v>
      </c>
      <c r="ES28" t="e">
        <f>SUM(BO$13:BO28)*DD28/1000</f>
        <v>#N/A</v>
      </c>
      <c r="ET28" t="e">
        <f>SUM(BP$13:BP28)*DE28/1000</f>
        <v>#N/A</v>
      </c>
      <c r="EU28" t="e">
        <f>SUM(BQ$13:BQ28)*DF28/1000</f>
        <v>#N/A</v>
      </c>
      <c r="EV28" t="e">
        <f>SUM(BR$13:BR28)*DG28/1000</f>
        <v>#N/A</v>
      </c>
      <c r="EW28" t="e">
        <f>SUM(BS$13:BS28)*DH28/1000</f>
        <v>#N/A</v>
      </c>
      <c r="EX28" t="e">
        <f>SUM(BT$13:BT28)*DI28/1000</f>
        <v>#N/A</v>
      </c>
      <c r="EY28" t="e">
        <f>SUM(BU$13:BU28)*DJ28/1000</f>
        <v>#N/A</v>
      </c>
      <c r="EZ28" t="e">
        <f>SUM(BV$13:BV28)*DK28/1000</f>
        <v>#N/A</v>
      </c>
      <c r="FA28" t="e">
        <f>SUM(BW$13:BW28)*DL28/1000</f>
        <v>#N/A</v>
      </c>
      <c r="FB28" t="e">
        <f>SUM(BX$13:BX28)*DM28/1000</f>
        <v>#N/A</v>
      </c>
      <c r="FC28" t="e">
        <f>SUM(BY$13:BY28)*DN28/1000</f>
        <v>#N/A</v>
      </c>
      <c r="FD28" t="e">
        <f>SUM(BZ$13:BZ28)*DO28/1000</f>
        <v>#N/A</v>
      </c>
      <c r="FE28" t="e">
        <f>SUM(CA$13:CA28)*DP28/1000</f>
        <v>#N/A</v>
      </c>
      <c r="FF28" t="e">
        <f>SUM(CB$13:CB28)*DQ28/1000</f>
        <v>#N/A</v>
      </c>
      <c r="FG28" t="e">
        <f>SUM(CC$13:CC28)*DR28/1000</f>
        <v>#N/A</v>
      </c>
      <c r="FH28" t="e">
        <f>SUM(CD$13:CD28)*DS28/1000</f>
        <v>#N/A</v>
      </c>
      <c r="FI28" t="e">
        <f>SUM(CE$13:CE28)*DT28/1000</f>
        <v>#N/A</v>
      </c>
      <c r="FJ28" t="e">
        <f>SUM(CF$13:CF28)*DU28/1000</f>
        <v>#N/A</v>
      </c>
      <c r="FK28" t="e">
        <f>SUM(CG$13:CG28)*DV28/1000</f>
        <v>#N/A</v>
      </c>
      <c r="FL28" t="e">
        <f>SUM(CH$13:CH28)*DW28/1000</f>
        <v>#N/A</v>
      </c>
      <c r="FM28" t="e">
        <f>SUM(CI$13:CI28)*DX28/1000</f>
        <v>#N/A</v>
      </c>
      <c r="FN28" t="e">
        <f>SUM(CJ$13:CJ28)*DY28/1000</f>
        <v>#N/A</v>
      </c>
      <c r="FO28" t="e">
        <f>SUM(CK$13:CK28)*DZ28/1000</f>
        <v>#N/A</v>
      </c>
      <c r="FP28" t="e">
        <f>SUM(CL$13:CL28)*EA28/1000</f>
        <v>#N/A</v>
      </c>
      <c r="FW28" t="e">
        <f t="shared" ref="FW28:FW30" si="81">SUM(EI28:FV28)</f>
        <v>#N/A</v>
      </c>
      <c r="FY28">
        <f t="shared" si="78"/>
        <v>1</v>
      </c>
      <c r="FZ28" s="78">
        <f>IFERROR(VLOOKUP($FY28,'Table 3 TransCost'!$AA$10:$AD$32,4,FALSE),0)</f>
        <v>0</v>
      </c>
      <c r="GA28" s="143">
        <f t="shared" ref="GA28:GA30" si="82">$FZ$5*FZ28/1000</f>
        <v>0</v>
      </c>
    </row>
    <row r="29" spans="2:183" hidden="1">
      <c r="B29" s="13">
        <f t="shared" si="79"/>
        <v>2</v>
      </c>
      <c r="C29" s="8"/>
      <c r="D29" s="41"/>
      <c r="E29" s="8"/>
      <c r="F29" s="34"/>
      <c r="G29" s="12"/>
      <c r="H29" s="34"/>
      <c r="I29" s="143"/>
      <c r="J29" s="143"/>
      <c r="M29" s="97"/>
      <c r="O29">
        <f t="shared" si="42"/>
        <v>2</v>
      </c>
      <c r="P29" t="e">
        <v>#N/A</v>
      </c>
      <c r="Q29" t="e">
        <v>#N/A</v>
      </c>
      <c r="R29" t="e">
        <v>#N/A</v>
      </c>
      <c r="S29" t="e">
        <v>#N/A</v>
      </c>
      <c r="T29" t="e">
        <v>#N/A</v>
      </c>
      <c r="U29" t="e">
        <v>#N/A</v>
      </c>
      <c r="V29" t="e">
        <v>#N/A</v>
      </c>
      <c r="W29" t="e">
        <v>#N/A</v>
      </c>
      <c r="X29" t="e">
        <v>#N/A</v>
      </c>
      <c r="Y29" t="e">
        <v>#N/A</v>
      </c>
      <c r="Z29" t="e">
        <v>#N/A</v>
      </c>
      <c r="AA29" t="e">
        <v>#N/A</v>
      </c>
      <c r="AB29" t="e">
        <v>#N/A</v>
      </c>
      <c r="AC29" t="e">
        <v>#N/A</v>
      </c>
      <c r="AD29" t="e">
        <v>#N/A</v>
      </c>
      <c r="AE29" t="e">
        <v>#N/A</v>
      </c>
      <c r="AF29" t="e">
        <v>#N/A</v>
      </c>
      <c r="AG29" t="e">
        <v>#N/A</v>
      </c>
      <c r="AH29" t="e">
        <v>#N/A</v>
      </c>
      <c r="AI29" t="e">
        <v>#N/A</v>
      </c>
      <c r="AJ29" t="e">
        <v>#N/A</v>
      </c>
      <c r="AK29" t="e">
        <v>#N/A</v>
      </c>
      <c r="AL29" t="e">
        <v>#N/A</v>
      </c>
      <c r="AM29" t="e">
        <v>#N/A</v>
      </c>
      <c r="AN29" t="e">
        <v>#N/A</v>
      </c>
      <c r="AO29" t="e">
        <v>#N/A</v>
      </c>
      <c r="AP29" t="e">
        <v>#N/A</v>
      </c>
      <c r="AQ29" t="e">
        <v>#N/A</v>
      </c>
      <c r="AR29" t="e">
        <v>#N/A</v>
      </c>
      <c r="AS29" t="e">
        <v>#N/A</v>
      </c>
      <c r="AT29" t="e">
        <v>#N/A</v>
      </c>
      <c r="AU29" t="e">
        <v>#N/A</v>
      </c>
      <c r="AV29" t="e">
        <v>#N/A</v>
      </c>
      <c r="AW29" t="e">
        <v>#N/A</v>
      </c>
      <c r="AX29" t="e">
        <v>#N/A</v>
      </c>
      <c r="BE29" t="e">
        <f t="shared" si="43"/>
        <v>#N/A</v>
      </c>
      <c r="BF29" t="e">
        <f t="shared" si="44"/>
        <v>#N/A</v>
      </c>
      <c r="BG29" t="e">
        <f t="shared" si="45"/>
        <v>#N/A</v>
      </c>
      <c r="BH29" t="e">
        <f t="shared" si="46"/>
        <v>#N/A</v>
      </c>
      <c r="BI29" t="e">
        <f t="shared" si="47"/>
        <v>#N/A</v>
      </c>
      <c r="BJ29" t="e">
        <f t="shared" si="48"/>
        <v>#N/A</v>
      </c>
      <c r="BK29" t="e">
        <f t="shared" si="49"/>
        <v>#N/A</v>
      </c>
      <c r="BL29" t="e">
        <f t="shared" si="50"/>
        <v>#N/A</v>
      </c>
      <c r="BM29" t="e">
        <f t="shared" si="51"/>
        <v>#N/A</v>
      </c>
      <c r="BN29" t="e">
        <f t="shared" si="52"/>
        <v>#N/A</v>
      </c>
      <c r="BO29" t="e">
        <f t="shared" si="53"/>
        <v>#N/A</v>
      </c>
      <c r="BP29" t="e">
        <f t="shared" si="54"/>
        <v>#N/A</v>
      </c>
      <c r="BQ29" t="e">
        <f t="shared" si="55"/>
        <v>#N/A</v>
      </c>
      <c r="BR29" t="e">
        <f t="shared" si="56"/>
        <v>#N/A</v>
      </c>
      <c r="BS29" t="e">
        <f t="shared" si="57"/>
        <v>#N/A</v>
      </c>
      <c r="BT29" t="e">
        <f t="shared" si="58"/>
        <v>#N/A</v>
      </c>
      <c r="BU29" t="e">
        <f t="shared" si="59"/>
        <v>#N/A</v>
      </c>
      <c r="BV29" t="e">
        <f t="shared" si="60"/>
        <v>#N/A</v>
      </c>
      <c r="BW29" t="e">
        <f t="shared" si="61"/>
        <v>#N/A</v>
      </c>
      <c r="BX29" t="e">
        <f t="shared" si="62"/>
        <v>#N/A</v>
      </c>
      <c r="BY29" t="e">
        <f t="shared" si="63"/>
        <v>#N/A</v>
      </c>
      <c r="BZ29" t="e">
        <f t="shared" si="64"/>
        <v>#N/A</v>
      </c>
      <c r="CA29" t="e">
        <f t="shared" si="65"/>
        <v>#N/A</v>
      </c>
      <c r="CB29" t="e">
        <f t="shared" si="66"/>
        <v>#N/A</v>
      </c>
      <c r="CC29" t="e">
        <f t="shared" si="67"/>
        <v>#N/A</v>
      </c>
      <c r="CD29" t="e">
        <f t="shared" si="68"/>
        <v>#N/A</v>
      </c>
      <c r="CE29" t="e">
        <f t="shared" si="69"/>
        <v>#N/A</v>
      </c>
      <c r="CF29" t="e">
        <f t="shared" si="70"/>
        <v>#N/A</v>
      </c>
      <c r="CG29" t="e">
        <f t="shared" si="71"/>
        <v>#N/A</v>
      </c>
      <c r="CH29" t="e">
        <f t="shared" si="72"/>
        <v>#N/A</v>
      </c>
      <c r="CI29" t="e">
        <f t="shared" si="73"/>
        <v>#N/A</v>
      </c>
      <c r="CJ29" t="e">
        <f t="shared" si="74"/>
        <v>#N/A</v>
      </c>
      <c r="CK29" t="e">
        <f t="shared" si="75"/>
        <v>#N/A</v>
      </c>
      <c r="CL29" t="e">
        <f t="shared" si="76"/>
        <v>#N/A</v>
      </c>
      <c r="CS29">
        <f t="shared" si="80"/>
        <v>2</v>
      </c>
      <c r="CT29" s="112">
        <f>IFERROR(VLOOKUP($O29,'2029_WD_.PX.WYE._.PTC.WD'!$B$10:$L$38,11,FALSE),0)</f>
        <v>0</v>
      </c>
      <c r="CU29" s="112">
        <f>IFERROR(VLOOKUP($O29,'2032_WD_.PX.WYN._.PTC.WD'!$B$10:$L$38,11,FALSE),0)</f>
        <v>0</v>
      </c>
      <c r="CV29" s="112">
        <f>IFERROR(VLOOKUP($O29,'2028_WD_.PX.BOR._.PTC.WD'!$B$10:$L$38,11,FALSE),0)</f>
        <v>0</v>
      </c>
      <c r="CW29" s="112">
        <f>IFERROR(VLOOKUP($O29,'2029_WD_.PX.BDG._.PTC.Bridger.W'!$B$10:$L$38,11,FALSE),0)</f>
        <v>0</v>
      </c>
      <c r="CX29" s="112">
        <f>IFERROR(VLOOKUP($O29,'2025_WD_.PX.UWY._.SER.WD'!$B$10:$L$38,11,FALSE),0)</f>
        <v>0</v>
      </c>
      <c r="CY29" s="112">
        <f>IFERROR(VLOOKUP($O29,'2025_WD_.PX.WYE._.SER.WD'!$B$10:$L$38,11,FALSE),0)</f>
        <v>0</v>
      </c>
      <c r="CZ29" s="112">
        <f>IFERROR(VLOOKUP($O29,'2029_WD_.PX.WYE.1.A01.WD'!$B$10:$L$38,11,FALSE),0)</f>
        <v>0</v>
      </c>
      <c r="DA29" s="112">
        <f>IFERROR(VLOOKUP($O29,'2032_WD_.PX.YAK._.PTC.WD'!$B$10:$L$38,11,FALSE),0)</f>
        <v>0</v>
      </c>
      <c r="DB29" s="112">
        <f>IFERROR(VLOOKUP($O29,'2032_WD_.PX.WYE._.PTC.Djohns.WD'!$B$10:$L$38,11,FALSE),0)</f>
        <v>0</v>
      </c>
      <c r="DC29" s="112">
        <f>IFERROR(VLOOKUP($O29,'2027_WD_.PX.WWA._.215.WD'!$B$10:$L$38,11,FALSE),0)</f>
        <v>0</v>
      </c>
      <c r="DD29" s="112">
        <f>IFERROR(VLOOKUP($O29,'2032_WD_.PX.PNC._.PTC.WD'!$B$10:$L$38,11,FALSE),0)</f>
        <v>0</v>
      </c>
      <c r="DE29" s="112">
        <f>IFERROR(VLOOKUP($O29,'2032_WD_.PX.WWA._.PTC.WD'!$B$10:$L$38,11,FALSE),0)</f>
        <v>0</v>
      </c>
      <c r="DF29" s="112">
        <f>IFERROR(VLOOKUP($O29,'2032_WD_.PX.SOR._.PTC.WD'!$B$10:$L$38,11,FALSE),0)</f>
        <v>0</v>
      </c>
      <c r="DG29" s="112">
        <f>IFERROR(VLOOKUP($O29,'2028_PV_.PX.BOR._.PTC.PV'!$B$10:$L$38,11,FALSE),0)</f>
        <v>0</v>
      </c>
      <c r="DH29" s="112">
        <f>IFERROR(VLOOKUP($O29,'2025_PV_.PX.UWY._.SER.PV'!$B$10:$L$38,11,FALSE),0)</f>
        <v>0</v>
      </c>
      <c r="DI29" s="112">
        <f>IFERROR(VLOOKUP($O29,'2028_PV_.PX.UTS._.PTC.Hunter.PV'!$B$10:$L$38,11,FALSE),0)</f>
        <v>0</v>
      </c>
      <c r="DJ29" s="112">
        <f>IFERROR(VLOOKUP($O29,'2028_PV_.PX.UTS._.PTC.Huntingto'!$B$10:$L$38,11,FALSE),0)</f>
        <v>0</v>
      </c>
      <c r="DK29" s="112">
        <f>IFERROR(VLOOKUP($O29,'2025_PV_.PX.UTS._.SER.PV'!$B$10:$L$38,11,FALSE),0)</f>
        <v>0</v>
      </c>
      <c r="DL29" s="112">
        <f>IFERROR(VLOOKUP($O29,'2026_PVS.PX.YAK._.110.PV'!$B$10:$L$38,11,FALSE),0)</f>
        <v>0</v>
      </c>
      <c r="DM29" s="112">
        <f>IFERROR(VLOOKUP($O29,'2027_PVS.PX.WWA._.215.PV'!$B$10:$L$38,11,FALSE),0)</f>
        <v>0</v>
      </c>
      <c r="DN29" s="112">
        <f>IFERROR(VLOOKUP($O29,'2025_PVS.PX.WMV._.222.PV'!$B$10:$L$38,11,FALSE),0)</f>
        <v>0</v>
      </c>
      <c r="DO29" s="112">
        <f>IFERROR(VLOOKUP($O29,'2026_PVS.PX.WMV._.223.PV'!$B$10:$L$38,11,FALSE),0)</f>
        <v>0</v>
      </c>
      <c r="DP29" s="112">
        <f>IFERROR(VLOOKUP($O29,'2026_PVS.PX.BOR._.2C5.PV'!$B$10:$L$38,11,FALSE),0)</f>
        <v>0</v>
      </c>
      <c r="DQ29" s="112">
        <f>IFERROR(VLOOKUP($O29,'2026_PVS.PX.COR._.TC8.PV'!$B$10:$L$38,11,FALSE),0)</f>
        <v>0</v>
      </c>
      <c r="DR29" s="112">
        <f>IFERROR(VLOOKUP($O29,'2025_PVS.PX.UWY._.SER.PV'!$B$10:$L$38,11,FALSE),0)</f>
        <v>0</v>
      </c>
      <c r="DS29" s="112">
        <f>IFERROR(VLOOKUP($O29,'2025_PVS.PX.WYE._.SER.PV'!$B$10:$L$38,11,FALSE),0)</f>
        <v>0</v>
      </c>
      <c r="DT29" s="112">
        <f>IFERROR(VLOOKUP($O29,'2026_PVS.PX.CLV.1.TC4.PV'!$B$10:$L$38,11,FALSE),0)</f>
        <v>0</v>
      </c>
      <c r="DU29" s="112">
        <f>IFERROR(VLOOKUP($O29,'2025_PVS.PX.UTS._.SER.PV'!$B$10:$L$38,11,FALSE),0)</f>
        <v>0</v>
      </c>
      <c r="DV29" s="112">
        <f>IFERROR(VLOOKUP($O29,'2029_PVS.PX.GOE.1.A43.PV'!$B$10:$L$38,11,FALSE),0)</f>
        <v>0</v>
      </c>
      <c r="DW29" s="264"/>
      <c r="DX29" s="264"/>
      <c r="DY29" s="112">
        <f>IFERROR(VLOOKUP($O29,'NonE 303MW (UT) 2030'!$B$16:$H$36,7,FALSE),0)</f>
        <v>0</v>
      </c>
      <c r="DZ29" s="264"/>
      <c r="EA29" s="264"/>
      <c r="EB29" s="264"/>
      <c r="EC29" s="264"/>
      <c r="ED29" s="264"/>
      <c r="EI29" t="e">
        <f>SUM(BE$13:BE29)*CT29/1000</f>
        <v>#N/A</v>
      </c>
      <c r="EJ29" t="e">
        <f>SUM(BF$13:BF29)*CU29/1000</f>
        <v>#N/A</v>
      </c>
      <c r="EK29" t="e">
        <f>SUM(BG$13:BG29)*CV29/1000</f>
        <v>#N/A</v>
      </c>
      <c r="EL29" t="e">
        <f>SUM(BH$13:BH29)*CW29/1000</f>
        <v>#N/A</v>
      </c>
      <c r="EM29" t="e">
        <f>SUM(BI$13:BI29)*CX29/1000</f>
        <v>#N/A</v>
      </c>
      <c r="EN29" t="e">
        <f>SUM(BJ$13:BJ29)*CY29/1000</f>
        <v>#N/A</v>
      </c>
      <c r="EO29" t="e">
        <f>SUM(BK$13:BK29)*CZ29/1000</f>
        <v>#N/A</v>
      </c>
      <c r="EP29" t="e">
        <f>SUM(BL$13:BL29)*DA29/1000</f>
        <v>#N/A</v>
      </c>
      <c r="EQ29" t="e">
        <f>SUM(BM$13:BM29)*DB29/1000</f>
        <v>#N/A</v>
      </c>
      <c r="ER29" t="e">
        <f>SUM(BN$13:BN29)*DC29/1000</f>
        <v>#N/A</v>
      </c>
      <c r="ES29" t="e">
        <f>SUM(BO$13:BO29)*DD29/1000</f>
        <v>#N/A</v>
      </c>
      <c r="ET29" t="e">
        <f>SUM(BP$13:BP29)*DE29/1000</f>
        <v>#N/A</v>
      </c>
      <c r="EU29" t="e">
        <f>SUM(BQ$13:BQ29)*DF29/1000</f>
        <v>#N/A</v>
      </c>
      <c r="EV29" t="e">
        <f>SUM(BR$13:BR29)*DG29/1000</f>
        <v>#N/A</v>
      </c>
      <c r="EW29" t="e">
        <f>SUM(BS$13:BS29)*DH29/1000</f>
        <v>#N/A</v>
      </c>
      <c r="EX29" t="e">
        <f>SUM(BT$13:BT29)*DI29/1000</f>
        <v>#N/A</v>
      </c>
      <c r="EY29" t="e">
        <f>SUM(BU$13:BU29)*DJ29/1000</f>
        <v>#N/A</v>
      </c>
      <c r="EZ29" t="e">
        <f>SUM(BV$13:BV29)*DK29/1000</f>
        <v>#N/A</v>
      </c>
      <c r="FA29" t="e">
        <f>SUM(BW$13:BW29)*DL29/1000</f>
        <v>#N/A</v>
      </c>
      <c r="FB29" t="e">
        <f>SUM(BX$13:BX29)*DM29/1000</f>
        <v>#N/A</v>
      </c>
      <c r="FC29" t="e">
        <f>SUM(BY$13:BY29)*DN29/1000</f>
        <v>#N/A</v>
      </c>
      <c r="FD29" t="e">
        <f>SUM(BZ$13:BZ29)*DO29/1000</f>
        <v>#N/A</v>
      </c>
      <c r="FE29" t="e">
        <f>SUM(CA$13:CA29)*DP29/1000</f>
        <v>#N/A</v>
      </c>
      <c r="FF29" t="e">
        <f>SUM(CB$13:CB29)*DQ29/1000</f>
        <v>#N/A</v>
      </c>
      <c r="FG29" t="e">
        <f>SUM(CC$13:CC29)*DR29/1000</f>
        <v>#N/A</v>
      </c>
      <c r="FH29" t="e">
        <f>SUM(CD$13:CD29)*DS29/1000</f>
        <v>#N/A</v>
      </c>
      <c r="FI29" t="e">
        <f>SUM(CE$13:CE29)*DT29/1000</f>
        <v>#N/A</v>
      </c>
      <c r="FJ29" t="e">
        <f>SUM(CF$13:CF29)*DU29/1000</f>
        <v>#N/A</v>
      </c>
      <c r="FK29" t="e">
        <f>SUM(CG$13:CG29)*DV29/1000</f>
        <v>#N/A</v>
      </c>
      <c r="FL29" t="e">
        <f>SUM(CH$13:CH29)*DW29/1000</f>
        <v>#N/A</v>
      </c>
      <c r="FM29" t="e">
        <f>SUM(CI$13:CI29)*DX29/1000</f>
        <v>#N/A</v>
      </c>
      <c r="FN29" t="e">
        <f>SUM(CJ$13:CJ29)*DY29/1000</f>
        <v>#N/A</v>
      </c>
      <c r="FO29" t="e">
        <f>SUM(CK$13:CK29)*DZ29/1000</f>
        <v>#N/A</v>
      </c>
      <c r="FP29" t="e">
        <f>SUM(CL$13:CL29)*EA29/1000</f>
        <v>#N/A</v>
      </c>
      <c r="FW29" t="e">
        <f t="shared" si="81"/>
        <v>#N/A</v>
      </c>
      <c r="FY29">
        <f t="shared" si="78"/>
        <v>2</v>
      </c>
      <c r="FZ29" s="78">
        <f>IFERROR(VLOOKUP($FY29,'Table 3 TransCost'!$AA$10:$AD$32,4,FALSE),0)</f>
        <v>0</v>
      </c>
      <c r="GA29" s="143">
        <f t="shared" si="82"/>
        <v>0</v>
      </c>
    </row>
    <row r="30" spans="2:183" hidden="1">
      <c r="B30" s="13">
        <f t="shared" si="79"/>
        <v>3</v>
      </c>
      <c r="C30" s="8"/>
      <c r="D30" s="41"/>
      <c r="E30" s="8"/>
      <c r="F30" s="34"/>
      <c r="G30" s="12"/>
      <c r="H30" s="34"/>
      <c r="I30" s="143"/>
      <c r="J30" s="143"/>
      <c r="M30" s="97"/>
      <c r="O30">
        <f t="shared" si="42"/>
        <v>3</v>
      </c>
      <c r="P30" t="e">
        <v>#N/A</v>
      </c>
      <c r="Q30" t="e">
        <v>#N/A</v>
      </c>
      <c r="R30" t="e">
        <v>#N/A</v>
      </c>
      <c r="S30" t="e">
        <v>#N/A</v>
      </c>
      <c r="T30" t="e">
        <v>#N/A</v>
      </c>
      <c r="U30" t="e">
        <v>#N/A</v>
      </c>
      <c r="V30" t="e">
        <v>#N/A</v>
      </c>
      <c r="W30" t="e">
        <v>#N/A</v>
      </c>
      <c r="X30" t="e">
        <v>#N/A</v>
      </c>
      <c r="Y30" t="e">
        <v>#N/A</v>
      </c>
      <c r="Z30" t="e">
        <v>#N/A</v>
      </c>
      <c r="AA30" t="e">
        <v>#N/A</v>
      </c>
      <c r="AB30" t="e">
        <v>#N/A</v>
      </c>
      <c r="AC30" t="e">
        <v>#N/A</v>
      </c>
      <c r="AD30" t="e">
        <v>#N/A</v>
      </c>
      <c r="AE30" t="e">
        <v>#N/A</v>
      </c>
      <c r="AF30" t="e">
        <v>#N/A</v>
      </c>
      <c r="AG30" t="e">
        <v>#N/A</v>
      </c>
      <c r="AH30" t="e">
        <v>#N/A</v>
      </c>
      <c r="AI30" t="e">
        <v>#N/A</v>
      </c>
      <c r="AJ30" t="e">
        <v>#N/A</v>
      </c>
      <c r="AK30" t="e">
        <v>#N/A</v>
      </c>
      <c r="AL30" t="e">
        <v>#N/A</v>
      </c>
      <c r="AM30" t="e">
        <v>#N/A</v>
      </c>
      <c r="AN30" t="e">
        <v>#N/A</v>
      </c>
      <c r="AO30" t="e">
        <v>#N/A</v>
      </c>
      <c r="AP30" t="e">
        <v>#N/A</v>
      </c>
      <c r="AQ30" t="e">
        <v>#N/A</v>
      </c>
      <c r="AR30" t="e">
        <v>#N/A</v>
      </c>
      <c r="AS30" t="e">
        <v>#N/A</v>
      </c>
      <c r="AT30" t="e">
        <v>#N/A</v>
      </c>
      <c r="AU30" t="e">
        <v>#N/A</v>
      </c>
      <c r="AV30" t="e">
        <v>#N/A</v>
      </c>
      <c r="AW30" t="e">
        <v>#N/A</v>
      </c>
      <c r="AX30" t="e">
        <v>#N/A</v>
      </c>
      <c r="BE30" t="e">
        <f t="shared" si="43"/>
        <v>#N/A</v>
      </c>
      <c r="BF30" t="e">
        <f t="shared" si="44"/>
        <v>#N/A</v>
      </c>
      <c r="BG30" t="e">
        <f t="shared" si="45"/>
        <v>#N/A</v>
      </c>
      <c r="BH30" t="e">
        <f t="shared" si="46"/>
        <v>#N/A</v>
      </c>
      <c r="BI30" t="e">
        <f t="shared" si="47"/>
        <v>#N/A</v>
      </c>
      <c r="BJ30" t="e">
        <f t="shared" si="48"/>
        <v>#N/A</v>
      </c>
      <c r="BK30" t="e">
        <f t="shared" si="49"/>
        <v>#N/A</v>
      </c>
      <c r="BL30" t="e">
        <f t="shared" si="50"/>
        <v>#N/A</v>
      </c>
      <c r="BM30" t="e">
        <f t="shared" si="51"/>
        <v>#N/A</v>
      </c>
      <c r="BN30" t="e">
        <f t="shared" si="52"/>
        <v>#N/A</v>
      </c>
      <c r="BO30" t="e">
        <f t="shared" si="53"/>
        <v>#N/A</v>
      </c>
      <c r="BP30" t="e">
        <f t="shared" si="54"/>
        <v>#N/A</v>
      </c>
      <c r="BQ30" t="e">
        <f t="shared" si="55"/>
        <v>#N/A</v>
      </c>
      <c r="BR30" t="e">
        <f t="shared" si="56"/>
        <v>#N/A</v>
      </c>
      <c r="BS30" t="e">
        <f t="shared" si="57"/>
        <v>#N/A</v>
      </c>
      <c r="BT30" t="e">
        <f t="shared" si="58"/>
        <v>#N/A</v>
      </c>
      <c r="BU30" t="e">
        <f t="shared" si="59"/>
        <v>#N/A</v>
      </c>
      <c r="BV30" t="e">
        <f t="shared" si="60"/>
        <v>#N/A</v>
      </c>
      <c r="BW30" t="e">
        <f t="shared" si="61"/>
        <v>#N/A</v>
      </c>
      <c r="BX30" t="e">
        <f t="shared" si="62"/>
        <v>#N/A</v>
      </c>
      <c r="BY30" t="e">
        <f t="shared" si="63"/>
        <v>#N/A</v>
      </c>
      <c r="BZ30" t="e">
        <f t="shared" si="64"/>
        <v>#N/A</v>
      </c>
      <c r="CA30" t="e">
        <f t="shared" si="65"/>
        <v>#N/A</v>
      </c>
      <c r="CB30" t="e">
        <f t="shared" si="66"/>
        <v>#N/A</v>
      </c>
      <c r="CC30" t="e">
        <f t="shared" si="67"/>
        <v>#N/A</v>
      </c>
      <c r="CD30" t="e">
        <f t="shared" si="68"/>
        <v>#N/A</v>
      </c>
      <c r="CE30" t="e">
        <f t="shared" si="69"/>
        <v>#N/A</v>
      </c>
      <c r="CF30" t="e">
        <f t="shared" si="70"/>
        <v>#N/A</v>
      </c>
      <c r="CG30" t="e">
        <f t="shared" si="71"/>
        <v>#N/A</v>
      </c>
      <c r="CH30" t="e">
        <f t="shared" si="72"/>
        <v>#N/A</v>
      </c>
      <c r="CI30" t="e">
        <f t="shared" si="73"/>
        <v>#N/A</v>
      </c>
      <c r="CJ30" t="e">
        <f t="shared" si="74"/>
        <v>#N/A</v>
      </c>
      <c r="CK30" t="e">
        <f t="shared" si="75"/>
        <v>#N/A</v>
      </c>
      <c r="CL30" t="e">
        <f t="shared" si="76"/>
        <v>#N/A</v>
      </c>
      <c r="CS30">
        <f t="shared" si="80"/>
        <v>3</v>
      </c>
      <c r="CT30" s="112">
        <f>IFERROR(VLOOKUP($O30,'2029_WD_.PX.WYE._.PTC.WD'!$B$10:$L$38,11,FALSE),0)</f>
        <v>0</v>
      </c>
      <c r="CU30" s="112">
        <f>IFERROR(VLOOKUP($O30,'2032_WD_.PX.WYN._.PTC.WD'!$B$10:$L$38,11,FALSE),0)</f>
        <v>0</v>
      </c>
      <c r="CV30" s="112">
        <f>IFERROR(VLOOKUP($O30,'2028_WD_.PX.BOR._.PTC.WD'!$B$10:$L$38,11,FALSE),0)</f>
        <v>0</v>
      </c>
      <c r="CW30" s="112">
        <f>IFERROR(VLOOKUP($O30,'2029_WD_.PX.BDG._.PTC.Bridger.W'!$B$10:$L$38,11,FALSE),0)</f>
        <v>0</v>
      </c>
      <c r="CX30" s="112">
        <f>IFERROR(VLOOKUP($O30,'2025_WD_.PX.UWY._.SER.WD'!$B$10:$L$38,11,FALSE),0)</f>
        <v>0</v>
      </c>
      <c r="CY30" s="112">
        <f>IFERROR(VLOOKUP($O30,'2025_WD_.PX.WYE._.SER.WD'!$B$10:$L$38,11,FALSE),0)</f>
        <v>0</v>
      </c>
      <c r="CZ30" s="112">
        <f>IFERROR(VLOOKUP($O30,'2029_WD_.PX.WYE.1.A01.WD'!$B$10:$L$38,11,FALSE),0)</f>
        <v>0</v>
      </c>
      <c r="DA30" s="112">
        <f>IFERROR(VLOOKUP($O30,'2032_WD_.PX.YAK._.PTC.WD'!$B$10:$L$38,11,FALSE),0)</f>
        <v>0</v>
      </c>
      <c r="DB30" s="112">
        <f>IFERROR(VLOOKUP($O30,'2032_WD_.PX.WYE._.PTC.Djohns.WD'!$B$10:$L$38,11,FALSE),0)</f>
        <v>0</v>
      </c>
      <c r="DC30" s="112">
        <f>IFERROR(VLOOKUP($O30,'2027_WD_.PX.WWA._.215.WD'!$B$10:$L$38,11,FALSE),0)</f>
        <v>0</v>
      </c>
      <c r="DD30" s="112">
        <f>IFERROR(VLOOKUP($O30,'2032_WD_.PX.PNC._.PTC.WD'!$B$10:$L$38,11,FALSE),0)</f>
        <v>0</v>
      </c>
      <c r="DE30" s="112">
        <f>IFERROR(VLOOKUP($O30,'2032_WD_.PX.WWA._.PTC.WD'!$B$10:$L$38,11,FALSE),0)</f>
        <v>0</v>
      </c>
      <c r="DF30" s="112">
        <f>IFERROR(VLOOKUP($O30,'2032_WD_.PX.SOR._.PTC.WD'!$B$10:$L$38,11,FALSE),0)</f>
        <v>0</v>
      </c>
      <c r="DG30" s="112">
        <f>IFERROR(VLOOKUP($O30,'2028_PV_.PX.BOR._.PTC.PV'!$B$10:$L$38,11,FALSE),0)</f>
        <v>0</v>
      </c>
      <c r="DH30" s="112">
        <f>IFERROR(VLOOKUP($O30,'2025_PV_.PX.UWY._.SER.PV'!$B$10:$L$38,11,FALSE),0)</f>
        <v>0</v>
      </c>
      <c r="DI30" s="112">
        <f>IFERROR(VLOOKUP($O30,'2028_PV_.PX.UTS._.PTC.Hunter.PV'!$B$10:$L$38,11,FALSE),0)</f>
        <v>0</v>
      </c>
      <c r="DJ30" s="112">
        <f>IFERROR(VLOOKUP($O30,'2028_PV_.PX.UTS._.PTC.Huntingto'!$B$10:$L$38,11,FALSE),0)</f>
        <v>0</v>
      </c>
      <c r="DK30" s="112">
        <f>IFERROR(VLOOKUP($O30,'2025_PV_.PX.UTS._.SER.PV'!$B$10:$L$38,11,FALSE),0)</f>
        <v>0</v>
      </c>
      <c r="DL30" s="112">
        <f>IFERROR(VLOOKUP($O30,'2026_PVS.PX.YAK._.110.PV'!$B$10:$L$38,11,FALSE),0)</f>
        <v>0</v>
      </c>
      <c r="DM30" s="112">
        <f>IFERROR(VLOOKUP($O30,'2027_PVS.PX.WWA._.215.PV'!$B$10:$L$38,11,FALSE),0)</f>
        <v>0</v>
      </c>
      <c r="DN30" s="112">
        <f>IFERROR(VLOOKUP($O30,'2025_PVS.PX.WMV._.222.PV'!$B$10:$L$38,11,FALSE),0)</f>
        <v>0</v>
      </c>
      <c r="DO30" s="112">
        <f>IFERROR(VLOOKUP($O30,'2026_PVS.PX.WMV._.223.PV'!$B$10:$L$38,11,FALSE),0)</f>
        <v>0</v>
      </c>
      <c r="DP30" s="112">
        <f>IFERROR(VLOOKUP($O30,'2026_PVS.PX.BOR._.2C5.PV'!$B$10:$L$38,11,FALSE),0)</f>
        <v>0</v>
      </c>
      <c r="DQ30" s="112">
        <f>IFERROR(VLOOKUP($O30,'2026_PVS.PX.COR._.TC8.PV'!$B$10:$L$38,11,FALSE),0)</f>
        <v>0</v>
      </c>
      <c r="DR30" s="112">
        <f>IFERROR(VLOOKUP($O30,'2025_PVS.PX.UWY._.SER.PV'!$B$10:$L$38,11,FALSE),0)</f>
        <v>0</v>
      </c>
      <c r="DS30" s="112">
        <f>IFERROR(VLOOKUP($O30,'2025_PVS.PX.WYE._.SER.PV'!$B$10:$L$38,11,FALSE),0)</f>
        <v>0</v>
      </c>
      <c r="DT30" s="112">
        <f>IFERROR(VLOOKUP($O30,'2026_PVS.PX.CLV.1.TC4.PV'!$B$10:$L$38,11,FALSE),0)</f>
        <v>0</v>
      </c>
      <c r="DU30" s="112">
        <f>IFERROR(VLOOKUP($O30,'2025_PVS.PX.UTS._.SER.PV'!$B$10:$L$38,11,FALSE),0)</f>
        <v>0</v>
      </c>
      <c r="DV30" s="112">
        <f>IFERROR(VLOOKUP($O30,'2029_PVS.PX.GOE.1.A43.PV'!$B$10:$L$38,11,FALSE),0)</f>
        <v>0</v>
      </c>
      <c r="DW30" s="264"/>
      <c r="DX30" s="264"/>
      <c r="DY30" s="112">
        <f>IFERROR(VLOOKUP($O30,'NonE 303MW (UT) 2030'!$B$16:$H$36,7,FALSE),0)</f>
        <v>0</v>
      </c>
      <c r="DZ30" s="264"/>
      <c r="EA30" s="264"/>
      <c r="EB30" s="264"/>
      <c r="EC30" s="264"/>
      <c r="ED30" s="264"/>
      <c r="EI30" t="e">
        <f>SUM(BE$13:BE30)*CT30/1000</f>
        <v>#N/A</v>
      </c>
      <c r="EJ30" t="e">
        <f>SUM(BF$13:BF30)*CU30/1000</f>
        <v>#N/A</v>
      </c>
      <c r="EK30" t="e">
        <f>SUM(BG$13:BG30)*CV30/1000</f>
        <v>#N/A</v>
      </c>
      <c r="EL30" t="e">
        <f>SUM(BH$13:BH30)*CW30/1000</f>
        <v>#N/A</v>
      </c>
      <c r="EM30" t="e">
        <f>SUM(BI$13:BI30)*CX30/1000</f>
        <v>#N/A</v>
      </c>
      <c r="EN30" t="e">
        <f>SUM(BJ$13:BJ30)*CY30/1000</f>
        <v>#N/A</v>
      </c>
      <c r="EO30" t="e">
        <f>SUM(BK$13:BK30)*CZ30/1000</f>
        <v>#N/A</v>
      </c>
      <c r="EP30" t="e">
        <f>SUM(BL$13:BL30)*DA30/1000</f>
        <v>#N/A</v>
      </c>
      <c r="EQ30" t="e">
        <f>SUM(BM$13:BM30)*DB30/1000</f>
        <v>#N/A</v>
      </c>
      <c r="ER30" t="e">
        <f>SUM(BN$13:BN30)*DC30/1000</f>
        <v>#N/A</v>
      </c>
      <c r="ES30" t="e">
        <f>SUM(BO$13:BO30)*DD30/1000</f>
        <v>#N/A</v>
      </c>
      <c r="ET30" t="e">
        <f>SUM(BP$13:BP30)*DE30/1000</f>
        <v>#N/A</v>
      </c>
      <c r="EU30" t="e">
        <f>SUM(BQ$13:BQ30)*DF30/1000</f>
        <v>#N/A</v>
      </c>
      <c r="EV30" t="e">
        <f>SUM(BR$13:BR30)*DG30/1000</f>
        <v>#N/A</v>
      </c>
      <c r="EW30" t="e">
        <f>SUM(BS$13:BS30)*DH30/1000</f>
        <v>#N/A</v>
      </c>
      <c r="EX30" t="e">
        <f>SUM(BT$13:BT30)*DI30/1000</f>
        <v>#N/A</v>
      </c>
      <c r="EY30" t="e">
        <f>SUM(BU$13:BU30)*DJ30/1000</f>
        <v>#N/A</v>
      </c>
      <c r="EZ30" t="e">
        <f>SUM(BV$13:BV30)*DK30/1000</f>
        <v>#N/A</v>
      </c>
      <c r="FA30" t="e">
        <f>SUM(BW$13:BW30)*DL30/1000</f>
        <v>#N/A</v>
      </c>
      <c r="FB30" t="e">
        <f>SUM(BX$13:BX30)*DM30/1000</f>
        <v>#N/A</v>
      </c>
      <c r="FC30" t="e">
        <f>SUM(BY$13:BY30)*DN30/1000</f>
        <v>#N/A</v>
      </c>
      <c r="FD30" t="e">
        <f>SUM(BZ$13:BZ30)*DO30/1000</f>
        <v>#N/A</v>
      </c>
      <c r="FE30" t="e">
        <f>SUM(CA$13:CA30)*DP30/1000</f>
        <v>#N/A</v>
      </c>
      <c r="FF30" t="e">
        <f>SUM(CB$13:CB30)*DQ30/1000</f>
        <v>#N/A</v>
      </c>
      <c r="FG30" t="e">
        <f>SUM(CC$13:CC30)*DR30/1000</f>
        <v>#N/A</v>
      </c>
      <c r="FH30" t="e">
        <f>SUM(CD$13:CD30)*DS30/1000</f>
        <v>#N/A</v>
      </c>
      <c r="FI30" t="e">
        <f>SUM(CE$13:CE30)*DT30/1000</f>
        <v>#N/A</v>
      </c>
      <c r="FJ30" t="e">
        <f>SUM(CF$13:CF30)*DU30/1000</f>
        <v>#N/A</v>
      </c>
      <c r="FK30" t="e">
        <f>SUM(CG$13:CG30)*DV30/1000</f>
        <v>#N/A</v>
      </c>
      <c r="FL30" t="e">
        <f>SUM(CH$13:CH30)*DW30/1000</f>
        <v>#N/A</v>
      </c>
      <c r="FM30" t="e">
        <f>SUM(CI$13:CI30)*DX30/1000</f>
        <v>#N/A</v>
      </c>
      <c r="FN30" t="e">
        <f>SUM(CJ$13:CJ30)*DY30/1000</f>
        <v>#N/A</v>
      </c>
      <c r="FO30" t="e">
        <f>SUM(CK$13:CK30)*DZ30/1000</f>
        <v>#N/A</v>
      </c>
      <c r="FP30" t="e">
        <f>SUM(CL$13:CL30)*EA30/1000</f>
        <v>#N/A</v>
      </c>
      <c r="FW30" t="e">
        <f t="shared" si="81"/>
        <v>#N/A</v>
      </c>
      <c r="FY30">
        <f t="shared" si="78"/>
        <v>3</v>
      </c>
      <c r="FZ30" s="78">
        <f>IFERROR(VLOOKUP($FY30,'Table 3 TransCost'!$AA$10:$AD$32,4,FALSE),0)</f>
        <v>0</v>
      </c>
      <c r="GA30" s="143">
        <f t="shared" si="82"/>
        <v>0</v>
      </c>
    </row>
    <row r="31" spans="2:183" hidden="1">
      <c r="B31" s="13">
        <f t="shared" si="79"/>
        <v>4</v>
      </c>
      <c r="C31" s="8"/>
      <c r="D31" s="41"/>
      <c r="E31" s="8"/>
      <c r="F31" s="34"/>
      <c r="G31" s="12"/>
      <c r="H31" s="34"/>
      <c r="I31" s="143"/>
      <c r="J31" s="143"/>
      <c r="M31" s="97"/>
      <c r="O31">
        <f t="shared" si="42"/>
        <v>4</v>
      </c>
      <c r="P31" t="e">
        <v>#N/A</v>
      </c>
      <c r="Q31" t="e">
        <v>#N/A</v>
      </c>
      <c r="R31" t="e">
        <v>#N/A</v>
      </c>
      <c r="S31" t="e">
        <v>#N/A</v>
      </c>
      <c r="T31" t="e">
        <v>#N/A</v>
      </c>
      <c r="U31" t="e">
        <v>#N/A</v>
      </c>
      <c r="V31" t="e">
        <v>#N/A</v>
      </c>
      <c r="W31" t="e">
        <v>#N/A</v>
      </c>
      <c r="X31" t="e">
        <v>#N/A</v>
      </c>
      <c r="Y31" t="e">
        <v>#N/A</v>
      </c>
      <c r="Z31" t="e">
        <v>#N/A</v>
      </c>
      <c r="AA31" t="e">
        <v>#N/A</v>
      </c>
      <c r="AB31" t="e">
        <v>#N/A</v>
      </c>
      <c r="AC31" t="e">
        <v>#N/A</v>
      </c>
      <c r="AD31" t="e">
        <v>#N/A</v>
      </c>
      <c r="AE31" t="e">
        <v>#N/A</v>
      </c>
      <c r="AF31" t="e">
        <v>#N/A</v>
      </c>
      <c r="AG31" t="e">
        <v>#N/A</v>
      </c>
      <c r="AH31" t="e">
        <v>#N/A</v>
      </c>
      <c r="AI31" t="e">
        <v>#N/A</v>
      </c>
      <c r="AJ31" t="e">
        <v>#N/A</v>
      </c>
      <c r="AK31" t="e">
        <v>#N/A</v>
      </c>
      <c r="AL31" t="e">
        <v>#N/A</v>
      </c>
      <c r="AM31" t="e">
        <v>#N/A</v>
      </c>
      <c r="AN31" t="e">
        <v>#N/A</v>
      </c>
      <c r="AO31" t="e">
        <v>#N/A</v>
      </c>
      <c r="AP31" t="e">
        <v>#N/A</v>
      </c>
      <c r="AQ31" t="e">
        <v>#N/A</v>
      </c>
      <c r="AR31" t="e">
        <v>#N/A</v>
      </c>
      <c r="AS31" t="e">
        <v>#N/A</v>
      </c>
      <c r="AT31" t="e">
        <v>#N/A</v>
      </c>
      <c r="AU31" t="e">
        <v>#N/A</v>
      </c>
      <c r="AV31" t="e">
        <v>#N/A</v>
      </c>
      <c r="AW31" t="e">
        <v>#N/A</v>
      </c>
      <c r="AX31" t="e">
        <v>#N/A</v>
      </c>
      <c r="BE31" t="e">
        <f t="shared" ref="BE31:BE32" si="83">P31/P$5</f>
        <v>#N/A</v>
      </c>
      <c r="BF31" t="e">
        <f t="shared" ref="BF31:BF32" si="84">Q31/Q$5</f>
        <v>#N/A</v>
      </c>
      <c r="BG31" t="e">
        <f t="shared" ref="BG31:BG32" si="85">R31/R$5</f>
        <v>#N/A</v>
      </c>
      <c r="BH31" t="e">
        <f t="shared" ref="BH31:BH32" si="86">S31/S$5</f>
        <v>#N/A</v>
      </c>
      <c r="BI31" t="e">
        <f t="shared" ref="BI31:BI32" si="87">T31/T$5</f>
        <v>#N/A</v>
      </c>
      <c r="BJ31" t="e">
        <f t="shared" ref="BJ31:BJ32" si="88">U31/U$5</f>
        <v>#N/A</v>
      </c>
      <c r="BK31" t="e">
        <f t="shared" ref="BK31:BK32" si="89">V31/V$5</f>
        <v>#N/A</v>
      </c>
      <c r="BL31" t="e">
        <f t="shared" ref="BL31:BL32" si="90">W31/W$5</f>
        <v>#N/A</v>
      </c>
      <c r="BM31" t="e">
        <f t="shared" ref="BM31:BM32" si="91">X31/X$5</f>
        <v>#N/A</v>
      </c>
      <c r="BN31" t="e">
        <f t="shared" ref="BN31:BN32" si="92">Y31/Y$5</f>
        <v>#N/A</v>
      </c>
      <c r="BO31" t="e">
        <f t="shared" ref="BO31:BO32" si="93">Z31/Z$5</f>
        <v>#N/A</v>
      </c>
      <c r="BP31" t="e">
        <f t="shared" ref="BP31:BP32" si="94">AA31/AA$5</f>
        <v>#N/A</v>
      </c>
      <c r="BQ31" t="e">
        <f t="shared" ref="BQ31:BQ32" si="95">AB31/AB$5</f>
        <v>#N/A</v>
      </c>
      <c r="BR31" t="e">
        <f t="shared" si="56"/>
        <v>#N/A</v>
      </c>
      <c r="BS31" t="e">
        <f t="shared" si="57"/>
        <v>#N/A</v>
      </c>
      <c r="BT31" t="e">
        <f t="shared" si="58"/>
        <v>#N/A</v>
      </c>
      <c r="BU31" t="e">
        <f t="shared" si="59"/>
        <v>#N/A</v>
      </c>
      <c r="BV31" t="e">
        <f t="shared" si="60"/>
        <v>#N/A</v>
      </c>
      <c r="BW31" t="e">
        <f t="shared" si="61"/>
        <v>#N/A</v>
      </c>
      <c r="BX31" t="e">
        <f t="shared" si="62"/>
        <v>#N/A</v>
      </c>
      <c r="BY31" t="e">
        <f t="shared" si="63"/>
        <v>#N/A</v>
      </c>
      <c r="BZ31" t="e">
        <f t="shared" si="64"/>
        <v>#N/A</v>
      </c>
      <c r="CA31" t="e">
        <f t="shared" si="65"/>
        <v>#N/A</v>
      </c>
      <c r="CB31" t="e">
        <f t="shared" si="66"/>
        <v>#N/A</v>
      </c>
      <c r="CC31" t="e">
        <f t="shared" si="67"/>
        <v>#N/A</v>
      </c>
      <c r="CD31" t="e">
        <f t="shared" si="68"/>
        <v>#N/A</v>
      </c>
      <c r="CE31" t="e">
        <f t="shared" si="69"/>
        <v>#N/A</v>
      </c>
      <c r="CF31" t="e">
        <f t="shared" si="70"/>
        <v>#N/A</v>
      </c>
      <c r="CG31" t="e">
        <f t="shared" si="71"/>
        <v>#N/A</v>
      </c>
      <c r="CH31" t="e">
        <f t="shared" si="72"/>
        <v>#N/A</v>
      </c>
      <c r="CI31" t="e">
        <f t="shared" si="73"/>
        <v>#N/A</v>
      </c>
      <c r="CJ31" t="e">
        <f t="shared" si="74"/>
        <v>#N/A</v>
      </c>
      <c r="CK31" t="e">
        <f t="shared" ref="CK31:CK32" si="96">AV31/AV$5</f>
        <v>#N/A</v>
      </c>
      <c r="CL31" t="e">
        <f t="shared" ref="CL31:CL32" si="97">AW31/AW$5</f>
        <v>#N/A</v>
      </c>
      <c r="CS31">
        <f t="shared" ref="CS31:CS32" si="98">O31</f>
        <v>4</v>
      </c>
      <c r="CT31" s="112">
        <f>IFERROR(VLOOKUP($O31,'2029_WD_.PX.WYE._.PTC.WD'!$B$10:$L$38,11,FALSE),0)</f>
        <v>0</v>
      </c>
      <c r="CU31" s="112">
        <f>IFERROR(VLOOKUP($O31,'2032_WD_.PX.WYN._.PTC.WD'!$B$10:$L$38,11,FALSE),0)</f>
        <v>0</v>
      </c>
      <c r="CV31" s="112">
        <f>IFERROR(VLOOKUP($O31,'2028_WD_.PX.BOR._.PTC.WD'!$B$10:$L$38,11,FALSE),0)</f>
        <v>0</v>
      </c>
      <c r="CW31" s="112">
        <f>IFERROR(VLOOKUP($O31,'2029_WD_.PX.BDG._.PTC.Bridger.W'!$B$10:$L$38,11,FALSE),0)</f>
        <v>0</v>
      </c>
      <c r="CX31" s="112">
        <f>IFERROR(VLOOKUP($O31,'2025_WD_.PX.UWY._.SER.WD'!$B$10:$L$38,11,FALSE),0)</f>
        <v>0</v>
      </c>
      <c r="CY31" s="112">
        <f>IFERROR(VLOOKUP($O31,'2025_WD_.PX.WYE._.SER.WD'!$B$10:$L$38,11,FALSE),0)</f>
        <v>0</v>
      </c>
      <c r="CZ31" s="112">
        <f>IFERROR(VLOOKUP($O31,'2029_WD_.PX.WYE.1.A01.WD'!$B$10:$L$38,11,FALSE),0)</f>
        <v>0</v>
      </c>
      <c r="DA31" s="112">
        <f>IFERROR(VLOOKUP($O31,'2032_WD_.PX.YAK._.PTC.WD'!$B$10:$L$38,11,FALSE),0)</f>
        <v>0</v>
      </c>
      <c r="DB31" s="112">
        <f>IFERROR(VLOOKUP($O31,'2032_WD_.PX.WYE._.PTC.Djohns.WD'!$B$10:$L$38,11,FALSE),0)</f>
        <v>0</v>
      </c>
      <c r="DC31" s="112">
        <f>IFERROR(VLOOKUP($O31,'2027_WD_.PX.WWA._.215.WD'!$B$10:$L$38,11,FALSE),0)</f>
        <v>0</v>
      </c>
      <c r="DD31" s="112">
        <f>IFERROR(VLOOKUP($O31,'2032_WD_.PX.PNC._.PTC.WD'!$B$10:$L$38,11,FALSE),0)</f>
        <v>0</v>
      </c>
      <c r="DE31" s="112">
        <f>IFERROR(VLOOKUP($O31,'2032_WD_.PX.WWA._.PTC.WD'!$B$10:$L$38,11,FALSE),0)</f>
        <v>0</v>
      </c>
      <c r="DF31" s="112">
        <f>IFERROR(VLOOKUP($O31,'2032_WD_.PX.SOR._.PTC.WD'!$B$10:$L$38,11,FALSE),0)</f>
        <v>0</v>
      </c>
      <c r="DG31" s="112">
        <f>IFERROR(VLOOKUP($O31,'2028_PV_.PX.BOR._.PTC.PV'!$B$10:$L$38,11,FALSE),0)</f>
        <v>0</v>
      </c>
      <c r="DH31" s="112">
        <f>IFERROR(VLOOKUP($O31,'2025_PV_.PX.UWY._.SER.PV'!$B$10:$L$38,11,FALSE),0)</f>
        <v>0</v>
      </c>
      <c r="DI31" s="112">
        <f>IFERROR(VLOOKUP($O31,'2028_PV_.PX.UTS._.PTC.Hunter.PV'!$B$10:$L$38,11,FALSE),0)</f>
        <v>0</v>
      </c>
      <c r="DJ31" s="112">
        <f>IFERROR(VLOOKUP($O31,'2028_PV_.PX.UTS._.PTC.Huntingto'!$B$10:$L$38,11,FALSE),0)</f>
        <v>0</v>
      </c>
      <c r="DK31" s="112">
        <f>IFERROR(VLOOKUP($O31,'2025_PV_.PX.UTS._.SER.PV'!$B$10:$L$38,11,FALSE),0)</f>
        <v>0</v>
      </c>
      <c r="DL31" s="112">
        <f>IFERROR(VLOOKUP($O31,'2026_PVS.PX.YAK._.110.PV'!$B$10:$L$38,11,FALSE),0)</f>
        <v>0</v>
      </c>
      <c r="DM31" s="112">
        <f>IFERROR(VLOOKUP($O31,'2027_PVS.PX.WWA._.215.PV'!$B$10:$L$38,11,FALSE),0)</f>
        <v>0</v>
      </c>
      <c r="DN31" s="112">
        <f>IFERROR(VLOOKUP($O31,'2025_PVS.PX.WMV._.222.PV'!$B$10:$L$38,11,FALSE),0)</f>
        <v>0</v>
      </c>
      <c r="DO31" s="112">
        <f>IFERROR(VLOOKUP($O31,'2026_PVS.PX.WMV._.223.PV'!$B$10:$L$38,11,FALSE),0)</f>
        <v>0</v>
      </c>
      <c r="DP31" s="112">
        <f>IFERROR(VLOOKUP($O31,'2026_PVS.PX.BOR._.2C5.PV'!$B$10:$L$38,11,FALSE),0)</f>
        <v>0</v>
      </c>
      <c r="DQ31" s="112">
        <f>IFERROR(VLOOKUP($O31,'2026_PVS.PX.COR._.TC8.PV'!$B$10:$L$38,11,FALSE),0)</f>
        <v>0</v>
      </c>
      <c r="DR31" s="112">
        <f>IFERROR(VLOOKUP($O31,'2025_PVS.PX.UWY._.SER.PV'!$B$10:$L$38,11,FALSE),0)</f>
        <v>0</v>
      </c>
      <c r="DS31" s="112">
        <f>IFERROR(VLOOKUP($O31,'2025_PVS.PX.WYE._.SER.PV'!$B$10:$L$38,11,FALSE),0)</f>
        <v>0</v>
      </c>
      <c r="DT31" s="112">
        <f>IFERROR(VLOOKUP($O31,'2026_PVS.PX.CLV.1.TC4.PV'!$B$10:$L$38,11,FALSE),0)</f>
        <v>0</v>
      </c>
      <c r="DU31" s="112">
        <f>IFERROR(VLOOKUP($O31,'2025_PVS.PX.UTS._.SER.PV'!$B$10:$L$38,11,FALSE),0)</f>
        <v>0</v>
      </c>
      <c r="DV31" s="112">
        <f>IFERROR(VLOOKUP($O31,'2029_PVS.PX.GOE.1.A43.PV'!$B$10:$L$38,11,FALSE),0)</f>
        <v>0</v>
      </c>
      <c r="DW31" s="264"/>
      <c r="DX31" s="264"/>
      <c r="DY31" s="112">
        <f>IFERROR(VLOOKUP($O31,'NonE 303MW (UT) 2030'!$B$16:$H$36,7,FALSE),0)</f>
        <v>0</v>
      </c>
      <c r="DZ31" s="264"/>
      <c r="EA31" s="264"/>
      <c r="EB31" s="264"/>
      <c r="EC31" s="264"/>
      <c r="ED31" s="264"/>
      <c r="EI31" t="e">
        <f>SUM(BE$13:BE31)*CT31/1000</f>
        <v>#N/A</v>
      </c>
      <c r="EJ31" t="e">
        <f>SUM(BF$13:BF31)*CU31/1000</f>
        <v>#N/A</v>
      </c>
      <c r="EK31" t="e">
        <f>SUM(BG$13:BG31)*CV31/1000</f>
        <v>#N/A</v>
      </c>
      <c r="EL31" t="e">
        <f>SUM(BH$13:BH31)*CW31/1000</f>
        <v>#N/A</v>
      </c>
      <c r="EM31" t="e">
        <f>SUM(BI$13:BI31)*CX31/1000</f>
        <v>#N/A</v>
      </c>
      <c r="EN31" t="e">
        <f>SUM(BJ$13:BJ31)*CY31/1000</f>
        <v>#N/A</v>
      </c>
      <c r="EO31" t="e">
        <f>SUM(BK$13:BK31)*CZ31/1000</f>
        <v>#N/A</v>
      </c>
      <c r="EP31" t="e">
        <f>SUM(BL$13:BL31)*DA31/1000</f>
        <v>#N/A</v>
      </c>
      <c r="EQ31" t="e">
        <f>SUM(BM$13:BM31)*DB31/1000</f>
        <v>#N/A</v>
      </c>
      <c r="ER31" t="e">
        <f>SUM(BN$13:BN31)*DC31/1000</f>
        <v>#N/A</v>
      </c>
      <c r="ES31" t="e">
        <f>SUM(BO$13:BO31)*DD31/1000</f>
        <v>#N/A</v>
      </c>
      <c r="ET31" t="e">
        <f>SUM(BP$13:BP31)*DE31/1000</f>
        <v>#N/A</v>
      </c>
      <c r="EU31" t="e">
        <f>SUM(BQ$13:BQ31)*DF31/1000</f>
        <v>#N/A</v>
      </c>
      <c r="EV31" t="e">
        <f>SUM(BR$13:BR31)*DG31/1000</f>
        <v>#N/A</v>
      </c>
      <c r="EW31" t="e">
        <f>SUM(BS$13:BS31)*DH31/1000</f>
        <v>#N/A</v>
      </c>
      <c r="EX31" t="e">
        <f>SUM(BT$13:BT31)*DI31/1000</f>
        <v>#N/A</v>
      </c>
      <c r="EY31" t="e">
        <f>SUM(BU$13:BU31)*DJ31/1000</f>
        <v>#N/A</v>
      </c>
      <c r="EZ31" t="e">
        <f>SUM(BV$13:BV31)*DK31/1000</f>
        <v>#N/A</v>
      </c>
      <c r="FA31" t="e">
        <f>SUM(BW$13:BW31)*DL31/1000</f>
        <v>#N/A</v>
      </c>
      <c r="FB31" t="e">
        <f>SUM(BX$13:BX31)*DM31/1000</f>
        <v>#N/A</v>
      </c>
      <c r="FC31" t="e">
        <f>SUM(BY$13:BY31)*DN31/1000</f>
        <v>#N/A</v>
      </c>
      <c r="FD31" t="e">
        <f>SUM(BZ$13:BZ31)*DO31/1000</f>
        <v>#N/A</v>
      </c>
      <c r="FE31" t="e">
        <f>SUM(CA$13:CA31)*DP31/1000</f>
        <v>#N/A</v>
      </c>
      <c r="FF31" t="e">
        <f>SUM(CB$13:CB31)*DQ31/1000</f>
        <v>#N/A</v>
      </c>
      <c r="FG31" t="e">
        <f>SUM(CC$13:CC31)*DR31/1000</f>
        <v>#N/A</v>
      </c>
      <c r="FH31" t="e">
        <f>SUM(CD$13:CD31)*DS31/1000</f>
        <v>#N/A</v>
      </c>
      <c r="FI31" t="e">
        <f>SUM(CE$13:CE31)*DT31/1000</f>
        <v>#N/A</v>
      </c>
      <c r="FJ31" t="e">
        <f>SUM(CF$13:CF31)*DU31/1000</f>
        <v>#N/A</v>
      </c>
      <c r="FK31" t="e">
        <f>SUM(CG$13:CG31)*DV31/1000</f>
        <v>#N/A</v>
      </c>
      <c r="FL31" t="e">
        <f>SUM(CH$13:CH31)*DW31/1000</f>
        <v>#N/A</v>
      </c>
      <c r="FM31" t="e">
        <f>SUM(CI$13:CI31)*DX31/1000</f>
        <v>#N/A</v>
      </c>
      <c r="FN31" t="e">
        <f>SUM(CJ$13:CJ31)*DY31/1000</f>
        <v>#N/A</v>
      </c>
      <c r="FO31" t="e">
        <f>SUM(CK$13:CK31)*DZ31/1000</f>
        <v>#N/A</v>
      </c>
      <c r="FP31" t="e">
        <f>SUM(CL$13:CL31)*EA31/1000</f>
        <v>#N/A</v>
      </c>
      <c r="FW31" t="e">
        <f t="shared" ref="FW31:FW32" si="99">SUM(EI31:FV31)</f>
        <v>#N/A</v>
      </c>
      <c r="FY31">
        <f t="shared" ref="FY31:FY32" si="100">O31</f>
        <v>4</v>
      </c>
      <c r="FZ31" s="78">
        <f>IFERROR(VLOOKUP($FY31,'Table 3 TransCost'!$AA$10:$AD$32,4,FALSE),0)</f>
        <v>0</v>
      </c>
      <c r="GA31" s="143">
        <f t="shared" ref="GA31:GA32" si="101">$FZ$5*FZ31/1000</f>
        <v>0</v>
      </c>
    </row>
    <row r="32" spans="2:183" hidden="1">
      <c r="B32" s="13">
        <f t="shared" si="79"/>
        <v>5</v>
      </c>
      <c r="C32" s="8"/>
      <c r="D32" s="41"/>
      <c r="E32" s="8"/>
      <c r="F32" s="34"/>
      <c r="G32" s="12"/>
      <c r="H32" s="34"/>
      <c r="I32" s="143"/>
      <c r="J32" s="143"/>
      <c r="M32" s="97"/>
      <c r="O32">
        <f t="shared" si="42"/>
        <v>5</v>
      </c>
      <c r="P32" t="e">
        <v>#N/A</v>
      </c>
      <c r="Q32" t="e">
        <v>#N/A</v>
      </c>
      <c r="R32" t="e">
        <v>#N/A</v>
      </c>
      <c r="S32" t="e">
        <v>#N/A</v>
      </c>
      <c r="T32" t="e">
        <v>#N/A</v>
      </c>
      <c r="U32" t="e">
        <v>#N/A</v>
      </c>
      <c r="V32" t="e">
        <v>#N/A</v>
      </c>
      <c r="W32" t="e">
        <v>#N/A</v>
      </c>
      <c r="X32" t="e">
        <v>#N/A</v>
      </c>
      <c r="Y32" t="e">
        <v>#N/A</v>
      </c>
      <c r="Z32" t="e">
        <v>#N/A</v>
      </c>
      <c r="AA32" t="e">
        <v>#N/A</v>
      </c>
      <c r="AB32" t="e">
        <v>#N/A</v>
      </c>
      <c r="AC32" t="e">
        <v>#N/A</v>
      </c>
      <c r="AD32" t="e">
        <v>#N/A</v>
      </c>
      <c r="AE32" t="e">
        <v>#N/A</v>
      </c>
      <c r="AF32" t="e">
        <v>#N/A</v>
      </c>
      <c r="AG32" t="e">
        <v>#N/A</v>
      </c>
      <c r="AH32" t="e">
        <v>#N/A</v>
      </c>
      <c r="AI32" t="e">
        <v>#N/A</v>
      </c>
      <c r="AJ32" t="e">
        <v>#N/A</v>
      </c>
      <c r="AK32" t="e">
        <v>#N/A</v>
      </c>
      <c r="AL32" t="e">
        <v>#N/A</v>
      </c>
      <c r="AM32" t="e">
        <v>#N/A</v>
      </c>
      <c r="AN32" t="e">
        <v>#N/A</v>
      </c>
      <c r="AO32" t="e">
        <v>#N/A</v>
      </c>
      <c r="AP32" t="e">
        <v>#N/A</v>
      </c>
      <c r="AQ32" t="e">
        <v>#N/A</v>
      </c>
      <c r="AR32" t="e">
        <v>#N/A</v>
      </c>
      <c r="AS32" t="e">
        <v>#N/A</v>
      </c>
      <c r="AT32" t="e">
        <v>#N/A</v>
      </c>
      <c r="AU32" t="e">
        <v>#N/A</v>
      </c>
      <c r="AV32" t="e">
        <v>#N/A</v>
      </c>
      <c r="AW32" t="e">
        <v>#N/A</v>
      </c>
      <c r="AX32" t="e">
        <v>#N/A</v>
      </c>
      <c r="BE32" t="e">
        <f t="shared" si="83"/>
        <v>#N/A</v>
      </c>
      <c r="BF32" t="e">
        <f t="shared" si="84"/>
        <v>#N/A</v>
      </c>
      <c r="BG32" t="e">
        <f t="shared" si="85"/>
        <v>#N/A</v>
      </c>
      <c r="BH32" t="e">
        <f t="shared" si="86"/>
        <v>#N/A</v>
      </c>
      <c r="BI32" t="e">
        <f t="shared" si="87"/>
        <v>#N/A</v>
      </c>
      <c r="BJ32" t="e">
        <f t="shared" si="88"/>
        <v>#N/A</v>
      </c>
      <c r="BK32" t="e">
        <f t="shared" si="89"/>
        <v>#N/A</v>
      </c>
      <c r="BL32" t="e">
        <f t="shared" si="90"/>
        <v>#N/A</v>
      </c>
      <c r="BM32" t="e">
        <f t="shared" si="91"/>
        <v>#N/A</v>
      </c>
      <c r="BN32" t="e">
        <f t="shared" si="92"/>
        <v>#N/A</v>
      </c>
      <c r="BO32" t="e">
        <f t="shared" si="93"/>
        <v>#N/A</v>
      </c>
      <c r="BP32" t="e">
        <f t="shared" si="94"/>
        <v>#N/A</v>
      </c>
      <c r="BQ32" t="e">
        <f t="shared" si="95"/>
        <v>#N/A</v>
      </c>
      <c r="BR32" t="e">
        <f t="shared" si="56"/>
        <v>#N/A</v>
      </c>
      <c r="BS32" t="e">
        <f t="shared" si="57"/>
        <v>#N/A</v>
      </c>
      <c r="BT32" t="e">
        <f t="shared" si="58"/>
        <v>#N/A</v>
      </c>
      <c r="BU32" t="e">
        <f t="shared" si="59"/>
        <v>#N/A</v>
      </c>
      <c r="BV32" t="e">
        <f t="shared" si="60"/>
        <v>#N/A</v>
      </c>
      <c r="BW32" t="e">
        <f t="shared" si="61"/>
        <v>#N/A</v>
      </c>
      <c r="BX32" t="e">
        <f t="shared" si="62"/>
        <v>#N/A</v>
      </c>
      <c r="BY32" t="e">
        <f t="shared" si="63"/>
        <v>#N/A</v>
      </c>
      <c r="BZ32" t="e">
        <f t="shared" si="64"/>
        <v>#N/A</v>
      </c>
      <c r="CA32" t="e">
        <f t="shared" si="65"/>
        <v>#N/A</v>
      </c>
      <c r="CB32" t="e">
        <f t="shared" si="66"/>
        <v>#N/A</v>
      </c>
      <c r="CC32" t="e">
        <f t="shared" si="67"/>
        <v>#N/A</v>
      </c>
      <c r="CD32" t="e">
        <f t="shared" si="68"/>
        <v>#N/A</v>
      </c>
      <c r="CE32" t="e">
        <f t="shared" si="69"/>
        <v>#N/A</v>
      </c>
      <c r="CF32" t="e">
        <f t="shared" si="70"/>
        <v>#N/A</v>
      </c>
      <c r="CG32" t="e">
        <f t="shared" si="71"/>
        <v>#N/A</v>
      </c>
      <c r="CH32" t="e">
        <f t="shared" si="72"/>
        <v>#N/A</v>
      </c>
      <c r="CI32" t="e">
        <f t="shared" si="73"/>
        <v>#N/A</v>
      </c>
      <c r="CJ32" t="e">
        <f t="shared" si="74"/>
        <v>#N/A</v>
      </c>
      <c r="CK32" t="e">
        <f t="shared" si="96"/>
        <v>#N/A</v>
      </c>
      <c r="CL32" t="e">
        <f t="shared" si="97"/>
        <v>#N/A</v>
      </c>
      <c r="CS32">
        <f t="shared" si="98"/>
        <v>5</v>
      </c>
      <c r="CT32" s="112">
        <f>IFERROR(VLOOKUP($O32,'2029_WD_.PX.WYE._.PTC.WD'!$B$10:$L$38,11,FALSE),0)</f>
        <v>0</v>
      </c>
      <c r="CU32" s="112">
        <f>IFERROR(VLOOKUP($O32,'2032_WD_.PX.WYN._.PTC.WD'!$B$10:$L$38,11,FALSE),0)</f>
        <v>0</v>
      </c>
      <c r="CV32" s="112">
        <f>IFERROR(VLOOKUP($O32,'2028_WD_.PX.BOR._.PTC.WD'!$B$10:$L$38,11,FALSE),0)</f>
        <v>0</v>
      </c>
      <c r="CW32" s="112">
        <f>IFERROR(VLOOKUP($O32,'2029_WD_.PX.BDG._.PTC.Bridger.W'!$B$10:$L$38,11,FALSE),0)</f>
        <v>0</v>
      </c>
      <c r="CX32" s="112">
        <f>IFERROR(VLOOKUP($O32,'2025_WD_.PX.UWY._.SER.WD'!$B$10:$L$38,11,FALSE),0)</f>
        <v>0</v>
      </c>
      <c r="CY32" s="112">
        <f>IFERROR(VLOOKUP($O32,'2025_WD_.PX.WYE._.SER.WD'!$B$10:$L$38,11,FALSE),0)</f>
        <v>0</v>
      </c>
      <c r="CZ32" s="112">
        <f>IFERROR(VLOOKUP($O32,'2029_WD_.PX.WYE.1.A01.WD'!$B$10:$L$38,11,FALSE),0)</f>
        <v>0</v>
      </c>
      <c r="DA32" s="112">
        <f>IFERROR(VLOOKUP($O32,'2032_WD_.PX.YAK._.PTC.WD'!$B$10:$L$38,11,FALSE),0)</f>
        <v>0</v>
      </c>
      <c r="DB32" s="112">
        <f>IFERROR(VLOOKUP($O32,'2032_WD_.PX.WYE._.PTC.Djohns.WD'!$B$10:$L$38,11,FALSE),0)</f>
        <v>0</v>
      </c>
      <c r="DC32" s="112">
        <f>IFERROR(VLOOKUP($O32,'2027_WD_.PX.WWA._.215.WD'!$B$10:$L$38,11,FALSE),0)</f>
        <v>0</v>
      </c>
      <c r="DD32" s="112">
        <f>IFERROR(VLOOKUP($O32,'2032_WD_.PX.PNC._.PTC.WD'!$B$10:$L$38,11,FALSE),0)</f>
        <v>0</v>
      </c>
      <c r="DE32" s="112">
        <f>IFERROR(VLOOKUP($O32,'2032_WD_.PX.WWA._.PTC.WD'!$B$10:$L$38,11,FALSE),0)</f>
        <v>0</v>
      </c>
      <c r="DF32" s="112">
        <f>IFERROR(VLOOKUP($O32,'2032_WD_.PX.SOR._.PTC.WD'!$B$10:$L$38,11,FALSE),0)</f>
        <v>0</v>
      </c>
      <c r="DG32" s="112">
        <f>IFERROR(VLOOKUP($O32,'2028_PV_.PX.BOR._.PTC.PV'!$B$10:$L$38,11,FALSE),0)</f>
        <v>0</v>
      </c>
      <c r="DH32" s="112">
        <f>IFERROR(VLOOKUP($O32,'2025_PV_.PX.UWY._.SER.PV'!$B$10:$L$38,11,FALSE),0)</f>
        <v>0</v>
      </c>
      <c r="DI32" s="112">
        <f>IFERROR(VLOOKUP($O32,'2028_PV_.PX.UTS._.PTC.Hunter.PV'!$B$10:$L$38,11,FALSE),0)</f>
        <v>0</v>
      </c>
      <c r="DJ32" s="112">
        <f>IFERROR(VLOOKUP($O32,'2028_PV_.PX.UTS._.PTC.Huntingto'!$B$10:$L$38,11,FALSE),0)</f>
        <v>0</v>
      </c>
      <c r="DK32" s="112">
        <f>IFERROR(VLOOKUP($O32,'2025_PV_.PX.UTS._.SER.PV'!$B$10:$L$38,11,FALSE),0)</f>
        <v>0</v>
      </c>
      <c r="DL32" s="112">
        <f>IFERROR(VLOOKUP($O32,'2026_PVS.PX.YAK._.110.PV'!$B$10:$L$38,11,FALSE),0)</f>
        <v>0</v>
      </c>
      <c r="DM32" s="112">
        <f>IFERROR(VLOOKUP($O32,'2027_PVS.PX.WWA._.215.PV'!$B$10:$L$38,11,FALSE),0)</f>
        <v>0</v>
      </c>
      <c r="DN32" s="112">
        <f>IFERROR(VLOOKUP($O32,'2025_PVS.PX.WMV._.222.PV'!$B$10:$L$38,11,FALSE),0)</f>
        <v>0</v>
      </c>
      <c r="DO32" s="112">
        <f>IFERROR(VLOOKUP($O32,'2026_PVS.PX.WMV._.223.PV'!$B$10:$L$38,11,FALSE),0)</f>
        <v>0</v>
      </c>
      <c r="DP32" s="112">
        <f>IFERROR(VLOOKUP($O32,'2026_PVS.PX.BOR._.2C5.PV'!$B$10:$L$38,11,FALSE),0)</f>
        <v>0</v>
      </c>
      <c r="DQ32" s="112">
        <f>IFERROR(VLOOKUP($O32,'2026_PVS.PX.COR._.TC8.PV'!$B$10:$L$38,11,FALSE),0)</f>
        <v>0</v>
      </c>
      <c r="DR32" s="112">
        <f>IFERROR(VLOOKUP($O32,'2025_PVS.PX.UWY._.SER.PV'!$B$10:$L$38,11,FALSE),0)</f>
        <v>0</v>
      </c>
      <c r="DS32" s="112">
        <f>IFERROR(VLOOKUP($O32,'2025_PVS.PX.WYE._.SER.PV'!$B$10:$L$38,11,FALSE),0)</f>
        <v>0</v>
      </c>
      <c r="DT32" s="112">
        <f>IFERROR(VLOOKUP($O32,'2026_PVS.PX.CLV.1.TC4.PV'!$B$10:$L$38,11,FALSE),0)</f>
        <v>0</v>
      </c>
      <c r="DU32" s="112">
        <f>IFERROR(VLOOKUP($O32,'2025_PVS.PX.UTS._.SER.PV'!$B$10:$L$38,11,FALSE),0)</f>
        <v>0</v>
      </c>
      <c r="DV32" s="112">
        <f>IFERROR(VLOOKUP($O32,'2029_PVS.PX.GOE.1.A43.PV'!$B$10:$L$38,11,FALSE),0)</f>
        <v>0</v>
      </c>
      <c r="DW32" s="264"/>
      <c r="DX32" s="264"/>
      <c r="DY32" s="112">
        <f>IFERROR(VLOOKUP($O32,'NonE 303MW (UT) 2030'!$B$16:$H$36,7,FALSE),0)</f>
        <v>0</v>
      </c>
      <c r="DZ32" s="264"/>
      <c r="EA32" s="264"/>
      <c r="EB32" s="264"/>
      <c r="EC32" s="264"/>
      <c r="ED32" s="264"/>
      <c r="EI32" t="e">
        <f>SUM(BE$13:BE32)*CT32/1000</f>
        <v>#N/A</v>
      </c>
      <c r="EJ32" t="e">
        <f>SUM(BF$13:BF32)*CU32/1000</f>
        <v>#N/A</v>
      </c>
      <c r="EK32" t="e">
        <f>SUM(BG$13:BG32)*CV32/1000</f>
        <v>#N/A</v>
      </c>
      <c r="EL32" t="e">
        <f>SUM(BH$13:BH32)*CW32/1000</f>
        <v>#N/A</v>
      </c>
      <c r="EM32" t="e">
        <f>SUM(BI$13:BI32)*CX32/1000</f>
        <v>#N/A</v>
      </c>
      <c r="EN32" t="e">
        <f>SUM(BJ$13:BJ32)*CY32/1000</f>
        <v>#N/A</v>
      </c>
      <c r="EO32" t="e">
        <f>SUM(BK$13:BK32)*CZ32/1000</f>
        <v>#N/A</v>
      </c>
      <c r="EP32" t="e">
        <f>SUM(BL$13:BL32)*DA32/1000</f>
        <v>#N/A</v>
      </c>
      <c r="EQ32" t="e">
        <f>SUM(BM$13:BM32)*DB32/1000</f>
        <v>#N/A</v>
      </c>
      <c r="ER32" t="e">
        <f>SUM(BN$13:BN32)*DC32/1000</f>
        <v>#N/A</v>
      </c>
      <c r="ES32" t="e">
        <f>SUM(BO$13:BO32)*DD32/1000</f>
        <v>#N/A</v>
      </c>
      <c r="ET32" t="e">
        <f>SUM(BP$13:BP32)*DE32/1000</f>
        <v>#N/A</v>
      </c>
      <c r="EU32" t="e">
        <f>SUM(BQ$13:BQ32)*DF32/1000</f>
        <v>#N/A</v>
      </c>
      <c r="EV32" t="e">
        <f>SUM(BR$13:BR32)*DG32/1000</f>
        <v>#N/A</v>
      </c>
      <c r="EW32" t="e">
        <f>SUM(BS$13:BS32)*DH32/1000</f>
        <v>#N/A</v>
      </c>
      <c r="EX32" t="e">
        <f>SUM(BT$13:BT32)*DI32/1000</f>
        <v>#N/A</v>
      </c>
      <c r="EY32" t="e">
        <f>SUM(BU$13:BU32)*DJ32/1000</f>
        <v>#N/A</v>
      </c>
      <c r="EZ32" t="e">
        <f>SUM(BV$13:BV32)*DK32/1000</f>
        <v>#N/A</v>
      </c>
      <c r="FA32" t="e">
        <f>SUM(BW$13:BW32)*DL32/1000</f>
        <v>#N/A</v>
      </c>
      <c r="FB32" t="e">
        <f>SUM(BX$13:BX32)*DM32/1000</f>
        <v>#N/A</v>
      </c>
      <c r="FC32" t="e">
        <f>SUM(BY$13:BY32)*DN32/1000</f>
        <v>#N/A</v>
      </c>
      <c r="FD32" t="e">
        <f>SUM(BZ$13:BZ32)*DO32/1000</f>
        <v>#N/A</v>
      </c>
      <c r="FE32" t="e">
        <f>SUM(CA$13:CA32)*DP32/1000</f>
        <v>#N/A</v>
      </c>
      <c r="FF32" t="e">
        <f>SUM(CB$13:CB32)*DQ32/1000</f>
        <v>#N/A</v>
      </c>
      <c r="FG32" t="e">
        <f>SUM(CC$13:CC32)*DR32/1000</f>
        <v>#N/A</v>
      </c>
      <c r="FH32" t="e">
        <f>SUM(CD$13:CD32)*DS32/1000</f>
        <v>#N/A</v>
      </c>
      <c r="FI32" t="e">
        <f>SUM(CE$13:CE32)*DT32/1000</f>
        <v>#N/A</v>
      </c>
      <c r="FJ32" t="e">
        <f>SUM(CF$13:CF32)*DU32/1000</f>
        <v>#N/A</v>
      </c>
      <c r="FK32" t="e">
        <f>SUM(CG$13:CG32)*DV32/1000</f>
        <v>#N/A</v>
      </c>
      <c r="FL32" t="e">
        <f>SUM(CH$13:CH32)*DW32/1000</f>
        <v>#N/A</v>
      </c>
      <c r="FM32" t="e">
        <f>SUM(CI$13:CI32)*DX32/1000</f>
        <v>#N/A</v>
      </c>
      <c r="FN32" t="e">
        <f>SUM(CJ$13:CJ32)*DY32/1000</f>
        <v>#N/A</v>
      </c>
      <c r="FO32" t="e">
        <f>SUM(CK$13:CK32)*DZ32/1000</f>
        <v>#N/A</v>
      </c>
      <c r="FP32" t="e">
        <f>SUM(CL$13:CL32)*EA32/1000</f>
        <v>#N/A</v>
      </c>
      <c r="FW32" t="e">
        <f t="shared" si="99"/>
        <v>#N/A</v>
      </c>
      <c r="FY32">
        <f t="shared" si="100"/>
        <v>5</v>
      </c>
      <c r="FZ32" s="78">
        <f>IFERROR(VLOOKUP($FY32,'Table 3 TransCost'!$AA$10:$AD$32,4,FALSE),0)</f>
        <v>0</v>
      </c>
      <c r="GA32" s="143">
        <f t="shared" si="101"/>
        <v>0</v>
      </c>
    </row>
    <row r="33" spans="1:183" hidden="1">
      <c r="B33" s="13">
        <f t="shared" si="79"/>
        <v>6</v>
      </c>
      <c r="C33" s="8"/>
      <c r="D33" s="41"/>
      <c r="E33" s="8"/>
      <c r="F33" s="34"/>
      <c r="G33" s="12"/>
      <c r="H33" s="34"/>
      <c r="I33" s="143"/>
      <c r="J33" s="143"/>
      <c r="M33" s="97"/>
      <c r="O33">
        <f t="shared" ref="O33" si="102">B33</f>
        <v>6</v>
      </c>
      <c r="P33" t="e">
        <v>#N/A</v>
      </c>
      <c r="Q33" t="e">
        <v>#N/A</v>
      </c>
      <c r="R33" t="e">
        <v>#N/A</v>
      </c>
      <c r="S33" t="e">
        <v>#N/A</v>
      </c>
      <c r="T33" t="e">
        <v>#N/A</v>
      </c>
      <c r="U33" t="e">
        <v>#N/A</v>
      </c>
      <c r="V33" t="e">
        <v>#N/A</v>
      </c>
      <c r="W33" t="e">
        <v>#N/A</v>
      </c>
      <c r="X33" t="e">
        <v>#N/A</v>
      </c>
      <c r="Y33" t="e">
        <v>#N/A</v>
      </c>
      <c r="Z33" t="e">
        <v>#N/A</v>
      </c>
      <c r="AA33" t="e">
        <v>#N/A</v>
      </c>
      <c r="AB33" t="e">
        <v>#N/A</v>
      </c>
      <c r="AC33" t="e">
        <v>#N/A</v>
      </c>
      <c r="AD33" t="e">
        <v>#N/A</v>
      </c>
      <c r="AE33" t="e">
        <v>#N/A</v>
      </c>
      <c r="AF33" t="e">
        <v>#N/A</v>
      </c>
      <c r="AG33" t="e">
        <v>#N/A</v>
      </c>
      <c r="AH33" t="e">
        <v>#N/A</v>
      </c>
      <c r="AI33" t="e">
        <v>#N/A</v>
      </c>
      <c r="AJ33" t="e">
        <v>#N/A</v>
      </c>
      <c r="AK33" t="e">
        <v>#N/A</v>
      </c>
      <c r="AL33" t="e">
        <v>#N/A</v>
      </c>
      <c r="AM33" t="e">
        <v>#N/A</v>
      </c>
      <c r="AN33" t="e">
        <v>#N/A</v>
      </c>
      <c r="AO33" t="e">
        <v>#N/A</v>
      </c>
      <c r="AP33" t="e">
        <v>#N/A</v>
      </c>
      <c r="AQ33" t="e">
        <v>#N/A</v>
      </c>
      <c r="AR33" t="e">
        <v>#N/A</v>
      </c>
      <c r="AS33" t="e">
        <v>#N/A</v>
      </c>
      <c r="AT33" t="e">
        <v>#N/A</v>
      </c>
      <c r="AU33" t="e">
        <v>#N/A</v>
      </c>
      <c r="AV33" t="e">
        <v>#N/A</v>
      </c>
      <c r="AW33" t="e">
        <v>#N/A</v>
      </c>
      <c r="AX33" t="e">
        <v>#N/A</v>
      </c>
      <c r="BE33" t="e">
        <f t="shared" ref="BE33:BE35" si="103">P33/P$5</f>
        <v>#N/A</v>
      </c>
      <c r="BF33" t="e">
        <f t="shared" ref="BF33:BF35" si="104">Q33/Q$5</f>
        <v>#N/A</v>
      </c>
      <c r="BG33" t="e">
        <f t="shared" ref="BG33:BG35" si="105">R33/R$5</f>
        <v>#N/A</v>
      </c>
      <c r="BH33" t="e">
        <f t="shared" ref="BH33:BH35" si="106">S33/S$5</f>
        <v>#N/A</v>
      </c>
      <c r="BI33" t="e">
        <f t="shared" ref="BI33:BI35" si="107">T33/T$5</f>
        <v>#N/A</v>
      </c>
      <c r="BJ33" t="e">
        <f t="shared" ref="BJ33:BJ35" si="108">U33/U$5</f>
        <v>#N/A</v>
      </c>
      <c r="BK33" t="e">
        <f t="shared" ref="BK33:BK35" si="109">V33/V$5</f>
        <v>#N/A</v>
      </c>
      <c r="BL33" t="e">
        <f t="shared" ref="BL33:BL35" si="110">W33/W$5</f>
        <v>#N/A</v>
      </c>
      <c r="BM33" t="e">
        <f t="shared" ref="BM33:BM35" si="111">X33/X$5</f>
        <v>#N/A</v>
      </c>
      <c r="BN33" t="e">
        <f t="shared" ref="BN33:BN35" si="112">Y33/Y$5</f>
        <v>#N/A</v>
      </c>
      <c r="BO33" t="e">
        <f t="shared" ref="BO33:BO35" si="113">Z33/Z$5</f>
        <v>#N/A</v>
      </c>
      <c r="BP33" t="e">
        <f t="shared" ref="BP33:BP35" si="114">AA33/AA$5</f>
        <v>#N/A</v>
      </c>
      <c r="BQ33" t="e">
        <f t="shared" ref="BQ33:BQ35" si="115">AB33/AB$5</f>
        <v>#N/A</v>
      </c>
      <c r="BR33" t="e">
        <f t="shared" ref="BR33:BR35" si="116">AC33/AC$5</f>
        <v>#N/A</v>
      </c>
      <c r="BS33" t="e">
        <f t="shared" ref="BS33:BS35" si="117">AD33/AD$5</f>
        <v>#N/A</v>
      </c>
      <c r="BT33" t="e">
        <f t="shared" ref="BT33:BT35" si="118">AE33/AE$5</f>
        <v>#N/A</v>
      </c>
      <c r="BU33" t="e">
        <f t="shared" ref="BU33:BU35" si="119">AF33/AF$5</f>
        <v>#N/A</v>
      </c>
      <c r="BV33" t="e">
        <f t="shared" ref="BV33:BV35" si="120">AG33/AG$5</f>
        <v>#N/A</v>
      </c>
      <c r="BW33" t="e">
        <f t="shared" ref="BW33:BW35" si="121">AH33/AH$5</f>
        <v>#N/A</v>
      </c>
      <c r="BX33" t="e">
        <f t="shared" ref="BX33:BX35" si="122">AI33/AI$5</f>
        <v>#N/A</v>
      </c>
      <c r="BY33" t="e">
        <f t="shared" ref="BY33:BY35" si="123">AJ33/AJ$5</f>
        <v>#N/A</v>
      </c>
      <c r="BZ33" t="e">
        <f t="shared" ref="BZ33:BZ35" si="124">AK33/AK$5</f>
        <v>#N/A</v>
      </c>
      <c r="CA33" t="e">
        <f t="shared" ref="CA33:CA35" si="125">AL33/AL$5</f>
        <v>#N/A</v>
      </c>
      <c r="CB33" t="e">
        <f t="shared" ref="CB33:CB35" si="126">AM33/AM$5</f>
        <v>#N/A</v>
      </c>
      <c r="CC33" t="e">
        <f t="shared" ref="CC33:CC35" si="127">AN33/AN$5</f>
        <v>#N/A</v>
      </c>
      <c r="CD33" t="e">
        <f t="shared" ref="CD33:CD35" si="128">AO33/AO$5</f>
        <v>#N/A</v>
      </c>
      <c r="CE33" t="e">
        <f t="shared" ref="CE33:CE35" si="129">AP33/AP$5</f>
        <v>#N/A</v>
      </c>
      <c r="CF33" t="e">
        <f t="shared" ref="CF33:CF35" si="130">AQ33/AQ$5</f>
        <v>#N/A</v>
      </c>
      <c r="CG33" t="e">
        <f t="shared" ref="CG33:CG35" si="131">AR33/AR$5</f>
        <v>#N/A</v>
      </c>
      <c r="CH33" t="e">
        <f t="shared" ref="CH33:CH35" si="132">AS33/AS$5</f>
        <v>#N/A</v>
      </c>
      <c r="CI33" t="e">
        <f t="shared" ref="CI33:CI35" si="133">AT33/AT$5</f>
        <v>#N/A</v>
      </c>
      <c r="CJ33" t="e">
        <f t="shared" ref="CJ33:CJ35" si="134">AU33/AU$5</f>
        <v>#N/A</v>
      </c>
      <c r="CK33" t="e">
        <f t="shared" ref="CK33:CK35" si="135">AV33/AV$5</f>
        <v>#N/A</v>
      </c>
      <c r="CL33" t="e">
        <f t="shared" ref="CL33:CL35" si="136">AW33/AW$5</f>
        <v>#N/A</v>
      </c>
      <c r="CS33">
        <f t="shared" ref="CS33:CS35" si="137">O33</f>
        <v>6</v>
      </c>
      <c r="CT33" s="112">
        <f>IFERROR(VLOOKUP($O33,'2029_WD_.PX.WYE._.PTC.WD'!$B$10:$L$38,11,FALSE),0)</f>
        <v>0</v>
      </c>
      <c r="CU33" s="112">
        <f>IFERROR(VLOOKUP($O33,'2032_WD_.PX.WYN._.PTC.WD'!$B$10:$L$38,11,FALSE),0)</f>
        <v>0</v>
      </c>
      <c r="CV33" s="112">
        <f>IFERROR(VLOOKUP($O33,'2028_WD_.PX.BOR._.PTC.WD'!$B$10:$L$38,11,FALSE),0)</f>
        <v>0</v>
      </c>
      <c r="CW33" s="112">
        <f>IFERROR(VLOOKUP($O33,'2029_WD_.PX.BDG._.PTC.Bridger.W'!$B$10:$L$38,11,FALSE),0)</f>
        <v>0</v>
      </c>
      <c r="CX33" s="112">
        <f>IFERROR(VLOOKUP($O33,'2025_WD_.PX.UWY._.SER.WD'!$B$10:$L$38,11,FALSE),0)</f>
        <v>0</v>
      </c>
      <c r="CY33" s="112">
        <f>IFERROR(VLOOKUP($O33,'2025_WD_.PX.WYE._.SER.WD'!$B$10:$L$38,11,FALSE),0)</f>
        <v>0</v>
      </c>
      <c r="CZ33" s="112">
        <f>IFERROR(VLOOKUP($O33,'2029_WD_.PX.WYE.1.A01.WD'!$B$10:$L$38,11,FALSE),0)</f>
        <v>0</v>
      </c>
      <c r="DA33" s="112">
        <f>IFERROR(VLOOKUP($O33,'2032_WD_.PX.YAK._.PTC.WD'!$B$10:$L$38,11,FALSE),0)</f>
        <v>0</v>
      </c>
      <c r="DB33" s="112">
        <f>IFERROR(VLOOKUP($O33,'2032_WD_.PX.WYE._.PTC.Djohns.WD'!$B$10:$L$38,11,FALSE),0)</f>
        <v>0</v>
      </c>
      <c r="DC33" s="112">
        <f>IFERROR(VLOOKUP($O33,'2027_WD_.PX.WWA._.215.WD'!$B$10:$L$38,11,FALSE),0)</f>
        <v>0</v>
      </c>
      <c r="DD33" s="112">
        <f>IFERROR(VLOOKUP($O33,'2032_WD_.PX.PNC._.PTC.WD'!$B$10:$L$38,11,FALSE),0)</f>
        <v>0</v>
      </c>
      <c r="DE33" s="112">
        <f>IFERROR(VLOOKUP($O33,'2032_WD_.PX.WWA._.PTC.WD'!$B$10:$L$38,11,FALSE),0)</f>
        <v>0</v>
      </c>
      <c r="DF33" s="112">
        <f>IFERROR(VLOOKUP($O33,'2032_WD_.PX.SOR._.PTC.WD'!$B$10:$L$38,11,FALSE),0)</f>
        <v>0</v>
      </c>
      <c r="DG33" s="112">
        <f>IFERROR(VLOOKUP($O33,'2028_PV_.PX.BOR._.PTC.PV'!$B$10:$L$38,11,FALSE),0)</f>
        <v>0</v>
      </c>
      <c r="DH33" s="112">
        <f>IFERROR(VLOOKUP($O33,'2025_PV_.PX.UWY._.SER.PV'!$B$10:$L$38,11,FALSE),0)</f>
        <v>0</v>
      </c>
      <c r="DI33" s="112">
        <f>IFERROR(VLOOKUP($O33,'2028_PV_.PX.UTS._.PTC.Hunter.PV'!$B$10:$L$38,11,FALSE),0)</f>
        <v>0</v>
      </c>
      <c r="DJ33" s="112">
        <f>IFERROR(VLOOKUP($O33,'2028_PV_.PX.UTS._.PTC.Huntingto'!$B$10:$L$38,11,FALSE),0)</f>
        <v>0</v>
      </c>
      <c r="DK33" s="112">
        <f>IFERROR(VLOOKUP($O33,'2025_PV_.PX.UTS._.SER.PV'!$B$10:$L$38,11,FALSE),0)</f>
        <v>0</v>
      </c>
      <c r="DL33" s="112">
        <f>IFERROR(VLOOKUP($O33,'2026_PVS.PX.YAK._.110.PV'!$B$10:$L$38,11,FALSE),0)</f>
        <v>0</v>
      </c>
      <c r="DM33" s="112">
        <f>IFERROR(VLOOKUP($O33,'2027_PVS.PX.WWA._.215.PV'!$B$10:$L$38,11,FALSE),0)</f>
        <v>0</v>
      </c>
      <c r="DN33" s="112">
        <f>IFERROR(VLOOKUP($O33,'2025_PVS.PX.WMV._.222.PV'!$B$10:$L$38,11,FALSE),0)</f>
        <v>0</v>
      </c>
      <c r="DO33" s="112">
        <f>IFERROR(VLOOKUP($O33,'2026_PVS.PX.WMV._.223.PV'!$B$10:$L$38,11,FALSE),0)</f>
        <v>0</v>
      </c>
      <c r="DP33" s="112">
        <f>IFERROR(VLOOKUP($O33,'2026_PVS.PX.BOR._.2C5.PV'!$B$10:$L$38,11,FALSE),0)</f>
        <v>0</v>
      </c>
      <c r="DQ33" s="112">
        <f>IFERROR(VLOOKUP($O33,'2026_PVS.PX.COR._.TC8.PV'!$B$10:$L$38,11,FALSE),0)</f>
        <v>0</v>
      </c>
      <c r="DR33" s="112">
        <f>IFERROR(VLOOKUP($O33,'2025_PVS.PX.UWY._.SER.PV'!$B$10:$L$38,11,FALSE),0)</f>
        <v>0</v>
      </c>
      <c r="DS33" s="112">
        <f>IFERROR(VLOOKUP($O33,'2025_PVS.PX.WYE._.SER.PV'!$B$10:$L$38,11,FALSE),0)</f>
        <v>0</v>
      </c>
      <c r="DT33" s="112">
        <f>IFERROR(VLOOKUP($O33,'2026_PVS.PX.CLV.1.TC4.PV'!$B$10:$L$38,11,FALSE),0)</f>
        <v>0</v>
      </c>
      <c r="DU33" s="112">
        <f>IFERROR(VLOOKUP($O33,'2025_PVS.PX.UTS._.SER.PV'!$B$10:$L$38,11,FALSE),0)</f>
        <v>0</v>
      </c>
      <c r="DV33" s="112">
        <f>IFERROR(VLOOKUP($O33,'2029_PVS.PX.GOE.1.A43.PV'!$B$10:$L$38,11,FALSE),0)</f>
        <v>0</v>
      </c>
      <c r="DW33" s="264"/>
      <c r="DX33" s="264"/>
      <c r="DY33" s="112">
        <f>IFERROR(VLOOKUP($O33,'NonE 303MW (UT) 2030'!$B$16:$H$36,7,FALSE),0)</f>
        <v>0</v>
      </c>
      <c r="DZ33" s="264"/>
      <c r="EA33" s="264"/>
      <c r="EB33" s="264"/>
      <c r="EC33" s="264"/>
      <c r="ED33" s="264"/>
      <c r="EI33" t="e">
        <f>SUM(BE$13:BE33)*CT33/1000</f>
        <v>#N/A</v>
      </c>
      <c r="EJ33" t="e">
        <f>SUM(BF$13:BF33)*CU33/1000</f>
        <v>#N/A</v>
      </c>
      <c r="EK33" t="e">
        <f>SUM(BG$13:BG33)*CV33/1000</f>
        <v>#N/A</v>
      </c>
      <c r="EL33" t="e">
        <f>SUM(BH$13:BH33)*CW33/1000</f>
        <v>#N/A</v>
      </c>
      <c r="EM33" t="e">
        <f>SUM(BI$13:BI33)*CX33/1000</f>
        <v>#N/A</v>
      </c>
      <c r="EN33" t="e">
        <f>SUM(BJ$13:BJ33)*CY33/1000</f>
        <v>#N/A</v>
      </c>
      <c r="EO33" t="e">
        <f>SUM(BK$13:BK33)*CZ33/1000</f>
        <v>#N/A</v>
      </c>
      <c r="EP33" t="e">
        <f>SUM(BL$13:BL33)*DA33/1000</f>
        <v>#N/A</v>
      </c>
      <c r="EQ33" t="e">
        <f>SUM(BM$13:BM33)*DB33/1000</f>
        <v>#N/A</v>
      </c>
      <c r="ER33" t="e">
        <f>SUM(BN$13:BN33)*DC33/1000</f>
        <v>#N/A</v>
      </c>
      <c r="ES33" t="e">
        <f>SUM(BO$13:BO33)*DD33/1000</f>
        <v>#N/A</v>
      </c>
      <c r="ET33" t="e">
        <f>SUM(BP$13:BP33)*DE33/1000</f>
        <v>#N/A</v>
      </c>
      <c r="EU33" t="e">
        <f>SUM(BQ$13:BQ33)*DF33/1000</f>
        <v>#N/A</v>
      </c>
      <c r="EV33" t="e">
        <f>SUM(BR$13:BR33)*DG33/1000</f>
        <v>#N/A</v>
      </c>
      <c r="EW33" t="e">
        <f>SUM(BS$13:BS33)*DH33/1000</f>
        <v>#N/A</v>
      </c>
      <c r="EX33" t="e">
        <f>SUM(BT$13:BT33)*DI33/1000</f>
        <v>#N/A</v>
      </c>
      <c r="EY33" t="e">
        <f>SUM(BU$13:BU33)*DJ33/1000</f>
        <v>#N/A</v>
      </c>
      <c r="EZ33" t="e">
        <f>SUM(BV$13:BV33)*DK33/1000</f>
        <v>#N/A</v>
      </c>
      <c r="FA33" t="e">
        <f>SUM(BW$13:BW33)*DL33/1000</f>
        <v>#N/A</v>
      </c>
      <c r="FB33" t="e">
        <f>SUM(BX$13:BX33)*DM33/1000</f>
        <v>#N/A</v>
      </c>
      <c r="FC33" t="e">
        <f>SUM(BY$13:BY33)*DN33/1000</f>
        <v>#N/A</v>
      </c>
      <c r="FD33" t="e">
        <f>SUM(BZ$13:BZ33)*DO33/1000</f>
        <v>#N/A</v>
      </c>
      <c r="FE33" t="e">
        <f>SUM(CA$13:CA33)*DP33/1000</f>
        <v>#N/A</v>
      </c>
      <c r="FF33" t="e">
        <f>SUM(CB$13:CB33)*DQ33/1000</f>
        <v>#N/A</v>
      </c>
      <c r="FG33" t="e">
        <f>SUM(CC$13:CC33)*DR33/1000</f>
        <v>#N/A</v>
      </c>
      <c r="FH33" t="e">
        <f>SUM(CD$13:CD33)*DS33/1000</f>
        <v>#N/A</v>
      </c>
      <c r="FI33" t="e">
        <f>SUM(CE$13:CE33)*DT33/1000</f>
        <v>#N/A</v>
      </c>
      <c r="FJ33" t="e">
        <f>SUM(CF$13:CF33)*DU33/1000</f>
        <v>#N/A</v>
      </c>
      <c r="FK33" t="e">
        <f>SUM(CG$13:CG33)*DV33/1000</f>
        <v>#N/A</v>
      </c>
      <c r="FL33" t="e">
        <f>SUM(CH$13:CH33)*DW33/1000</f>
        <v>#N/A</v>
      </c>
      <c r="FM33" t="e">
        <f>SUM(CI$13:CI33)*DX33/1000</f>
        <v>#N/A</v>
      </c>
      <c r="FN33" t="e">
        <f>SUM(CJ$13:CJ33)*DY33/1000</f>
        <v>#N/A</v>
      </c>
      <c r="FO33" t="e">
        <f>SUM(CK$13:CK33)*DZ33/1000</f>
        <v>#N/A</v>
      </c>
      <c r="FP33" t="e">
        <f>SUM(CL$13:CL33)*EA33/1000</f>
        <v>#N/A</v>
      </c>
      <c r="FW33" t="e">
        <f t="shared" ref="FW33:FW35" si="138">SUM(EI33:FV33)</f>
        <v>#N/A</v>
      </c>
      <c r="FY33">
        <f t="shared" ref="FY33:FY35" si="139">O33</f>
        <v>6</v>
      </c>
      <c r="FZ33" s="78">
        <f>IFERROR(VLOOKUP($FY33,'Table 3 TransCost'!$AA$10:$AD$32,4,FALSE),0)</f>
        <v>0</v>
      </c>
      <c r="GA33" s="143">
        <f t="shared" ref="GA33:GA35" si="140">$FZ$5*FZ33/1000</f>
        <v>0</v>
      </c>
    </row>
    <row r="34" spans="1:183" hidden="1">
      <c r="B34" s="13">
        <f t="shared" si="79"/>
        <v>7</v>
      </c>
      <c r="C34" s="8"/>
      <c r="D34" s="41"/>
      <c r="E34" s="8"/>
      <c r="F34" s="34"/>
      <c r="G34" s="12"/>
      <c r="H34" s="34"/>
      <c r="I34" s="143"/>
      <c r="J34" s="143"/>
      <c r="M34" s="97"/>
      <c r="O34">
        <f t="shared" ref="O34" si="141">B34</f>
        <v>7</v>
      </c>
      <c r="P34" t="e">
        <v>#N/A</v>
      </c>
      <c r="Q34" t="e">
        <v>#N/A</v>
      </c>
      <c r="R34" t="e">
        <v>#N/A</v>
      </c>
      <c r="S34" t="e">
        <v>#N/A</v>
      </c>
      <c r="T34" t="e">
        <v>#N/A</v>
      </c>
      <c r="U34" t="e">
        <v>#N/A</v>
      </c>
      <c r="V34" t="e">
        <v>#N/A</v>
      </c>
      <c r="W34" t="e">
        <v>#N/A</v>
      </c>
      <c r="X34" t="e">
        <v>#N/A</v>
      </c>
      <c r="Y34" t="e">
        <v>#N/A</v>
      </c>
      <c r="Z34" t="e">
        <v>#N/A</v>
      </c>
      <c r="AA34" t="e">
        <v>#N/A</v>
      </c>
      <c r="AB34" t="e">
        <v>#N/A</v>
      </c>
      <c r="AC34" t="e">
        <v>#N/A</v>
      </c>
      <c r="AD34" t="e">
        <v>#N/A</v>
      </c>
      <c r="AE34" t="e">
        <v>#N/A</v>
      </c>
      <c r="AF34" t="e">
        <v>#N/A</v>
      </c>
      <c r="AG34" t="e">
        <v>#N/A</v>
      </c>
      <c r="AH34" t="e">
        <v>#N/A</v>
      </c>
      <c r="AI34" t="e">
        <v>#N/A</v>
      </c>
      <c r="AJ34" t="e">
        <v>#N/A</v>
      </c>
      <c r="AK34" t="e">
        <v>#N/A</v>
      </c>
      <c r="AL34" t="e">
        <v>#N/A</v>
      </c>
      <c r="AM34" t="e">
        <v>#N/A</v>
      </c>
      <c r="AN34" t="e">
        <v>#N/A</v>
      </c>
      <c r="AO34" t="e">
        <v>#N/A</v>
      </c>
      <c r="AP34" t="e">
        <v>#N/A</v>
      </c>
      <c r="AQ34" t="e">
        <v>#N/A</v>
      </c>
      <c r="AR34" t="e">
        <v>#N/A</v>
      </c>
      <c r="AS34" t="e">
        <v>#N/A</v>
      </c>
      <c r="AT34" t="e">
        <v>#N/A</v>
      </c>
      <c r="AU34" t="e">
        <v>#N/A</v>
      </c>
      <c r="AV34" t="e">
        <v>#N/A</v>
      </c>
      <c r="AW34" t="e">
        <v>#N/A</v>
      </c>
      <c r="AX34" t="e">
        <v>#N/A</v>
      </c>
      <c r="BE34" t="e">
        <f t="shared" si="103"/>
        <v>#N/A</v>
      </c>
      <c r="BF34" t="e">
        <f t="shared" si="104"/>
        <v>#N/A</v>
      </c>
      <c r="BG34" t="e">
        <f t="shared" si="105"/>
        <v>#N/A</v>
      </c>
      <c r="BH34" t="e">
        <f t="shared" si="106"/>
        <v>#N/A</v>
      </c>
      <c r="BI34" t="e">
        <f t="shared" si="107"/>
        <v>#N/A</v>
      </c>
      <c r="BJ34" t="e">
        <f t="shared" si="108"/>
        <v>#N/A</v>
      </c>
      <c r="BK34" t="e">
        <f t="shared" si="109"/>
        <v>#N/A</v>
      </c>
      <c r="BL34" t="e">
        <f t="shared" si="110"/>
        <v>#N/A</v>
      </c>
      <c r="BM34" t="e">
        <f t="shared" si="111"/>
        <v>#N/A</v>
      </c>
      <c r="BN34" t="e">
        <f t="shared" si="112"/>
        <v>#N/A</v>
      </c>
      <c r="BO34" t="e">
        <f t="shared" si="113"/>
        <v>#N/A</v>
      </c>
      <c r="BP34" t="e">
        <f t="shared" si="114"/>
        <v>#N/A</v>
      </c>
      <c r="BQ34" t="e">
        <f t="shared" si="115"/>
        <v>#N/A</v>
      </c>
      <c r="BR34" t="e">
        <f t="shared" si="116"/>
        <v>#N/A</v>
      </c>
      <c r="BS34" t="e">
        <f t="shared" si="117"/>
        <v>#N/A</v>
      </c>
      <c r="BT34" t="e">
        <f t="shared" si="118"/>
        <v>#N/A</v>
      </c>
      <c r="BU34" t="e">
        <f t="shared" si="119"/>
        <v>#N/A</v>
      </c>
      <c r="BV34" t="e">
        <f t="shared" si="120"/>
        <v>#N/A</v>
      </c>
      <c r="BW34" t="e">
        <f t="shared" si="121"/>
        <v>#N/A</v>
      </c>
      <c r="BX34" t="e">
        <f t="shared" si="122"/>
        <v>#N/A</v>
      </c>
      <c r="BY34" t="e">
        <f t="shared" si="123"/>
        <v>#N/A</v>
      </c>
      <c r="BZ34" t="e">
        <f t="shared" si="124"/>
        <v>#N/A</v>
      </c>
      <c r="CA34" t="e">
        <f t="shared" si="125"/>
        <v>#N/A</v>
      </c>
      <c r="CB34" t="e">
        <f t="shared" si="126"/>
        <v>#N/A</v>
      </c>
      <c r="CC34" t="e">
        <f t="shared" si="127"/>
        <v>#N/A</v>
      </c>
      <c r="CD34" t="e">
        <f t="shared" si="128"/>
        <v>#N/A</v>
      </c>
      <c r="CE34" t="e">
        <f t="shared" si="129"/>
        <v>#N/A</v>
      </c>
      <c r="CF34" t="e">
        <f t="shared" si="130"/>
        <v>#N/A</v>
      </c>
      <c r="CG34" t="e">
        <f t="shared" si="131"/>
        <v>#N/A</v>
      </c>
      <c r="CH34" t="e">
        <f t="shared" si="132"/>
        <v>#N/A</v>
      </c>
      <c r="CI34" t="e">
        <f t="shared" si="133"/>
        <v>#N/A</v>
      </c>
      <c r="CJ34" t="e">
        <f t="shared" si="134"/>
        <v>#N/A</v>
      </c>
      <c r="CK34" t="e">
        <f t="shared" si="135"/>
        <v>#N/A</v>
      </c>
      <c r="CL34" t="e">
        <f t="shared" si="136"/>
        <v>#N/A</v>
      </c>
      <c r="CS34">
        <f t="shared" si="137"/>
        <v>7</v>
      </c>
      <c r="CT34" s="112">
        <f>IFERROR(VLOOKUP($O34,'2029_WD_.PX.WYE._.PTC.WD'!$B$10:$L$38,11,FALSE),0)</f>
        <v>0</v>
      </c>
      <c r="CU34" s="112">
        <f>IFERROR(VLOOKUP($O34,'2032_WD_.PX.WYN._.PTC.WD'!$B$10:$L$38,11,FALSE),0)</f>
        <v>0</v>
      </c>
      <c r="CV34" s="112">
        <f>IFERROR(VLOOKUP($O34,'2028_WD_.PX.BOR._.PTC.WD'!$B$10:$L$38,11,FALSE),0)</f>
        <v>0</v>
      </c>
      <c r="CW34" s="112">
        <f>IFERROR(VLOOKUP($O34,'2029_WD_.PX.BDG._.PTC.Bridger.W'!$B$10:$L$38,11,FALSE),0)</f>
        <v>0</v>
      </c>
      <c r="CX34" s="112">
        <f>IFERROR(VLOOKUP($O34,'2025_WD_.PX.UWY._.SER.WD'!$B$10:$L$38,11,FALSE),0)</f>
        <v>0</v>
      </c>
      <c r="CY34" s="112">
        <f>IFERROR(VLOOKUP($O34,'2025_WD_.PX.WYE._.SER.WD'!$B$10:$L$38,11,FALSE),0)</f>
        <v>0</v>
      </c>
      <c r="CZ34" s="112">
        <f>IFERROR(VLOOKUP($O34,'2029_WD_.PX.WYE.1.A01.WD'!$B$10:$L$38,11,FALSE),0)</f>
        <v>0</v>
      </c>
      <c r="DA34" s="112">
        <f>IFERROR(VLOOKUP($O34,'2032_WD_.PX.YAK._.PTC.WD'!$B$10:$L$38,11,FALSE),0)</f>
        <v>0</v>
      </c>
      <c r="DB34" s="112">
        <f>IFERROR(VLOOKUP($O34,'2032_WD_.PX.WYE._.PTC.Djohns.WD'!$B$10:$L$38,11,FALSE),0)</f>
        <v>0</v>
      </c>
      <c r="DC34" s="112">
        <f>IFERROR(VLOOKUP($O34,'2027_WD_.PX.WWA._.215.WD'!$B$10:$L$38,11,FALSE),0)</f>
        <v>0</v>
      </c>
      <c r="DD34" s="112">
        <f>IFERROR(VLOOKUP($O34,'2032_WD_.PX.PNC._.PTC.WD'!$B$10:$L$38,11,FALSE),0)</f>
        <v>0</v>
      </c>
      <c r="DE34" s="112">
        <f>IFERROR(VLOOKUP($O34,'2032_WD_.PX.WWA._.PTC.WD'!$B$10:$L$38,11,FALSE),0)</f>
        <v>0</v>
      </c>
      <c r="DF34" s="112">
        <f>IFERROR(VLOOKUP($O34,'2032_WD_.PX.SOR._.PTC.WD'!$B$10:$L$38,11,FALSE),0)</f>
        <v>0</v>
      </c>
      <c r="DG34" s="112">
        <f>IFERROR(VLOOKUP($O34,'2028_PV_.PX.BOR._.PTC.PV'!$B$10:$L$38,11,FALSE),0)</f>
        <v>0</v>
      </c>
      <c r="DH34" s="112">
        <f>IFERROR(VLOOKUP($O34,'2025_PV_.PX.UWY._.SER.PV'!$B$10:$L$38,11,FALSE),0)</f>
        <v>0</v>
      </c>
      <c r="DI34" s="112">
        <f>IFERROR(VLOOKUP($O34,'2028_PV_.PX.UTS._.PTC.Hunter.PV'!$B$10:$L$38,11,FALSE),0)</f>
        <v>0</v>
      </c>
      <c r="DJ34" s="112">
        <f>IFERROR(VLOOKUP($O34,'2028_PV_.PX.UTS._.PTC.Huntingto'!$B$10:$L$38,11,FALSE),0)</f>
        <v>0</v>
      </c>
      <c r="DK34" s="112">
        <f>IFERROR(VLOOKUP($O34,'2025_PV_.PX.UTS._.SER.PV'!$B$10:$L$38,11,FALSE),0)</f>
        <v>0</v>
      </c>
      <c r="DL34" s="112">
        <f>IFERROR(VLOOKUP($O34,'2026_PVS.PX.YAK._.110.PV'!$B$10:$L$38,11,FALSE),0)</f>
        <v>0</v>
      </c>
      <c r="DM34" s="112">
        <f>IFERROR(VLOOKUP($O34,'2027_PVS.PX.WWA._.215.PV'!$B$10:$L$38,11,FALSE),0)</f>
        <v>0</v>
      </c>
      <c r="DN34" s="112">
        <f>IFERROR(VLOOKUP($O34,'2025_PVS.PX.WMV._.222.PV'!$B$10:$L$38,11,FALSE),0)</f>
        <v>0</v>
      </c>
      <c r="DO34" s="112">
        <f>IFERROR(VLOOKUP($O34,'2026_PVS.PX.WMV._.223.PV'!$B$10:$L$38,11,FALSE),0)</f>
        <v>0</v>
      </c>
      <c r="DP34" s="112">
        <f>IFERROR(VLOOKUP($O34,'2026_PVS.PX.BOR._.2C5.PV'!$B$10:$L$38,11,FALSE),0)</f>
        <v>0</v>
      </c>
      <c r="DQ34" s="112">
        <f>IFERROR(VLOOKUP($O34,'2026_PVS.PX.COR._.TC8.PV'!$B$10:$L$38,11,FALSE),0)</f>
        <v>0</v>
      </c>
      <c r="DR34" s="112">
        <f>IFERROR(VLOOKUP($O34,'2025_PVS.PX.UWY._.SER.PV'!$B$10:$L$38,11,FALSE),0)</f>
        <v>0</v>
      </c>
      <c r="DS34" s="112">
        <f>IFERROR(VLOOKUP($O34,'2025_PVS.PX.WYE._.SER.PV'!$B$10:$L$38,11,FALSE),0)</f>
        <v>0</v>
      </c>
      <c r="DT34" s="112">
        <f>IFERROR(VLOOKUP($O34,'2026_PVS.PX.CLV.1.TC4.PV'!$B$10:$L$38,11,FALSE),0)</f>
        <v>0</v>
      </c>
      <c r="DU34" s="112">
        <f>IFERROR(VLOOKUP($O34,'2025_PVS.PX.UTS._.SER.PV'!$B$10:$L$38,11,FALSE),0)</f>
        <v>0</v>
      </c>
      <c r="DV34" s="112">
        <f>IFERROR(VLOOKUP($O34,'2029_PVS.PX.GOE.1.A43.PV'!$B$10:$L$38,11,FALSE),0)</f>
        <v>0</v>
      </c>
      <c r="DW34" s="264"/>
      <c r="DX34" s="264"/>
      <c r="DY34" s="112">
        <f>IFERROR(VLOOKUP($O34,'NonE 303MW (UT) 2030'!$B$16:$H$36,7,FALSE),0)</f>
        <v>0</v>
      </c>
      <c r="DZ34" s="264"/>
      <c r="EA34" s="264"/>
      <c r="EB34" s="264"/>
      <c r="EC34" s="264"/>
      <c r="ED34" s="264"/>
      <c r="EI34" t="e">
        <f>SUM(BE$13:BE34)*CT34/1000</f>
        <v>#N/A</v>
      </c>
      <c r="EJ34" t="e">
        <f>SUM(BF$13:BF34)*CU34/1000</f>
        <v>#N/A</v>
      </c>
      <c r="EK34" t="e">
        <f>SUM(BG$13:BG34)*CV34/1000</f>
        <v>#N/A</v>
      </c>
      <c r="EL34" t="e">
        <f>SUM(BH$13:BH34)*CW34/1000</f>
        <v>#N/A</v>
      </c>
      <c r="EM34" t="e">
        <f>SUM(BI$13:BI34)*CX34/1000</f>
        <v>#N/A</v>
      </c>
      <c r="EN34" t="e">
        <f>SUM(BJ$13:BJ34)*CY34/1000</f>
        <v>#N/A</v>
      </c>
      <c r="EO34" t="e">
        <f>SUM(BK$13:BK34)*CZ34/1000</f>
        <v>#N/A</v>
      </c>
      <c r="EP34" t="e">
        <f>SUM(BL$13:BL34)*DA34/1000</f>
        <v>#N/A</v>
      </c>
      <c r="EQ34" t="e">
        <f>SUM(BM$13:BM34)*DB34/1000</f>
        <v>#N/A</v>
      </c>
      <c r="ER34" t="e">
        <f>SUM(BN$13:BN34)*DC34/1000</f>
        <v>#N/A</v>
      </c>
      <c r="ES34" t="e">
        <f>SUM(BO$13:BO34)*DD34/1000</f>
        <v>#N/A</v>
      </c>
      <c r="ET34" t="e">
        <f>SUM(BP$13:BP34)*DE34/1000</f>
        <v>#N/A</v>
      </c>
      <c r="EU34" t="e">
        <f>SUM(BQ$13:BQ34)*DF34/1000</f>
        <v>#N/A</v>
      </c>
      <c r="EV34" t="e">
        <f>SUM(BR$13:BR34)*DG34/1000</f>
        <v>#N/A</v>
      </c>
      <c r="EW34" t="e">
        <f>SUM(BS$13:BS34)*DH34/1000</f>
        <v>#N/A</v>
      </c>
      <c r="EX34" t="e">
        <f>SUM(BT$13:BT34)*DI34/1000</f>
        <v>#N/A</v>
      </c>
      <c r="EY34" t="e">
        <f>SUM(BU$13:BU34)*DJ34/1000</f>
        <v>#N/A</v>
      </c>
      <c r="EZ34" t="e">
        <f>SUM(BV$13:BV34)*DK34/1000</f>
        <v>#N/A</v>
      </c>
      <c r="FA34" t="e">
        <f>SUM(BW$13:BW34)*DL34/1000</f>
        <v>#N/A</v>
      </c>
      <c r="FB34" t="e">
        <f>SUM(BX$13:BX34)*DM34/1000</f>
        <v>#N/A</v>
      </c>
      <c r="FC34" t="e">
        <f>SUM(BY$13:BY34)*DN34/1000</f>
        <v>#N/A</v>
      </c>
      <c r="FD34" t="e">
        <f>SUM(BZ$13:BZ34)*DO34/1000</f>
        <v>#N/A</v>
      </c>
      <c r="FE34" t="e">
        <f>SUM(CA$13:CA34)*DP34/1000</f>
        <v>#N/A</v>
      </c>
      <c r="FF34" t="e">
        <f>SUM(CB$13:CB34)*DQ34/1000</f>
        <v>#N/A</v>
      </c>
      <c r="FG34" t="e">
        <f>SUM(CC$13:CC34)*DR34/1000</f>
        <v>#N/A</v>
      </c>
      <c r="FH34" t="e">
        <f>SUM(CD$13:CD34)*DS34/1000</f>
        <v>#N/A</v>
      </c>
      <c r="FI34" t="e">
        <f>SUM(CE$13:CE34)*DT34/1000</f>
        <v>#N/A</v>
      </c>
      <c r="FJ34" t="e">
        <f>SUM(CF$13:CF34)*DU34/1000</f>
        <v>#N/A</v>
      </c>
      <c r="FK34" t="e">
        <f>SUM(CG$13:CG34)*DV34/1000</f>
        <v>#N/A</v>
      </c>
      <c r="FL34" t="e">
        <f>SUM(CH$13:CH34)*DW34/1000</f>
        <v>#N/A</v>
      </c>
      <c r="FM34" t="e">
        <f>SUM(CI$13:CI34)*DX34/1000</f>
        <v>#N/A</v>
      </c>
      <c r="FN34" t="e">
        <f>SUM(CJ$13:CJ34)*DY34/1000</f>
        <v>#N/A</v>
      </c>
      <c r="FO34" t="e">
        <f>SUM(CK$13:CK34)*DZ34/1000</f>
        <v>#N/A</v>
      </c>
      <c r="FP34" t="e">
        <f>SUM(CL$13:CL34)*EA34/1000</f>
        <v>#N/A</v>
      </c>
      <c r="FW34" t="e">
        <f t="shared" si="138"/>
        <v>#N/A</v>
      </c>
      <c r="FY34">
        <f t="shared" si="139"/>
        <v>7</v>
      </c>
      <c r="FZ34" s="78">
        <f>IFERROR(VLOOKUP($FY34,'Table 3 TransCost'!$AA$10:$AD$32,4,FALSE),0)</f>
        <v>0</v>
      </c>
      <c r="GA34" s="143">
        <f t="shared" si="140"/>
        <v>0</v>
      </c>
    </row>
    <row r="35" spans="1:183">
      <c r="B35" s="13"/>
      <c r="C35" s="8"/>
      <c r="D35" s="41"/>
      <c r="E35" s="8"/>
      <c r="F35" s="34"/>
      <c r="G35" s="12"/>
      <c r="H35" s="34"/>
      <c r="I35" s="143"/>
      <c r="J35" s="143"/>
      <c r="M35" s="97"/>
      <c r="BE35">
        <f t="shared" si="103"/>
        <v>0</v>
      </c>
      <c r="BF35">
        <f t="shared" si="104"/>
        <v>0</v>
      </c>
      <c r="BG35">
        <f t="shared" si="105"/>
        <v>0</v>
      </c>
      <c r="BH35">
        <f t="shared" si="106"/>
        <v>0</v>
      </c>
      <c r="BI35">
        <f t="shared" si="107"/>
        <v>0</v>
      </c>
      <c r="BJ35">
        <f t="shared" si="108"/>
        <v>0</v>
      </c>
      <c r="BK35">
        <f t="shared" si="109"/>
        <v>0</v>
      </c>
      <c r="BL35">
        <f t="shared" si="110"/>
        <v>0</v>
      </c>
      <c r="BM35">
        <f t="shared" si="111"/>
        <v>0</v>
      </c>
      <c r="BN35">
        <f t="shared" si="112"/>
        <v>0</v>
      </c>
      <c r="BO35">
        <f t="shared" si="113"/>
        <v>0</v>
      </c>
      <c r="BP35">
        <f t="shared" si="114"/>
        <v>0</v>
      </c>
      <c r="BQ35">
        <f t="shared" si="115"/>
        <v>0</v>
      </c>
      <c r="BR35">
        <f t="shared" si="116"/>
        <v>0</v>
      </c>
      <c r="BS35">
        <f t="shared" si="117"/>
        <v>0</v>
      </c>
      <c r="BT35">
        <f t="shared" si="118"/>
        <v>0</v>
      </c>
      <c r="BU35">
        <f t="shared" si="119"/>
        <v>0</v>
      </c>
      <c r="BV35">
        <f t="shared" si="120"/>
        <v>0</v>
      </c>
      <c r="BW35">
        <f t="shared" si="121"/>
        <v>0</v>
      </c>
      <c r="BX35">
        <f t="shared" si="122"/>
        <v>0</v>
      </c>
      <c r="BY35">
        <f t="shared" si="123"/>
        <v>0</v>
      </c>
      <c r="BZ35">
        <f t="shared" si="124"/>
        <v>0</v>
      </c>
      <c r="CA35">
        <f t="shared" si="125"/>
        <v>0</v>
      </c>
      <c r="CB35">
        <f t="shared" si="126"/>
        <v>0</v>
      </c>
      <c r="CC35">
        <f t="shared" si="127"/>
        <v>0</v>
      </c>
      <c r="CD35">
        <f t="shared" si="128"/>
        <v>0</v>
      </c>
      <c r="CE35">
        <f t="shared" si="129"/>
        <v>0</v>
      </c>
      <c r="CF35">
        <f t="shared" si="130"/>
        <v>0</v>
      </c>
      <c r="CG35">
        <f t="shared" si="131"/>
        <v>0</v>
      </c>
      <c r="CH35">
        <f t="shared" si="132"/>
        <v>0</v>
      </c>
      <c r="CI35">
        <f t="shared" si="133"/>
        <v>0</v>
      </c>
      <c r="CJ35">
        <f t="shared" si="134"/>
        <v>0</v>
      </c>
      <c r="CK35">
        <f t="shared" si="135"/>
        <v>0</v>
      </c>
      <c r="CL35">
        <f t="shared" si="136"/>
        <v>0</v>
      </c>
      <c r="CS35">
        <f t="shared" si="137"/>
        <v>0</v>
      </c>
      <c r="CT35" s="112">
        <f>IFERROR(VLOOKUP($O35,'2029_WD_.PX.WYE._.PTC.WD'!$B$10:$L$38,11,FALSE),0)</f>
        <v>0</v>
      </c>
      <c r="CU35" s="112">
        <f>IFERROR(VLOOKUP($O35,'2032_WD_.PX.WYN._.PTC.WD'!$B$10:$L$38,11,FALSE),0)</f>
        <v>0</v>
      </c>
      <c r="CV35" s="112">
        <f>IFERROR(VLOOKUP($O35,'2028_WD_.PX.BOR._.PTC.WD'!$B$10:$L$38,11,FALSE),0)</f>
        <v>0</v>
      </c>
      <c r="CW35" s="112">
        <f>IFERROR(VLOOKUP($O35,'2029_WD_.PX.BDG._.PTC.Bridger.W'!$B$10:$L$38,11,FALSE),0)</f>
        <v>0</v>
      </c>
      <c r="CX35" s="112">
        <f>IFERROR(VLOOKUP($O35,'2025_WD_.PX.UWY._.SER.WD'!$B$10:$L$38,11,FALSE),0)</f>
        <v>0</v>
      </c>
      <c r="CY35" s="112">
        <f>IFERROR(VLOOKUP($O35,'2025_WD_.PX.WYE._.SER.WD'!$B$10:$L$38,11,FALSE),0)</f>
        <v>0</v>
      </c>
      <c r="CZ35" s="112">
        <f>IFERROR(VLOOKUP($O35,'2029_WD_.PX.WYE.1.A01.WD'!$B$10:$L$38,11,FALSE),0)</f>
        <v>0</v>
      </c>
      <c r="DA35" s="112">
        <f>IFERROR(VLOOKUP($O35,'2032_WD_.PX.YAK._.PTC.WD'!$B$10:$L$38,11,FALSE),0)</f>
        <v>0</v>
      </c>
      <c r="DB35" s="112">
        <f>IFERROR(VLOOKUP($O35,'2032_WD_.PX.WYE._.PTC.Djohns.WD'!$B$10:$L$38,11,FALSE),0)</f>
        <v>0</v>
      </c>
      <c r="DC35" s="112">
        <f>IFERROR(VLOOKUP($O35,'2027_WD_.PX.WWA._.215.WD'!$B$10:$L$38,11,FALSE),0)</f>
        <v>0</v>
      </c>
      <c r="DD35" s="112">
        <f>IFERROR(VLOOKUP($O35,'2032_WD_.PX.PNC._.PTC.WD'!$B$10:$L$38,11,FALSE),0)</f>
        <v>0</v>
      </c>
      <c r="DE35" s="112">
        <f>IFERROR(VLOOKUP($O35,'2032_WD_.PX.WWA._.PTC.WD'!$B$10:$L$38,11,FALSE),0)</f>
        <v>0</v>
      </c>
      <c r="DF35" s="112">
        <f>IFERROR(VLOOKUP($O35,'2032_WD_.PX.SOR._.PTC.WD'!$B$10:$L$38,11,FALSE),0)</f>
        <v>0</v>
      </c>
      <c r="DG35" s="112">
        <f>IFERROR(VLOOKUP($O35,'2028_PV_.PX.BOR._.PTC.PV'!$B$10:$L$38,11,FALSE),0)</f>
        <v>0</v>
      </c>
      <c r="DH35" s="112">
        <f>IFERROR(VLOOKUP($O35,'2025_PV_.PX.UWY._.SER.PV'!$B$10:$L$38,11,FALSE),0)</f>
        <v>0</v>
      </c>
      <c r="DI35" s="112">
        <f>IFERROR(VLOOKUP($O35,'2028_PV_.PX.UTS._.PTC.Hunter.PV'!$B$10:$L$38,11,FALSE),0)</f>
        <v>0</v>
      </c>
      <c r="DJ35" s="112">
        <f>IFERROR(VLOOKUP($O35,'2028_PV_.PX.UTS._.PTC.Huntingto'!$B$10:$L$38,11,FALSE),0)</f>
        <v>0</v>
      </c>
      <c r="DK35" s="112">
        <f>IFERROR(VLOOKUP($O35,'2025_PV_.PX.UTS._.SER.PV'!$B$10:$L$38,11,FALSE),0)</f>
        <v>0</v>
      </c>
      <c r="DL35" s="112">
        <f>IFERROR(VLOOKUP($O35,'2026_PVS.PX.YAK._.110.PV'!$B$10:$L$38,11,FALSE),0)</f>
        <v>0</v>
      </c>
      <c r="DM35" s="112">
        <f>IFERROR(VLOOKUP($O35,'2027_PVS.PX.WWA._.215.PV'!$B$10:$L$38,11,FALSE),0)</f>
        <v>0</v>
      </c>
      <c r="DN35" s="112">
        <f>IFERROR(VLOOKUP($O35,'2025_PVS.PX.WMV._.222.PV'!$B$10:$L$38,11,FALSE),0)</f>
        <v>0</v>
      </c>
      <c r="DO35" s="112">
        <f>IFERROR(VLOOKUP($O35,'2026_PVS.PX.WMV._.223.PV'!$B$10:$L$38,11,FALSE),0)</f>
        <v>0</v>
      </c>
      <c r="DP35" s="112">
        <f>IFERROR(VLOOKUP($O35,'2026_PVS.PX.BOR._.2C5.PV'!$B$10:$L$38,11,FALSE),0)</f>
        <v>0</v>
      </c>
      <c r="DQ35" s="112">
        <f>IFERROR(VLOOKUP($O35,'2026_PVS.PX.COR._.TC8.PV'!$B$10:$L$38,11,FALSE),0)</f>
        <v>0</v>
      </c>
      <c r="DR35" s="112">
        <f>IFERROR(VLOOKUP($O35,'2025_PVS.PX.UWY._.SER.PV'!$B$10:$L$38,11,FALSE),0)</f>
        <v>0</v>
      </c>
      <c r="DS35" s="112">
        <f>IFERROR(VLOOKUP($O35,'2025_PVS.PX.WYE._.SER.PV'!$B$10:$L$38,11,FALSE),0)</f>
        <v>0</v>
      </c>
      <c r="DT35" s="112">
        <f>IFERROR(VLOOKUP($O35,'2026_PVS.PX.CLV.1.TC4.PV'!$B$10:$L$38,11,FALSE),0)</f>
        <v>0</v>
      </c>
      <c r="DU35" s="112">
        <f>IFERROR(VLOOKUP($O35,'2025_PVS.PX.UTS._.SER.PV'!$B$10:$L$38,11,FALSE),0)</f>
        <v>0</v>
      </c>
      <c r="DV35" s="112">
        <f>IFERROR(VLOOKUP($O35,'2029_PVS.PX.GOE.1.A43.PV'!$B$10:$L$38,11,FALSE),0)</f>
        <v>0</v>
      </c>
      <c r="DW35" s="264"/>
      <c r="DX35" s="264"/>
      <c r="DY35" s="112">
        <f>IFERROR(VLOOKUP($O35,'NonE 303MW (UT) 2030'!$B$16:$H$36,7,FALSE),0)</f>
        <v>0</v>
      </c>
      <c r="DZ35" s="264"/>
      <c r="EA35" s="264"/>
      <c r="EB35" s="264"/>
      <c r="EC35" s="264"/>
      <c r="ED35" s="264"/>
      <c r="EI35" t="e">
        <f>SUM(BE$13:BE35)*CT35/1000</f>
        <v>#N/A</v>
      </c>
      <c r="EJ35" t="e">
        <f>SUM(BF$13:BF35)*CU35/1000</f>
        <v>#N/A</v>
      </c>
      <c r="EK35" t="e">
        <f>SUM(BG$13:BG35)*CV35/1000</f>
        <v>#N/A</v>
      </c>
      <c r="EL35" t="e">
        <f>SUM(BH$13:BH35)*CW35/1000</f>
        <v>#N/A</v>
      </c>
      <c r="EM35" t="e">
        <f>SUM(BI$13:BI35)*CX35/1000</f>
        <v>#N/A</v>
      </c>
      <c r="EN35" t="e">
        <f>SUM(BJ$13:BJ35)*CY35/1000</f>
        <v>#N/A</v>
      </c>
      <c r="EO35" t="e">
        <f>SUM(BK$13:BK35)*CZ35/1000</f>
        <v>#N/A</v>
      </c>
      <c r="EP35" t="e">
        <f>SUM(BL$13:BL35)*DA35/1000</f>
        <v>#N/A</v>
      </c>
      <c r="EQ35" t="e">
        <f>SUM(BM$13:BM35)*DB35/1000</f>
        <v>#N/A</v>
      </c>
      <c r="ER35" t="e">
        <f>SUM(BN$13:BN35)*DC35/1000</f>
        <v>#N/A</v>
      </c>
      <c r="ES35" t="e">
        <f>SUM(BO$13:BO35)*DD35/1000</f>
        <v>#N/A</v>
      </c>
      <c r="ET35" t="e">
        <f>SUM(BP$13:BP35)*DE35/1000</f>
        <v>#N/A</v>
      </c>
      <c r="EU35" t="e">
        <f>SUM(BQ$13:BQ35)*DF35/1000</f>
        <v>#N/A</v>
      </c>
      <c r="EV35" t="e">
        <f>SUM(BR$13:BR35)*DG35/1000</f>
        <v>#N/A</v>
      </c>
      <c r="EW35" t="e">
        <f>SUM(BS$13:BS35)*DH35/1000</f>
        <v>#N/A</v>
      </c>
      <c r="EX35" t="e">
        <f>SUM(BT$13:BT35)*DI35/1000</f>
        <v>#N/A</v>
      </c>
      <c r="EY35" t="e">
        <f>SUM(BU$13:BU35)*DJ35/1000</f>
        <v>#N/A</v>
      </c>
      <c r="EZ35" t="e">
        <f>SUM(BV$13:BV35)*DK35/1000</f>
        <v>#N/A</v>
      </c>
      <c r="FA35" t="e">
        <f>SUM(BW$13:BW35)*DL35/1000</f>
        <v>#N/A</v>
      </c>
      <c r="FB35" t="e">
        <f>SUM(BX$13:BX35)*DM35/1000</f>
        <v>#N/A</v>
      </c>
      <c r="FC35" t="e">
        <f>SUM(BY$13:BY35)*DN35/1000</f>
        <v>#N/A</v>
      </c>
      <c r="FD35" t="e">
        <f>SUM(BZ$13:BZ35)*DO35/1000</f>
        <v>#N/A</v>
      </c>
      <c r="FE35" t="e">
        <f>SUM(CA$13:CA35)*DP35/1000</f>
        <v>#N/A</v>
      </c>
      <c r="FF35" t="e">
        <f>SUM(CB$13:CB35)*DQ35/1000</f>
        <v>#N/A</v>
      </c>
      <c r="FG35" t="e">
        <f>SUM(CC$13:CC35)*DR35/1000</f>
        <v>#N/A</v>
      </c>
      <c r="FH35" t="e">
        <f>SUM(CD$13:CD35)*DS35/1000</f>
        <v>#N/A</v>
      </c>
      <c r="FI35" t="e">
        <f>SUM(CE$13:CE35)*DT35/1000</f>
        <v>#N/A</v>
      </c>
      <c r="FJ35" t="e">
        <f>SUM(CF$13:CF35)*DU35/1000</f>
        <v>#N/A</v>
      </c>
      <c r="FK35" t="e">
        <f>SUM(CG$13:CG35)*DV35/1000</f>
        <v>#N/A</v>
      </c>
      <c r="FL35" t="e">
        <f>SUM(CH$13:CH35)*DW35/1000</f>
        <v>#N/A</v>
      </c>
      <c r="FM35" t="e">
        <f>SUM(CI$13:CI35)*DX35/1000</f>
        <v>#N/A</v>
      </c>
      <c r="FN35" t="e">
        <f>SUM(CJ$13:CJ35)*DY35/1000</f>
        <v>#N/A</v>
      </c>
      <c r="FO35" t="e">
        <f>SUM(CK$13:CK35)*DZ35/1000</f>
        <v>#N/A</v>
      </c>
      <c r="FP35" t="e">
        <f>SUM(CL$13:CL35)*EA35/1000</f>
        <v>#N/A</v>
      </c>
      <c r="FW35" t="e">
        <f t="shared" si="138"/>
        <v>#N/A</v>
      </c>
      <c r="FY35">
        <f t="shared" si="139"/>
        <v>0</v>
      </c>
      <c r="FZ35" s="78">
        <f>IFERROR(VLOOKUP($FY35,'Table 3 TransCost'!$AA$10:$AD$32,4,FALSE),0)</f>
        <v>0</v>
      </c>
      <c r="GA35" s="143">
        <f t="shared" si="140"/>
        <v>0</v>
      </c>
    </row>
    <row r="36" spans="1:183" hidden="1">
      <c r="B36" s="13"/>
      <c r="C36" s="8"/>
      <c r="D36" s="41"/>
      <c r="E36" s="8"/>
      <c r="F36" s="34"/>
      <c r="G36" s="12"/>
      <c r="H36" s="34"/>
      <c r="I36" s="143"/>
      <c r="J36" s="143"/>
      <c r="M36" s="97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CT36" s="112"/>
      <c r="CU36" s="112"/>
      <c r="CV36" s="112"/>
      <c r="CW36" s="112"/>
      <c r="CX36" s="249"/>
      <c r="CY36" s="112"/>
      <c r="CZ36" s="112"/>
      <c r="DA36" s="249"/>
      <c r="DB36" s="112"/>
      <c r="DC36" s="249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FZ36" s="78"/>
      <c r="GA36" s="143"/>
    </row>
    <row r="37" spans="1:183" hidden="1">
      <c r="B37" s="13"/>
      <c r="C37" s="8"/>
      <c r="D37" s="41"/>
      <c r="E37" s="8"/>
      <c r="F37" s="34"/>
      <c r="G37" s="12"/>
      <c r="H37" s="34"/>
      <c r="I37" s="143"/>
      <c r="J37" s="143"/>
      <c r="M37" s="97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CT37" s="112"/>
      <c r="CU37" s="112"/>
      <c r="CV37" s="112"/>
      <c r="CW37" s="112"/>
      <c r="CX37" s="249"/>
      <c r="CY37" s="112"/>
      <c r="CZ37" s="112"/>
      <c r="DA37" s="249"/>
      <c r="DB37" s="112"/>
      <c r="DC37" s="249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FZ37" s="78"/>
      <c r="GA37" s="143"/>
    </row>
    <row r="38" spans="1:183" hidden="1">
      <c r="B38" s="13"/>
      <c r="C38" s="8"/>
      <c r="D38" s="41"/>
      <c r="E38" s="8"/>
      <c r="F38" s="34"/>
      <c r="G38" s="12"/>
      <c r="H38" s="34"/>
      <c r="I38" s="143"/>
      <c r="J38" s="143"/>
      <c r="M38" s="97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CT38" s="112"/>
      <c r="CU38" s="112"/>
      <c r="CV38" s="112"/>
      <c r="CW38" s="112"/>
      <c r="CX38" s="249"/>
      <c r="CY38" s="112"/>
      <c r="CZ38" s="112"/>
      <c r="DA38" s="249"/>
      <c r="DB38" s="112"/>
      <c r="DC38" s="249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FZ38" s="78"/>
      <c r="GA38" s="143"/>
    </row>
    <row r="39" spans="1:183" hidden="1">
      <c r="B39" s="138"/>
      <c r="C39" s="8"/>
      <c r="D39" s="41"/>
      <c r="E39" s="8"/>
      <c r="F39" s="34"/>
      <c r="G39" s="8"/>
      <c r="H39" s="34"/>
      <c r="I39"/>
      <c r="M39" s="97"/>
      <c r="CX39" t="s">
        <v>139</v>
      </c>
      <c r="DA39" t="s">
        <v>139</v>
      </c>
      <c r="FZ39" s="78"/>
      <c r="GA39" s="143"/>
    </row>
    <row r="40" spans="1:183" ht="12" customHeight="1">
      <c r="B40" s="138"/>
      <c r="C40" s="8"/>
      <c r="D40" s="41"/>
      <c r="E40" s="8"/>
      <c r="F40" s="34"/>
      <c r="G40" s="8"/>
      <c r="H40" s="34"/>
      <c r="I40"/>
      <c r="M40" s="97"/>
      <c r="N40" t="s">
        <v>92</v>
      </c>
      <c r="P40">
        <v>2029</v>
      </c>
      <c r="Q40">
        <v>2032</v>
      </c>
      <c r="R40">
        <v>2028</v>
      </c>
      <c r="S40">
        <v>2029</v>
      </c>
      <c r="T40">
        <v>2025</v>
      </c>
      <c r="U40">
        <v>2025</v>
      </c>
      <c r="V40">
        <v>2029</v>
      </c>
      <c r="W40">
        <v>2028</v>
      </c>
      <c r="X40">
        <v>2032</v>
      </c>
      <c r="Y40">
        <v>2027</v>
      </c>
      <c r="Z40">
        <v>2032</v>
      </c>
      <c r="AA40">
        <v>2032</v>
      </c>
      <c r="AB40">
        <v>2032</v>
      </c>
      <c r="AC40">
        <v>2028</v>
      </c>
      <c r="AD40">
        <v>2025</v>
      </c>
      <c r="AE40">
        <v>2028</v>
      </c>
      <c r="AF40">
        <v>2028</v>
      </c>
      <c r="AG40">
        <v>2025</v>
      </c>
      <c r="AH40">
        <v>2026</v>
      </c>
      <c r="AI40">
        <v>2027</v>
      </c>
      <c r="AJ40">
        <v>2025</v>
      </c>
      <c r="AK40">
        <v>2026</v>
      </c>
      <c r="AL40">
        <v>2026</v>
      </c>
      <c r="AM40">
        <v>2026</v>
      </c>
      <c r="AN40">
        <v>2025</v>
      </c>
      <c r="AO40">
        <v>2025</v>
      </c>
      <c r="AP40">
        <v>2026</v>
      </c>
      <c r="AQ40">
        <v>2025</v>
      </c>
      <c r="AR40">
        <v>2029</v>
      </c>
      <c r="AS40">
        <v>2032</v>
      </c>
      <c r="AT40">
        <v>2033</v>
      </c>
      <c r="AU40">
        <v>2030</v>
      </c>
      <c r="AV40">
        <v>2036</v>
      </c>
      <c r="AW40">
        <v>2037</v>
      </c>
    </row>
    <row r="41" spans="1:183">
      <c r="A41" s="417"/>
      <c r="B41" s="417"/>
      <c r="D41" s="8"/>
      <c r="F41" s="34"/>
      <c r="H41" s="34"/>
      <c r="I41"/>
      <c r="N41" t="s">
        <v>140</v>
      </c>
      <c r="P41" s="172">
        <v>0</v>
      </c>
      <c r="Q41" s="172">
        <v>0</v>
      </c>
      <c r="R41" s="172">
        <v>0</v>
      </c>
      <c r="S41" s="172">
        <v>0</v>
      </c>
      <c r="T41" s="172">
        <v>0</v>
      </c>
      <c r="U41" s="172">
        <v>0</v>
      </c>
      <c r="V41" s="172">
        <v>0</v>
      </c>
      <c r="W41" s="172">
        <v>0</v>
      </c>
      <c r="X41" s="172">
        <v>0</v>
      </c>
      <c r="Y41" s="172">
        <v>0</v>
      </c>
      <c r="Z41" s="172">
        <v>0</v>
      </c>
      <c r="AA41" s="172">
        <v>0</v>
      </c>
      <c r="AB41" s="172">
        <v>0</v>
      </c>
      <c r="AC41" s="172">
        <v>0</v>
      </c>
      <c r="AD41" s="172">
        <v>0</v>
      </c>
      <c r="AE41" s="172">
        <v>0</v>
      </c>
      <c r="AF41" s="172">
        <v>0</v>
      </c>
      <c r="AG41" s="172">
        <v>0</v>
      </c>
      <c r="AH41" s="172">
        <v>0</v>
      </c>
      <c r="AI41" s="172">
        <v>0</v>
      </c>
      <c r="AJ41" s="172">
        <v>0</v>
      </c>
      <c r="AK41" s="172">
        <v>0</v>
      </c>
      <c r="AL41" s="172">
        <v>0</v>
      </c>
      <c r="AM41" s="172">
        <v>0</v>
      </c>
      <c r="AN41" s="172">
        <v>0</v>
      </c>
      <c r="AO41" s="172">
        <v>0</v>
      </c>
      <c r="AP41" s="172">
        <v>0</v>
      </c>
      <c r="AQ41" s="172">
        <v>0</v>
      </c>
      <c r="AR41" s="172">
        <v>0</v>
      </c>
      <c r="AS41" s="172">
        <v>0</v>
      </c>
      <c r="AT41" s="172">
        <v>0</v>
      </c>
      <c r="AU41" s="172">
        <v>0</v>
      </c>
      <c r="AV41" s="172">
        <v>0</v>
      </c>
      <c r="AW41" s="172">
        <v>0</v>
      </c>
      <c r="AX41" s="172"/>
      <c r="AY41" s="172"/>
      <c r="AZ41" s="172"/>
      <c r="BA41" s="172"/>
      <c r="BB41" s="172"/>
      <c r="BC41" s="172"/>
    </row>
    <row r="42" spans="1:183">
      <c r="A42" s="161"/>
      <c r="B42" s="48"/>
      <c r="I42" t="s">
        <v>279</v>
      </c>
      <c r="P42" s="140"/>
      <c r="Q42" s="140"/>
      <c r="R42" s="140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</row>
    <row r="43" spans="1:183">
      <c r="B43" s="43"/>
      <c r="C43" s="8"/>
      <c r="D43" s="8"/>
      <c r="H43" s="34"/>
      <c r="I43" s="95">
        <v>6.7699999999999996E-2</v>
      </c>
    </row>
    <row r="44" spans="1:183">
      <c r="B44" s="43"/>
      <c r="E44" s="8"/>
      <c r="G44" s="163"/>
      <c r="H44" s="34"/>
    </row>
    <row r="45" spans="1:183">
      <c r="A45" s="418"/>
      <c r="B45" s="418"/>
      <c r="E45" s="8"/>
      <c r="G45" s="163"/>
      <c r="H45" s="34"/>
    </row>
    <row r="46" spans="1:183" ht="13.7" customHeight="1">
      <c r="A46" s="48"/>
      <c r="B46" s="48"/>
      <c r="H46" s="34"/>
      <c r="I46" t="s">
        <v>246</v>
      </c>
    </row>
    <row r="47" spans="1:183" ht="21" customHeight="1">
      <c r="A47" s="418" t="str">
        <f>'Table 5'!A9</f>
        <v>15 Year</v>
      </c>
      <c r="B47" s="418"/>
      <c r="E47" s="8"/>
      <c r="G47" s="94"/>
      <c r="H47" s="34"/>
      <c r="I47" t="s">
        <v>100</v>
      </c>
      <c r="K47" s="258">
        <v>2.2700000004508992E-2</v>
      </c>
    </row>
    <row r="48" spans="1:183">
      <c r="B48" s="48" t="str">
        <f>" Levelized Prices (Nominal) @ "&amp;TEXT($I$43,"0.00%")&amp;" Discount Rate (1) (3) "</f>
        <v xml:space="preserve"> Levelized Prices (Nominal) @ 6.77% Discount Rate (1) (3) </v>
      </c>
      <c r="H48" s="34"/>
      <c r="I48"/>
      <c r="M48" s="97"/>
    </row>
    <row r="49" spans="1:19">
      <c r="B49" s="43" t="s">
        <v>8</v>
      </c>
      <c r="C49" s="8">
        <f ca="1">'Table 5'!$D$9*(Study_CF*8.76)/'Table 5'!$F$9</f>
        <v>0</v>
      </c>
      <c r="D49" s="8"/>
      <c r="H49" s="34"/>
      <c r="I49"/>
    </row>
    <row r="50" spans="1:19">
      <c r="B50" s="43" t="s">
        <v>31</v>
      </c>
      <c r="E50" s="8">
        <f ca="1">'Table 5'!$C$9/'Table 5'!$F$9</f>
        <v>46.112691756948827</v>
      </c>
      <c r="G50" s="163">
        <f ca="1">'Table 5'!$G$9</f>
        <v>46.112691756948827</v>
      </c>
      <c r="H50" s="34"/>
      <c r="I50" s="177"/>
      <c r="K50" s="78"/>
      <c r="S50" s="143"/>
    </row>
    <row r="51" spans="1:19" ht="8.25" customHeight="1">
      <c r="A51" s="418"/>
      <c r="B51" s="418"/>
      <c r="E51" s="8"/>
      <c r="G51" s="94"/>
      <c r="H51" s="34"/>
    </row>
    <row r="52" spans="1:19">
      <c r="A52" s="418">
        <f>'Table 5'!A7</f>
        <v>0</v>
      </c>
      <c r="B52" s="418"/>
      <c r="E52" s="8"/>
      <c r="G52" s="94"/>
      <c r="H52" s="34"/>
      <c r="I52"/>
      <c r="M52" s="97"/>
    </row>
    <row r="53" spans="1:19" hidden="1">
      <c r="B53" s="43" t="s">
        <v>8</v>
      </c>
      <c r="C53" s="8" t="e">
        <f ca="1">'Table 5'!$D$7*(Study_CF*8.76)/'Table 5'!$F$7</f>
        <v>#DIV/0!</v>
      </c>
      <c r="E53" s="8" t="e">
        <f>'Table 5'!$C$7/'Table 5'!$F$7</f>
        <v>#DIV/0!</v>
      </c>
      <c r="G53" s="163">
        <f>'Table 5'!$G$7</f>
        <v>0</v>
      </c>
      <c r="H53" s="34"/>
      <c r="I53"/>
    </row>
    <row r="54" spans="1:19" hidden="1">
      <c r="B54" s="43" t="s">
        <v>31</v>
      </c>
      <c r="C54" s="8"/>
      <c r="D54" s="8"/>
      <c r="H54" s="34"/>
      <c r="I54"/>
      <c r="S54" s="143"/>
    </row>
    <row r="55" spans="1:19" hidden="1">
      <c r="B55" s="43"/>
      <c r="E55" s="8"/>
      <c r="G55" s="163"/>
      <c r="H55" s="34"/>
    </row>
    <row r="56" spans="1:19" hidden="1">
      <c r="A56" s="418">
        <f>'Table 5'!A10</f>
        <v>0</v>
      </c>
      <c r="B56" s="418"/>
      <c r="E56" s="8"/>
      <c r="G56" s="94"/>
      <c r="H56" s="34"/>
    </row>
    <row r="57" spans="1:19" hidden="1">
      <c r="B57" s="43" t="s">
        <v>8</v>
      </c>
      <c r="C57" s="8" t="e">
        <f ca="1">'Table 5'!$D$10*(Study_CF*8.76)/'Table 5'!$F$10</f>
        <v>#DIV/0!</v>
      </c>
      <c r="E57" s="8" t="e">
        <f>'Table 5'!$C$10/'Table 5'!$F$10</f>
        <v>#DIV/0!</v>
      </c>
      <c r="G57" s="163">
        <f>'Table 5'!$G$10</f>
        <v>0</v>
      </c>
      <c r="H57" s="34"/>
    </row>
    <row r="58" spans="1:19" hidden="1">
      <c r="B58" s="43" t="s">
        <v>31</v>
      </c>
      <c r="C58" s="8"/>
      <c r="D58" s="8"/>
      <c r="H58" s="34"/>
    </row>
    <row r="59" spans="1:19">
      <c r="B59" s="48"/>
      <c r="H59" s="34"/>
    </row>
    <row r="60" spans="1:19">
      <c r="B60" s="43"/>
      <c r="C60" s="8"/>
      <c r="D60" s="8"/>
      <c r="H60" s="34"/>
    </row>
    <row r="61" spans="1:19">
      <c r="A61" s="418"/>
      <c r="B61" s="418"/>
      <c r="E61" s="8"/>
      <c r="G61" s="94"/>
      <c r="H61" s="34"/>
    </row>
    <row r="62" spans="1:19">
      <c r="B62" s="48"/>
      <c r="H62" s="34"/>
    </row>
    <row r="63" spans="1:19">
      <c r="B63" s="43"/>
      <c r="C63" s="8"/>
      <c r="D63" s="8"/>
      <c r="H63" s="34"/>
    </row>
    <row r="64" spans="1:19">
      <c r="B64" s="43"/>
      <c r="E64" s="8"/>
      <c r="G64" s="163"/>
      <c r="H64" s="34"/>
    </row>
    <row r="65" spans="1:13">
      <c r="E65" s="35"/>
      <c r="G65" s="35"/>
      <c r="H65" s="34"/>
      <c r="I65" s="94"/>
    </row>
    <row r="66" spans="1:13">
      <c r="B66" s="44"/>
      <c r="E66" s="34"/>
      <c r="F66" s="35"/>
      <c r="G66" s="34"/>
      <c r="H66" s="34"/>
      <c r="I66" s="94"/>
    </row>
    <row r="67" spans="1:13">
      <c r="F67" s="35"/>
      <c r="H67" s="34"/>
      <c r="I67" s="94"/>
    </row>
    <row r="70" spans="1:13">
      <c r="B70" s="83"/>
    </row>
    <row r="71" spans="1:13" ht="12.75" customHeight="1">
      <c r="B71" s="83"/>
    </row>
    <row r="72" spans="1:13" ht="12.75" customHeight="1">
      <c r="A72" s="3" t="e">
        <f>SUM(P13:BC28)&gt;0</f>
        <v>#N/A</v>
      </c>
      <c r="B72" s="83"/>
    </row>
    <row r="73" spans="1:13">
      <c r="A73" s="3" t="e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V13:AV28)&gt;0,13,IF(SUM(AW13:AW28)&gt;0,14,IF(SUM(AX13:AX28)&gt;0,15,IF(SUM(AY13:AY28)&gt;0,16,IF(SUM(AZ13:AZ28)&gt;0,17,IF(SUM(BA13:BA28)&gt;0,18))))))))))))))))))</f>
        <v>#N/A</v>
      </c>
      <c r="B73" s="9"/>
      <c r="C73" s="6"/>
      <c r="D73" s="6"/>
      <c r="E73" s="6"/>
      <c r="G73" s="6"/>
    </row>
    <row r="74" spans="1:13">
      <c r="A74" t="e">
        <f>INDEX($O$13:$BC$33,IF(SUM($P$13:$BC$33)&gt;0,SUM($P$13:$BC$33),FALSE)-1,1)</f>
        <v>#N/A</v>
      </c>
      <c r="I74" t="s">
        <v>57</v>
      </c>
    </row>
    <row r="75" spans="1:13" s="47" customFormat="1">
      <c r="B75" s="9"/>
      <c r="I75" t="str">
        <f ca="1">"       Avoided Costs calculated annually are  "&amp;TEXT(PMT(Discount_Rate,COUNT($G$13:$G$27),-NPV(Discount_Rate,$G$13:$G$27)),"$0.00")&amp;"/MWH"</f>
        <v xml:space="preserve">       Avoided Costs calculated annually are  $46.19/MWH</v>
      </c>
      <c r="J75"/>
      <c r="K75"/>
      <c r="L75"/>
      <c r="M75"/>
    </row>
    <row r="76" spans="1:13" s="47" customFormat="1">
      <c r="B76" s="9"/>
      <c r="I76" s="9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45"/>
      <c r="I77" s="47"/>
      <c r="L77" s="47"/>
      <c r="M77" s="47"/>
    </row>
    <row r="78" spans="1:13">
      <c r="A78"/>
      <c r="F78" s="6"/>
    </row>
    <row r="81" spans="1:11">
      <c r="A81"/>
      <c r="J81" s="47"/>
      <c r="K81" s="47"/>
    </row>
    <row r="82" spans="1:11">
      <c r="A82"/>
      <c r="J82" s="47"/>
      <c r="K82" s="47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EBB3-C62E-4478-A7B6-04907BB37ADE}">
  <dimension ref="A1:AJ103"/>
  <sheetViews>
    <sheetView workbookViewId="0">
      <selection activeCell="E22" sqref="E22"/>
    </sheetView>
  </sheetViews>
  <sheetFormatPr defaultRowHeight="12.75"/>
  <cols>
    <col min="1" max="1" width="9.33203125" customWidth="1"/>
    <col min="3" max="3" width="17" customWidth="1"/>
    <col min="5" max="5" width="18.6640625" style="282" customWidth="1"/>
    <col min="9" max="9" width="20.83203125" customWidth="1"/>
    <col min="17" max="18" width="9.33203125" style="248"/>
    <col min="22" max="22" width="21.83203125" customWidth="1"/>
    <col min="24" max="24" width="11.5" style="282" customWidth="1"/>
    <col min="28" max="28" width="16.1640625" customWidth="1"/>
    <col min="36" max="36" width="9.33203125" style="248"/>
  </cols>
  <sheetData>
    <row r="1" spans="1:36">
      <c r="A1" t="s">
        <v>153</v>
      </c>
      <c r="B1" t="s">
        <v>154</v>
      </c>
      <c r="C1" t="s">
        <v>155</v>
      </c>
      <c r="D1" t="s">
        <v>156</v>
      </c>
      <c r="E1" s="282" t="s">
        <v>157</v>
      </c>
      <c r="F1" t="s">
        <v>158</v>
      </c>
      <c r="G1" t="s">
        <v>159</v>
      </c>
      <c r="H1" t="s">
        <v>160</v>
      </c>
      <c r="I1" t="s">
        <v>161</v>
      </c>
      <c r="J1" t="s">
        <v>162</v>
      </c>
      <c r="K1" t="s">
        <v>163</v>
      </c>
      <c r="L1" t="s">
        <v>164</v>
      </c>
      <c r="M1" t="s">
        <v>165</v>
      </c>
      <c r="N1" t="s">
        <v>166</v>
      </c>
      <c r="O1" t="s">
        <v>167</v>
      </c>
      <c r="P1" t="s">
        <v>168</v>
      </c>
      <c r="R1" s="248" t="s">
        <v>0</v>
      </c>
      <c r="T1" t="s">
        <v>153</v>
      </c>
      <c r="U1" t="s">
        <v>154</v>
      </c>
      <c r="V1" t="s">
        <v>155</v>
      </c>
      <c r="W1" t="s">
        <v>156</v>
      </c>
      <c r="X1" s="282" t="s">
        <v>157</v>
      </c>
      <c r="Y1" t="s">
        <v>158</v>
      </c>
      <c r="Z1" t="s">
        <v>159</v>
      </c>
      <c r="AA1" t="s">
        <v>160</v>
      </c>
      <c r="AB1" t="s">
        <v>161</v>
      </c>
      <c r="AC1" t="s">
        <v>162</v>
      </c>
      <c r="AD1" t="s">
        <v>163</v>
      </c>
      <c r="AE1" t="s">
        <v>164</v>
      </c>
      <c r="AF1" t="s">
        <v>165</v>
      </c>
      <c r="AG1" t="s">
        <v>166</v>
      </c>
      <c r="AH1" t="s">
        <v>167</v>
      </c>
      <c r="AI1" t="s">
        <v>168</v>
      </c>
    </row>
    <row r="2" spans="1:36">
      <c r="A2" t="s">
        <v>169</v>
      </c>
      <c r="B2" t="s">
        <v>170</v>
      </c>
      <c r="C2" t="s">
        <v>271</v>
      </c>
      <c r="D2" t="s">
        <v>172</v>
      </c>
      <c r="E2" s="282">
        <v>1</v>
      </c>
      <c r="G2" t="s">
        <v>173</v>
      </c>
      <c r="H2">
        <v>1</v>
      </c>
      <c r="I2" s="275">
        <v>44562</v>
      </c>
      <c r="L2" t="s">
        <v>174</v>
      </c>
      <c r="P2" t="s">
        <v>173</v>
      </c>
      <c r="R2" s="248">
        <f>YEAR(I2)</f>
        <v>2022</v>
      </c>
      <c r="T2" t="s">
        <v>169</v>
      </c>
      <c r="U2" t="s">
        <v>170</v>
      </c>
      <c r="V2" t="s">
        <v>272</v>
      </c>
      <c r="W2" t="s">
        <v>172</v>
      </c>
      <c r="X2" s="282">
        <v>1</v>
      </c>
      <c r="Z2" t="s">
        <v>173</v>
      </c>
      <c r="AA2">
        <v>1</v>
      </c>
      <c r="AB2">
        <v>44562</v>
      </c>
      <c r="AE2" t="s">
        <v>174</v>
      </c>
      <c r="AI2" t="s">
        <v>173</v>
      </c>
    </row>
    <row r="3" spans="1:36">
      <c r="A3" t="s">
        <v>169</v>
      </c>
      <c r="B3" t="s">
        <v>170</v>
      </c>
      <c r="C3" t="s">
        <v>271</v>
      </c>
      <c r="D3" t="s">
        <v>172</v>
      </c>
      <c r="E3" s="282">
        <v>1.3447</v>
      </c>
      <c r="G3" t="s">
        <v>173</v>
      </c>
      <c r="H3">
        <v>1</v>
      </c>
      <c r="I3" s="275">
        <v>44927</v>
      </c>
      <c r="L3" t="s">
        <v>174</v>
      </c>
      <c r="P3" t="s">
        <v>173</v>
      </c>
      <c r="Q3" s="283">
        <f t="shared" ref="Q3:Q22" si="0">E3/E2</f>
        <v>1.3447</v>
      </c>
      <c r="R3" s="248">
        <f t="shared" ref="R3:R22" si="1">YEAR(I3)</f>
        <v>2023</v>
      </c>
      <c r="T3" t="s">
        <v>169</v>
      </c>
      <c r="U3" t="s">
        <v>170</v>
      </c>
      <c r="V3" t="s">
        <v>272</v>
      </c>
      <c r="W3" t="s">
        <v>172</v>
      </c>
      <c r="X3" s="282">
        <v>1.0506</v>
      </c>
      <c r="Z3" t="s">
        <v>173</v>
      </c>
      <c r="AA3">
        <v>1</v>
      </c>
      <c r="AB3">
        <v>44927</v>
      </c>
      <c r="AE3" t="s">
        <v>174</v>
      </c>
      <c r="AI3" t="s">
        <v>173</v>
      </c>
      <c r="AJ3" s="283">
        <f t="shared" ref="AJ3:AJ22" si="2">X3/X2</f>
        <v>1.0506</v>
      </c>
    </row>
    <row r="4" spans="1:36">
      <c r="A4" t="s">
        <v>169</v>
      </c>
      <c r="B4" t="s">
        <v>170</v>
      </c>
      <c r="C4" t="s">
        <v>271</v>
      </c>
      <c r="D4" t="s">
        <v>172</v>
      </c>
      <c r="E4" s="282">
        <v>1.3447</v>
      </c>
      <c r="G4" t="s">
        <v>173</v>
      </c>
      <c r="H4">
        <v>1</v>
      </c>
      <c r="I4" s="275">
        <v>45292</v>
      </c>
      <c r="L4" t="s">
        <v>174</v>
      </c>
      <c r="P4" t="s">
        <v>173</v>
      </c>
      <c r="Q4" s="283">
        <f t="shared" si="0"/>
        <v>1</v>
      </c>
      <c r="R4" s="248">
        <f t="shared" si="1"/>
        <v>2024</v>
      </c>
      <c r="T4" t="s">
        <v>169</v>
      </c>
      <c r="U4" t="s">
        <v>170</v>
      </c>
      <c r="V4" t="s">
        <v>272</v>
      </c>
      <c r="W4" t="s">
        <v>172</v>
      </c>
      <c r="X4" s="282">
        <v>1.0506</v>
      </c>
      <c r="Z4" t="s">
        <v>173</v>
      </c>
      <c r="AA4">
        <v>1</v>
      </c>
      <c r="AB4">
        <v>45292</v>
      </c>
      <c r="AE4" t="s">
        <v>174</v>
      </c>
      <c r="AI4" t="s">
        <v>173</v>
      </c>
      <c r="AJ4" s="283">
        <f t="shared" si="2"/>
        <v>1</v>
      </c>
    </row>
    <row r="5" spans="1:36">
      <c r="A5" t="s">
        <v>169</v>
      </c>
      <c r="B5" t="s">
        <v>170</v>
      </c>
      <c r="C5" t="s">
        <v>271</v>
      </c>
      <c r="D5" t="s">
        <v>172</v>
      </c>
      <c r="E5" s="282">
        <v>1.3447</v>
      </c>
      <c r="G5" t="s">
        <v>173</v>
      </c>
      <c r="H5">
        <v>1</v>
      </c>
      <c r="I5" s="275">
        <v>45658</v>
      </c>
      <c r="L5" t="s">
        <v>174</v>
      </c>
      <c r="P5" t="s">
        <v>173</v>
      </c>
      <c r="Q5" s="283">
        <f t="shared" si="0"/>
        <v>1</v>
      </c>
      <c r="R5" s="248">
        <f t="shared" si="1"/>
        <v>2025</v>
      </c>
      <c r="T5" t="s">
        <v>169</v>
      </c>
      <c r="U5" t="s">
        <v>170</v>
      </c>
      <c r="V5" t="s">
        <v>272</v>
      </c>
      <c r="W5" t="s">
        <v>172</v>
      </c>
      <c r="X5" s="282">
        <v>1.0506</v>
      </c>
      <c r="Z5" t="s">
        <v>173</v>
      </c>
      <c r="AA5">
        <v>1</v>
      </c>
      <c r="AB5">
        <v>45658</v>
      </c>
      <c r="AE5" t="s">
        <v>174</v>
      </c>
      <c r="AI5" t="s">
        <v>173</v>
      </c>
      <c r="AJ5" s="283">
        <f t="shared" si="2"/>
        <v>1</v>
      </c>
    </row>
    <row r="6" spans="1:36">
      <c r="A6" t="s">
        <v>169</v>
      </c>
      <c r="B6" t="s">
        <v>170</v>
      </c>
      <c r="C6" t="s">
        <v>271</v>
      </c>
      <c r="D6" t="s">
        <v>172</v>
      </c>
      <c r="E6" s="282">
        <v>1.3447</v>
      </c>
      <c r="G6" t="s">
        <v>173</v>
      </c>
      <c r="H6">
        <v>1</v>
      </c>
      <c r="I6" s="275">
        <v>46023</v>
      </c>
      <c r="L6" t="s">
        <v>174</v>
      </c>
      <c r="P6" t="s">
        <v>173</v>
      </c>
      <c r="Q6" s="283">
        <f t="shared" si="0"/>
        <v>1</v>
      </c>
      <c r="R6" s="248">
        <f t="shared" si="1"/>
        <v>2026</v>
      </c>
      <c r="T6" t="s">
        <v>169</v>
      </c>
      <c r="U6" t="s">
        <v>170</v>
      </c>
      <c r="V6" t="s">
        <v>272</v>
      </c>
      <c r="W6" t="s">
        <v>172</v>
      </c>
      <c r="X6" s="282">
        <v>1.0506</v>
      </c>
      <c r="Z6" t="s">
        <v>173</v>
      </c>
      <c r="AA6">
        <v>1</v>
      </c>
      <c r="AB6">
        <v>46023</v>
      </c>
      <c r="AE6" t="s">
        <v>174</v>
      </c>
      <c r="AI6" t="s">
        <v>173</v>
      </c>
      <c r="AJ6" s="283">
        <f t="shared" si="2"/>
        <v>1</v>
      </c>
    </row>
    <row r="7" spans="1:36">
      <c r="A7" t="s">
        <v>169</v>
      </c>
      <c r="B7" t="s">
        <v>170</v>
      </c>
      <c r="C7" t="s">
        <v>271</v>
      </c>
      <c r="D7" t="s">
        <v>172</v>
      </c>
      <c r="E7" s="282">
        <v>1.3447</v>
      </c>
      <c r="G7" t="s">
        <v>173</v>
      </c>
      <c r="H7">
        <v>1</v>
      </c>
      <c r="I7" s="275">
        <v>46388</v>
      </c>
      <c r="L7" t="s">
        <v>174</v>
      </c>
      <c r="P7" t="s">
        <v>173</v>
      </c>
      <c r="Q7" s="283">
        <f t="shared" si="0"/>
        <v>1</v>
      </c>
      <c r="R7" s="248">
        <f t="shared" si="1"/>
        <v>2027</v>
      </c>
      <c r="T7" t="s">
        <v>169</v>
      </c>
      <c r="U7" t="s">
        <v>170</v>
      </c>
      <c r="V7" t="s">
        <v>272</v>
      </c>
      <c r="W7" t="s">
        <v>172</v>
      </c>
      <c r="X7" s="282">
        <v>1.0506</v>
      </c>
      <c r="Z7" t="s">
        <v>173</v>
      </c>
      <c r="AA7">
        <v>1</v>
      </c>
      <c r="AB7">
        <v>46388</v>
      </c>
      <c r="AE7" t="s">
        <v>174</v>
      </c>
      <c r="AI7" t="s">
        <v>173</v>
      </c>
      <c r="AJ7" s="283">
        <f t="shared" si="2"/>
        <v>1</v>
      </c>
    </row>
    <row r="8" spans="1:36">
      <c r="A8" t="s">
        <v>169</v>
      </c>
      <c r="B8" t="s">
        <v>170</v>
      </c>
      <c r="C8" t="s">
        <v>271</v>
      </c>
      <c r="D8" t="s">
        <v>172</v>
      </c>
      <c r="E8" s="282">
        <v>1.3447</v>
      </c>
      <c r="G8" t="s">
        <v>173</v>
      </c>
      <c r="H8">
        <v>1</v>
      </c>
      <c r="I8" s="275">
        <v>46753</v>
      </c>
      <c r="L8" t="s">
        <v>174</v>
      </c>
      <c r="P8" t="s">
        <v>173</v>
      </c>
      <c r="Q8" s="283">
        <f t="shared" si="0"/>
        <v>1</v>
      </c>
      <c r="R8" s="248">
        <f t="shared" si="1"/>
        <v>2028</v>
      </c>
      <c r="T8" t="s">
        <v>169</v>
      </c>
      <c r="U8" t="s">
        <v>170</v>
      </c>
      <c r="V8" t="s">
        <v>272</v>
      </c>
      <c r="W8" t="s">
        <v>172</v>
      </c>
      <c r="X8" s="282">
        <v>1.0506</v>
      </c>
      <c r="Z8" t="s">
        <v>173</v>
      </c>
      <c r="AA8">
        <v>1</v>
      </c>
      <c r="AB8">
        <v>46753</v>
      </c>
      <c r="AE8" t="s">
        <v>174</v>
      </c>
      <c r="AI8" t="s">
        <v>173</v>
      </c>
      <c r="AJ8" s="283">
        <f t="shared" si="2"/>
        <v>1</v>
      </c>
    </row>
    <row r="9" spans="1:36">
      <c r="A9" t="s">
        <v>169</v>
      </c>
      <c r="B9" t="s">
        <v>170</v>
      </c>
      <c r="C9" t="s">
        <v>271</v>
      </c>
      <c r="D9" t="s">
        <v>172</v>
      </c>
      <c r="E9" s="282">
        <v>1.2761203000000001</v>
      </c>
      <c r="G9" t="s">
        <v>173</v>
      </c>
      <c r="H9">
        <v>1</v>
      </c>
      <c r="I9" s="275">
        <v>47119</v>
      </c>
      <c r="L9" t="s">
        <v>174</v>
      </c>
      <c r="P9" t="s">
        <v>173</v>
      </c>
      <c r="Q9" s="283">
        <f t="shared" si="0"/>
        <v>0.94900000000000007</v>
      </c>
      <c r="R9" s="248">
        <f t="shared" si="1"/>
        <v>2029</v>
      </c>
      <c r="T9" t="s">
        <v>169</v>
      </c>
      <c r="U9" t="s">
        <v>170</v>
      </c>
      <c r="V9" t="s">
        <v>272</v>
      </c>
      <c r="W9" t="s">
        <v>172</v>
      </c>
      <c r="X9" s="282">
        <v>1.0148796</v>
      </c>
      <c r="Z9" t="s">
        <v>173</v>
      </c>
      <c r="AA9">
        <v>1</v>
      </c>
      <c r="AB9">
        <v>47119</v>
      </c>
      <c r="AE9" t="s">
        <v>174</v>
      </c>
      <c r="AI9" t="s">
        <v>173</v>
      </c>
      <c r="AJ9" s="283">
        <f t="shared" si="2"/>
        <v>0.96599999999999997</v>
      </c>
    </row>
    <row r="10" spans="1:36">
      <c r="A10" t="s">
        <v>169</v>
      </c>
      <c r="B10" t="s">
        <v>170</v>
      </c>
      <c r="C10" t="s">
        <v>271</v>
      </c>
      <c r="D10" t="s">
        <v>172</v>
      </c>
      <c r="E10" s="282">
        <v>1.2072098040000001</v>
      </c>
      <c r="G10" t="s">
        <v>173</v>
      </c>
      <c r="H10">
        <v>1</v>
      </c>
      <c r="I10" s="275">
        <v>47484</v>
      </c>
      <c r="L10" t="s">
        <v>174</v>
      </c>
      <c r="P10" t="s">
        <v>173</v>
      </c>
      <c r="Q10" s="283">
        <f t="shared" si="0"/>
        <v>0.94600000015672503</v>
      </c>
      <c r="R10" s="248">
        <f t="shared" si="1"/>
        <v>2030</v>
      </c>
      <c r="T10" t="s">
        <v>169</v>
      </c>
      <c r="U10" t="s">
        <v>170</v>
      </c>
      <c r="V10" t="s">
        <v>272</v>
      </c>
      <c r="W10" t="s">
        <v>172</v>
      </c>
      <c r="X10" s="282">
        <v>0.97834393399999997</v>
      </c>
      <c r="Z10" t="s">
        <v>173</v>
      </c>
      <c r="AA10">
        <v>1</v>
      </c>
      <c r="AB10">
        <v>47484</v>
      </c>
      <c r="AE10" t="s">
        <v>174</v>
      </c>
      <c r="AI10" t="s">
        <v>173</v>
      </c>
      <c r="AJ10" s="283">
        <f t="shared" si="2"/>
        <v>0.96399999960586458</v>
      </c>
    </row>
    <row r="11" spans="1:36">
      <c r="A11" t="s">
        <v>169</v>
      </c>
      <c r="B11" t="s">
        <v>170</v>
      </c>
      <c r="C11" t="s">
        <v>271</v>
      </c>
      <c r="D11" t="s">
        <v>172</v>
      </c>
      <c r="E11" s="282">
        <v>1.138398845</v>
      </c>
      <c r="G11" t="s">
        <v>173</v>
      </c>
      <c r="H11">
        <v>1</v>
      </c>
      <c r="I11" s="275">
        <v>47849</v>
      </c>
      <c r="L11" t="s">
        <v>174</v>
      </c>
      <c r="P11" t="s">
        <v>173</v>
      </c>
      <c r="Q11" s="283">
        <f t="shared" si="0"/>
        <v>0.94299999985752259</v>
      </c>
      <c r="R11" s="248">
        <f t="shared" si="1"/>
        <v>2031</v>
      </c>
      <c r="T11" t="s">
        <v>169</v>
      </c>
      <c r="U11" t="s">
        <v>170</v>
      </c>
      <c r="V11" t="s">
        <v>272</v>
      </c>
      <c r="W11" t="s">
        <v>172</v>
      </c>
      <c r="X11" s="282">
        <v>0.94214520899999998</v>
      </c>
      <c r="Z11" t="s">
        <v>173</v>
      </c>
      <c r="AA11">
        <v>1</v>
      </c>
      <c r="AB11">
        <v>47849</v>
      </c>
      <c r="AE11" t="s">
        <v>174</v>
      </c>
      <c r="AI11" t="s">
        <v>173</v>
      </c>
      <c r="AJ11" s="283">
        <f t="shared" si="2"/>
        <v>0.96300000057035162</v>
      </c>
    </row>
    <row r="12" spans="1:36">
      <c r="A12" t="s">
        <v>169</v>
      </c>
      <c r="B12" t="s">
        <v>170</v>
      </c>
      <c r="C12" t="s">
        <v>271</v>
      </c>
      <c r="D12" t="s">
        <v>172</v>
      </c>
      <c r="E12" s="282">
        <v>1.070094914</v>
      </c>
      <c r="G12" t="s">
        <v>173</v>
      </c>
      <c r="H12">
        <v>1</v>
      </c>
      <c r="I12" s="275">
        <v>48214</v>
      </c>
      <c r="L12" t="s">
        <v>174</v>
      </c>
      <c r="P12" t="s">
        <v>173</v>
      </c>
      <c r="Q12" s="283">
        <f t="shared" si="0"/>
        <v>0.93999999973647197</v>
      </c>
      <c r="R12" s="248">
        <f t="shared" si="1"/>
        <v>2032</v>
      </c>
      <c r="T12" t="s">
        <v>169</v>
      </c>
      <c r="U12" t="s">
        <v>170</v>
      </c>
      <c r="V12" t="s">
        <v>272</v>
      </c>
      <c r="W12" t="s">
        <v>172</v>
      </c>
      <c r="X12" s="282">
        <v>0.90634369100000001</v>
      </c>
      <c r="Z12" t="s">
        <v>173</v>
      </c>
      <c r="AA12">
        <v>1</v>
      </c>
      <c r="AB12">
        <v>48214</v>
      </c>
      <c r="AE12" t="s">
        <v>174</v>
      </c>
      <c r="AI12" t="s">
        <v>173</v>
      </c>
      <c r="AJ12" s="283">
        <f t="shared" si="2"/>
        <v>0.96199999993843843</v>
      </c>
    </row>
    <row r="13" spans="1:36">
      <c r="A13" t="s">
        <v>169</v>
      </c>
      <c r="B13" t="s">
        <v>170</v>
      </c>
      <c r="C13" t="s">
        <v>271</v>
      </c>
      <c r="D13" t="s">
        <v>172</v>
      </c>
      <c r="E13" s="282">
        <v>1.075445389</v>
      </c>
      <c r="G13" t="s">
        <v>173</v>
      </c>
      <c r="H13">
        <v>1</v>
      </c>
      <c r="I13" s="275">
        <v>48580</v>
      </c>
      <c r="L13" t="s">
        <v>174</v>
      </c>
      <c r="P13" t="s">
        <v>173</v>
      </c>
      <c r="Q13" s="283">
        <f t="shared" si="0"/>
        <v>1.0050000004018336</v>
      </c>
      <c r="R13" s="248">
        <f t="shared" si="1"/>
        <v>2033</v>
      </c>
      <c r="T13" t="s">
        <v>169</v>
      </c>
      <c r="U13" t="s">
        <v>170</v>
      </c>
      <c r="V13" t="s">
        <v>272</v>
      </c>
      <c r="W13" t="s">
        <v>172</v>
      </c>
      <c r="X13" s="282">
        <v>0.92265787700000002</v>
      </c>
      <c r="Z13" t="s">
        <v>173</v>
      </c>
      <c r="AA13">
        <v>1</v>
      </c>
      <c r="AB13">
        <v>48580</v>
      </c>
      <c r="AE13" t="s">
        <v>174</v>
      </c>
      <c r="AI13" t="s">
        <v>173</v>
      </c>
      <c r="AJ13" s="283">
        <f t="shared" si="2"/>
        <v>1.0179999995167397</v>
      </c>
    </row>
    <row r="14" spans="1:36">
      <c r="A14" t="s">
        <v>169</v>
      </c>
      <c r="B14" t="s">
        <v>170</v>
      </c>
      <c r="C14" t="s">
        <v>271</v>
      </c>
      <c r="D14" t="s">
        <v>172</v>
      </c>
      <c r="E14" s="282">
        <v>1.0775962800000001</v>
      </c>
      <c r="G14" t="s">
        <v>173</v>
      </c>
      <c r="H14">
        <v>1</v>
      </c>
      <c r="I14" s="275">
        <v>48945</v>
      </c>
      <c r="L14" t="s">
        <v>174</v>
      </c>
      <c r="P14" t="s">
        <v>173</v>
      </c>
      <c r="Q14" s="283">
        <f t="shared" si="0"/>
        <v>1.0020000002064262</v>
      </c>
      <c r="R14" s="248">
        <f t="shared" si="1"/>
        <v>2034</v>
      </c>
      <c r="T14" t="s">
        <v>169</v>
      </c>
      <c r="U14" t="s">
        <v>170</v>
      </c>
      <c r="V14" t="s">
        <v>272</v>
      </c>
      <c r="W14" t="s">
        <v>172</v>
      </c>
      <c r="X14" s="282">
        <v>0.93188445600000003</v>
      </c>
      <c r="Z14" t="s">
        <v>173</v>
      </c>
      <c r="AA14">
        <v>1</v>
      </c>
      <c r="AB14">
        <v>48945</v>
      </c>
      <c r="AE14" t="s">
        <v>174</v>
      </c>
      <c r="AI14" t="s">
        <v>173</v>
      </c>
      <c r="AJ14" s="283">
        <f t="shared" si="2"/>
        <v>1.0100000002492799</v>
      </c>
    </row>
    <row r="15" spans="1:36">
      <c r="A15" t="s">
        <v>169</v>
      </c>
      <c r="B15" t="s">
        <v>170</v>
      </c>
      <c r="C15" t="s">
        <v>271</v>
      </c>
      <c r="D15" t="s">
        <v>172</v>
      </c>
      <c r="E15" s="282">
        <v>1.0797514720000001</v>
      </c>
      <c r="G15" t="s">
        <v>173</v>
      </c>
      <c r="H15">
        <v>1</v>
      </c>
      <c r="I15" s="275">
        <v>49310</v>
      </c>
      <c r="L15" t="s">
        <v>174</v>
      </c>
      <c r="P15" t="s">
        <v>173</v>
      </c>
      <c r="Q15" s="283">
        <f t="shared" si="0"/>
        <v>1.0019999994803248</v>
      </c>
      <c r="R15" s="248">
        <f t="shared" si="1"/>
        <v>2035</v>
      </c>
      <c r="T15" t="s">
        <v>169</v>
      </c>
      <c r="U15" t="s">
        <v>170</v>
      </c>
      <c r="V15" t="s">
        <v>272</v>
      </c>
      <c r="W15" t="s">
        <v>172</v>
      </c>
      <c r="X15" s="282">
        <v>0.94120330100000005</v>
      </c>
      <c r="Z15" t="s">
        <v>173</v>
      </c>
      <c r="AA15">
        <v>1</v>
      </c>
      <c r="AB15">
        <v>49310</v>
      </c>
      <c r="AE15" t="s">
        <v>174</v>
      </c>
      <c r="AI15" t="s">
        <v>173</v>
      </c>
      <c r="AJ15" s="283">
        <f t="shared" si="2"/>
        <v>1.0100000004721617</v>
      </c>
    </row>
    <row r="16" spans="1:36">
      <c r="A16" t="s">
        <v>169</v>
      </c>
      <c r="B16" t="s">
        <v>170</v>
      </c>
      <c r="C16" t="s">
        <v>271</v>
      </c>
      <c r="D16" t="s">
        <v>172</v>
      </c>
      <c r="E16" s="282">
        <v>1.080831224</v>
      </c>
      <c r="G16" t="s">
        <v>173</v>
      </c>
      <c r="H16">
        <v>1</v>
      </c>
      <c r="I16" s="275">
        <v>49675</v>
      </c>
      <c r="L16" t="s">
        <v>174</v>
      </c>
      <c r="P16" t="s">
        <v>173</v>
      </c>
      <c r="Q16" s="283">
        <f t="shared" si="0"/>
        <v>1.0010000004890014</v>
      </c>
      <c r="R16" s="248">
        <f t="shared" si="1"/>
        <v>2036</v>
      </c>
      <c r="T16" t="s">
        <v>169</v>
      </c>
      <c r="U16" t="s">
        <v>170</v>
      </c>
      <c r="V16" t="s">
        <v>272</v>
      </c>
      <c r="W16" t="s">
        <v>172</v>
      </c>
      <c r="X16" s="282">
        <v>0.95061533399999998</v>
      </c>
      <c r="Z16" t="s">
        <v>173</v>
      </c>
      <c r="AA16">
        <v>1</v>
      </c>
      <c r="AB16">
        <v>49675</v>
      </c>
      <c r="AE16" t="s">
        <v>174</v>
      </c>
      <c r="AI16" t="s">
        <v>173</v>
      </c>
      <c r="AJ16" s="283">
        <f t="shared" si="2"/>
        <v>1.0099999999893752</v>
      </c>
    </row>
    <row r="17" spans="1:36">
      <c r="A17" t="s">
        <v>169</v>
      </c>
      <c r="B17" t="s">
        <v>170</v>
      </c>
      <c r="C17" t="s">
        <v>271</v>
      </c>
      <c r="D17" t="s">
        <v>172</v>
      </c>
      <c r="E17" s="282">
        <v>1.0819120550000001</v>
      </c>
      <c r="G17" t="s">
        <v>173</v>
      </c>
      <c r="H17">
        <v>1</v>
      </c>
      <c r="I17" s="275">
        <v>50041</v>
      </c>
      <c r="L17" t="s">
        <v>174</v>
      </c>
      <c r="P17" t="s">
        <v>173</v>
      </c>
      <c r="Q17" s="283">
        <f t="shared" si="0"/>
        <v>1.0009999997927521</v>
      </c>
      <c r="R17" s="248">
        <f t="shared" si="1"/>
        <v>2037</v>
      </c>
      <c r="T17" t="s">
        <v>169</v>
      </c>
      <c r="U17" t="s">
        <v>170</v>
      </c>
      <c r="V17" t="s">
        <v>272</v>
      </c>
      <c r="W17" t="s">
        <v>172</v>
      </c>
      <c r="X17" s="282">
        <v>0.95917087199999995</v>
      </c>
      <c r="Z17" t="s">
        <v>173</v>
      </c>
      <c r="AA17">
        <v>1</v>
      </c>
      <c r="AB17">
        <v>50041</v>
      </c>
      <c r="AE17" t="s">
        <v>174</v>
      </c>
      <c r="AI17" t="s">
        <v>173</v>
      </c>
      <c r="AJ17" s="283">
        <f t="shared" si="2"/>
        <v>1.0089999999936883</v>
      </c>
    </row>
    <row r="18" spans="1:36">
      <c r="A18" t="s">
        <v>169</v>
      </c>
      <c r="B18" t="s">
        <v>170</v>
      </c>
      <c r="C18" t="s">
        <v>271</v>
      </c>
      <c r="D18" t="s">
        <v>172</v>
      </c>
      <c r="E18" s="282">
        <v>1.0819120550000001</v>
      </c>
      <c r="G18" t="s">
        <v>173</v>
      </c>
      <c r="H18">
        <v>1</v>
      </c>
      <c r="I18" s="275">
        <v>50406</v>
      </c>
      <c r="L18" t="s">
        <v>174</v>
      </c>
      <c r="P18" t="s">
        <v>173</v>
      </c>
      <c r="Q18" s="283">
        <f t="shared" si="0"/>
        <v>1</v>
      </c>
      <c r="R18" s="248">
        <f t="shared" si="1"/>
        <v>2038</v>
      </c>
      <c r="T18" t="s">
        <v>169</v>
      </c>
      <c r="U18" t="s">
        <v>170</v>
      </c>
      <c r="V18" t="s">
        <v>272</v>
      </c>
      <c r="W18" t="s">
        <v>172</v>
      </c>
      <c r="X18" s="282">
        <v>0.96780341000000003</v>
      </c>
      <c r="Z18" t="s">
        <v>173</v>
      </c>
      <c r="AA18">
        <v>1</v>
      </c>
      <c r="AB18">
        <v>50406</v>
      </c>
      <c r="AE18" t="s">
        <v>174</v>
      </c>
      <c r="AI18" t="s">
        <v>173</v>
      </c>
      <c r="AJ18" s="283">
        <f t="shared" si="2"/>
        <v>1.0090000001584702</v>
      </c>
    </row>
    <row r="19" spans="1:36">
      <c r="A19" t="s">
        <v>169</v>
      </c>
      <c r="B19" t="s">
        <v>170</v>
      </c>
      <c r="C19" t="s">
        <v>271</v>
      </c>
      <c r="D19" t="s">
        <v>172</v>
      </c>
      <c r="E19" s="282">
        <v>1.0819120550000001</v>
      </c>
      <c r="G19" t="s">
        <v>173</v>
      </c>
      <c r="H19">
        <v>1</v>
      </c>
      <c r="I19" s="275">
        <v>50771</v>
      </c>
      <c r="L19" t="s">
        <v>174</v>
      </c>
      <c r="P19" t="s">
        <v>173</v>
      </c>
      <c r="Q19" s="283">
        <f t="shared" si="0"/>
        <v>1</v>
      </c>
      <c r="R19" s="248">
        <f t="shared" si="1"/>
        <v>2039</v>
      </c>
      <c r="T19" t="s">
        <v>169</v>
      </c>
      <c r="U19" t="s">
        <v>170</v>
      </c>
      <c r="V19" t="s">
        <v>272</v>
      </c>
      <c r="W19" t="s">
        <v>172</v>
      </c>
      <c r="X19" s="282">
        <v>0.97651363999999996</v>
      </c>
      <c r="Z19" t="s">
        <v>173</v>
      </c>
      <c r="AA19">
        <v>1</v>
      </c>
      <c r="AB19">
        <v>50771</v>
      </c>
      <c r="AE19" t="s">
        <v>174</v>
      </c>
      <c r="AI19" t="s">
        <v>173</v>
      </c>
      <c r="AJ19" s="283">
        <f t="shared" si="2"/>
        <v>1.0089999992870453</v>
      </c>
    </row>
    <row r="20" spans="1:36">
      <c r="A20" t="s">
        <v>169</v>
      </c>
      <c r="B20" t="s">
        <v>170</v>
      </c>
      <c r="C20" t="s">
        <v>271</v>
      </c>
      <c r="D20" t="s">
        <v>172</v>
      </c>
      <c r="E20" s="282">
        <v>1.080830143</v>
      </c>
      <c r="G20" t="s">
        <v>173</v>
      </c>
      <c r="H20">
        <v>1</v>
      </c>
      <c r="I20" s="275">
        <v>51136</v>
      </c>
      <c r="L20" t="s">
        <v>174</v>
      </c>
      <c r="P20" t="s">
        <v>173</v>
      </c>
      <c r="Q20" s="283">
        <f t="shared" si="0"/>
        <v>0.99900000005083589</v>
      </c>
      <c r="R20" s="248">
        <f t="shared" si="1"/>
        <v>2040</v>
      </c>
      <c r="T20" t="s">
        <v>169</v>
      </c>
      <c r="U20" t="s">
        <v>170</v>
      </c>
      <c r="V20" t="s">
        <v>272</v>
      </c>
      <c r="W20" t="s">
        <v>172</v>
      </c>
      <c r="X20" s="282">
        <v>0.98530226300000001</v>
      </c>
      <c r="Z20" t="s">
        <v>173</v>
      </c>
      <c r="AA20">
        <v>1</v>
      </c>
      <c r="AB20">
        <v>51136</v>
      </c>
      <c r="AE20" t="s">
        <v>174</v>
      </c>
      <c r="AI20" t="s">
        <v>173</v>
      </c>
      <c r="AJ20" s="283">
        <f t="shared" si="2"/>
        <v>1.0090000002457724</v>
      </c>
    </row>
    <row r="21" spans="1:36">
      <c r="A21" t="s">
        <v>169</v>
      </c>
      <c r="B21" t="s">
        <v>170</v>
      </c>
      <c r="C21" t="s">
        <v>271</v>
      </c>
      <c r="D21" t="s">
        <v>172</v>
      </c>
      <c r="E21" s="282">
        <v>1.079749313</v>
      </c>
      <c r="G21" t="s">
        <v>173</v>
      </c>
      <c r="H21">
        <v>1</v>
      </c>
      <c r="I21" s="275">
        <v>51502</v>
      </c>
      <c r="L21" t="s">
        <v>174</v>
      </c>
      <c r="P21" t="s">
        <v>173</v>
      </c>
      <c r="Q21" s="283">
        <f t="shared" si="0"/>
        <v>0.99900000013230572</v>
      </c>
      <c r="R21" s="248">
        <f t="shared" si="1"/>
        <v>2041</v>
      </c>
      <c r="T21" t="s">
        <v>169</v>
      </c>
      <c r="U21" t="s">
        <v>170</v>
      </c>
      <c r="V21" t="s">
        <v>272</v>
      </c>
      <c r="W21" t="s">
        <v>172</v>
      </c>
      <c r="X21" s="282">
        <v>0.99416998300000003</v>
      </c>
      <c r="Z21" t="s">
        <v>173</v>
      </c>
      <c r="AA21">
        <v>1</v>
      </c>
      <c r="AB21">
        <v>51502</v>
      </c>
      <c r="AE21" t="s">
        <v>174</v>
      </c>
      <c r="AI21" t="s">
        <v>173</v>
      </c>
      <c r="AJ21" s="283">
        <f t="shared" si="2"/>
        <v>1.0089999996275254</v>
      </c>
    </row>
    <row r="22" spans="1:36">
      <c r="A22" t="s">
        <v>169</v>
      </c>
      <c r="B22" t="s">
        <v>170</v>
      </c>
      <c r="C22" t="s">
        <v>271</v>
      </c>
      <c r="D22" t="s">
        <v>172</v>
      </c>
      <c r="E22" s="282">
        <v>1.077589814</v>
      </c>
      <c r="G22" t="s">
        <v>173</v>
      </c>
      <c r="H22">
        <v>1</v>
      </c>
      <c r="I22" s="275">
        <v>51867</v>
      </c>
      <c r="L22" t="s">
        <v>174</v>
      </c>
      <c r="P22" t="s">
        <v>173</v>
      </c>
      <c r="Q22" s="283">
        <f t="shared" si="0"/>
        <v>0.99799999965362329</v>
      </c>
      <c r="R22" s="248">
        <f t="shared" si="1"/>
        <v>2042</v>
      </c>
      <c r="T22" t="s">
        <v>169</v>
      </c>
      <c r="U22" t="s">
        <v>170</v>
      </c>
      <c r="V22" t="s">
        <v>272</v>
      </c>
      <c r="W22" t="s">
        <v>172</v>
      </c>
      <c r="X22" s="282">
        <v>1.0021233430000001</v>
      </c>
      <c r="Z22" t="s">
        <v>173</v>
      </c>
      <c r="AA22">
        <v>1</v>
      </c>
      <c r="AB22">
        <v>51867</v>
      </c>
      <c r="AE22" t="s">
        <v>174</v>
      </c>
      <c r="AI22" t="s">
        <v>173</v>
      </c>
      <c r="AJ22" s="283">
        <f t="shared" si="2"/>
        <v>1.0080000001367975</v>
      </c>
    </row>
    <row r="25" spans="1:36">
      <c r="A25" t="s">
        <v>153</v>
      </c>
      <c r="B25" t="s">
        <v>154</v>
      </c>
      <c r="C25" t="s">
        <v>155</v>
      </c>
      <c r="D25" t="s">
        <v>156</v>
      </c>
      <c r="E25" s="282" t="s">
        <v>157</v>
      </c>
      <c r="F25" t="s">
        <v>158</v>
      </c>
      <c r="G25" t="s">
        <v>159</v>
      </c>
      <c r="H25" t="s">
        <v>160</v>
      </c>
      <c r="I25" t="s">
        <v>161</v>
      </c>
      <c r="J25" t="s">
        <v>162</v>
      </c>
      <c r="K25" t="s">
        <v>163</v>
      </c>
      <c r="L25" t="s">
        <v>164</v>
      </c>
      <c r="M25" t="s">
        <v>165</v>
      </c>
      <c r="N25" t="s">
        <v>166</v>
      </c>
      <c r="O25" t="s">
        <v>167</v>
      </c>
      <c r="P25" t="s">
        <v>168</v>
      </c>
      <c r="S25" t="s">
        <v>0</v>
      </c>
    </row>
    <row r="26" spans="1:36">
      <c r="A26" t="s">
        <v>169</v>
      </c>
      <c r="B26" t="s">
        <v>170</v>
      </c>
      <c r="C26" t="s">
        <v>280</v>
      </c>
      <c r="D26" t="s">
        <v>172</v>
      </c>
      <c r="E26" s="282">
        <v>33.15</v>
      </c>
      <c r="G26" t="s">
        <v>173</v>
      </c>
      <c r="H26">
        <v>1</v>
      </c>
      <c r="I26" s="275">
        <v>44197</v>
      </c>
      <c r="J26" s="275"/>
      <c r="L26" t="s">
        <v>174</v>
      </c>
      <c r="P26" t="s">
        <v>173</v>
      </c>
      <c r="S26">
        <f t="shared" ref="S26:S55" si="3">YEAR(I26)</f>
        <v>2021</v>
      </c>
    </row>
    <row r="27" spans="1:36">
      <c r="A27" t="s">
        <v>169</v>
      </c>
      <c r="B27" t="s">
        <v>170</v>
      </c>
      <c r="C27" t="s">
        <v>280</v>
      </c>
      <c r="D27" t="s">
        <v>172</v>
      </c>
      <c r="E27" s="282">
        <v>34.479999999999997</v>
      </c>
      <c r="G27" t="s">
        <v>173</v>
      </c>
      <c r="H27">
        <v>1</v>
      </c>
      <c r="I27" s="275">
        <v>44562</v>
      </c>
      <c r="J27" s="275"/>
      <c r="L27" t="s">
        <v>174</v>
      </c>
      <c r="P27" t="s">
        <v>173</v>
      </c>
      <c r="Q27" s="283">
        <f>E27/E26</f>
        <v>1.0401206636500753</v>
      </c>
      <c r="S27">
        <f t="shared" si="3"/>
        <v>2022</v>
      </c>
    </row>
    <row r="28" spans="1:36">
      <c r="A28" t="s">
        <v>169</v>
      </c>
      <c r="B28" t="s">
        <v>170</v>
      </c>
      <c r="C28" t="s">
        <v>280</v>
      </c>
      <c r="D28" t="s">
        <v>172</v>
      </c>
      <c r="E28" s="282">
        <v>34.479999999999997</v>
      </c>
      <c r="G28" t="s">
        <v>173</v>
      </c>
      <c r="H28">
        <v>1</v>
      </c>
      <c r="I28" s="275">
        <v>44927</v>
      </c>
      <c r="J28" s="275"/>
      <c r="L28" t="s">
        <v>174</v>
      </c>
      <c r="P28" t="s">
        <v>173</v>
      </c>
      <c r="Q28" s="283">
        <f t="shared" ref="Q28:Q46" si="4">E28/E27</f>
        <v>1</v>
      </c>
      <c r="S28">
        <f t="shared" si="3"/>
        <v>2023</v>
      </c>
    </row>
    <row r="29" spans="1:36">
      <c r="A29" t="s">
        <v>169</v>
      </c>
      <c r="B29" t="s">
        <v>170</v>
      </c>
      <c r="C29" t="s">
        <v>280</v>
      </c>
      <c r="D29" t="s">
        <v>172</v>
      </c>
      <c r="E29" s="282">
        <v>35.799999999999997</v>
      </c>
      <c r="G29" t="s">
        <v>173</v>
      </c>
      <c r="H29">
        <v>1</v>
      </c>
      <c r="I29" s="275">
        <v>45292</v>
      </c>
      <c r="J29" s="275"/>
      <c r="L29" t="s">
        <v>174</v>
      </c>
      <c r="P29" t="s">
        <v>173</v>
      </c>
      <c r="Q29" s="283">
        <f t="shared" si="4"/>
        <v>1.0382830626450117</v>
      </c>
      <c r="S29">
        <f t="shared" si="3"/>
        <v>2024</v>
      </c>
    </row>
    <row r="30" spans="1:36">
      <c r="A30" t="s">
        <v>169</v>
      </c>
      <c r="B30" t="s">
        <v>170</v>
      </c>
      <c r="C30" t="s">
        <v>280</v>
      </c>
      <c r="D30" t="s">
        <v>172</v>
      </c>
      <c r="E30" s="282">
        <v>35.799999999999997</v>
      </c>
      <c r="G30" t="s">
        <v>173</v>
      </c>
      <c r="H30">
        <v>1</v>
      </c>
      <c r="I30" s="275">
        <v>45658</v>
      </c>
      <c r="J30" s="275"/>
      <c r="L30" t="s">
        <v>174</v>
      </c>
      <c r="P30" t="s">
        <v>173</v>
      </c>
      <c r="Q30" s="283">
        <f t="shared" si="4"/>
        <v>1</v>
      </c>
      <c r="S30">
        <f t="shared" si="3"/>
        <v>2025</v>
      </c>
    </row>
    <row r="31" spans="1:36">
      <c r="A31" t="s">
        <v>169</v>
      </c>
      <c r="B31" t="s">
        <v>170</v>
      </c>
      <c r="C31" t="s">
        <v>280</v>
      </c>
      <c r="D31" t="s">
        <v>172</v>
      </c>
      <c r="E31" s="282">
        <v>37.130000000000003</v>
      </c>
      <c r="G31" t="s">
        <v>173</v>
      </c>
      <c r="H31">
        <v>1</v>
      </c>
      <c r="I31" s="275">
        <v>46023</v>
      </c>
      <c r="J31" s="275"/>
      <c r="L31" t="s">
        <v>174</v>
      </c>
      <c r="P31" t="s">
        <v>173</v>
      </c>
      <c r="Q31" s="283">
        <f t="shared" si="4"/>
        <v>1.037150837988827</v>
      </c>
      <c r="S31">
        <f t="shared" si="3"/>
        <v>2026</v>
      </c>
    </row>
    <row r="32" spans="1:36">
      <c r="A32" t="s">
        <v>169</v>
      </c>
      <c r="B32" t="s">
        <v>170</v>
      </c>
      <c r="C32" t="s">
        <v>280</v>
      </c>
      <c r="D32" t="s">
        <v>172</v>
      </c>
      <c r="E32" s="282">
        <v>38.450000000000003</v>
      </c>
      <c r="G32" t="s">
        <v>173</v>
      </c>
      <c r="H32">
        <v>1</v>
      </c>
      <c r="I32" s="275">
        <v>46388</v>
      </c>
      <c r="J32" s="275"/>
      <c r="L32" t="s">
        <v>174</v>
      </c>
      <c r="P32" t="s">
        <v>173</v>
      </c>
      <c r="Q32" s="283">
        <f t="shared" si="4"/>
        <v>1.0355507675733908</v>
      </c>
      <c r="S32">
        <f t="shared" si="3"/>
        <v>2027</v>
      </c>
    </row>
    <row r="33" spans="1:19">
      <c r="A33" t="s">
        <v>169</v>
      </c>
      <c r="B33" t="s">
        <v>170</v>
      </c>
      <c r="C33" t="s">
        <v>280</v>
      </c>
      <c r="D33" t="s">
        <v>172</v>
      </c>
      <c r="E33" s="282">
        <v>38.450000000000003</v>
      </c>
      <c r="G33" t="s">
        <v>173</v>
      </c>
      <c r="H33">
        <v>1</v>
      </c>
      <c r="I33" s="275">
        <v>46753</v>
      </c>
      <c r="J33" s="275"/>
      <c r="L33" t="s">
        <v>174</v>
      </c>
      <c r="P33" t="s">
        <v>173</v>
      </c>
      <c r="Q33" s="283">
        <f t="shared" si="4"/>
        <v>1</v>
      </c>
      <c r="S33">
        <f t="shared" si="3"/>
        <v>2028</v>
      </c>
    </row>
    <row r="34" spans="1:19">
      <c r="A34" t="s">
        <v>169</v>
      </c>
      <c r="B34" t="s">
        <v>170</v>
      </c>
      <c r="C34" t="s">
        <v>280</v>
      </c>
      <c r="D34" t="s">
        <v>172</v>
      </c>
      <c r="E34" s="282">
        <v>39.78</v>
      </c>
      <c r="G34" t="s">
        <v>173</v>
      </c>
      <c r="H34">
        <v>1</v>
      </c>
      <c r="I34" s="275">
        <v>47119</v>
      </c>
      <c r="J34" s="275"/>
      <c r="L34" t="s">
        <v>174</v>
      </c>
      <c r="P34" t="s">
        <v>173</v>
      </c>
      <c r="Q34" s="283">
        <f t="shared" si="4"/>
        <v>1.034590377113134</v>
      </c>
      <c r="S34">
        <f t="shared" si="3"/>
        <v>2029</v>
      </c>
    </row>
    <row r="35" spans="1:19">
      <c r="A35" t="s">
        <v>169</v>
      </c>
      <c r="B35" t="s">
        <v>170</v>
      </c>
      <c r="C35" t="s">
        <v>280</v>
      </c>
      <c r="D35" t="s">
        <v>172</v>
      </c>
      <c r="E35" s="282">
        <v>39.78</v>
      </c>
      <c r="G35" t="s">
        <v>173</v>
      </c>
      <c r="H35">
        <v>1</v>
      </c>
      <c r="I35" s="275">
        <v>47484</v>
      </c>
      <c r="J35" s="275"/>
      <c r="L35" t="s">
        <v>174</v>
      </c>
      <c r="P35" t="s">
        <v>173</v>
      </c>
      <c r="Q35" s="283">
        <f t="shared" si="4"/>
        <v>1</v>
      </c>
      <c r="S35">
        <f t="shared" si="3"/>
        <v>2030</v>
      </c>
    </row>
    <row r="36" spans="1:19">
      <c r="A36" t="s">
        <v>169</v>
      </c>
      <c r="B36" t="s">
        <v>170</v>
      </c>
      <c r="C36" t="s">
        <v>280</v>
      </c>
      <c r="D36" t="s">
        <v>172</v>
      </c>
      <c r="E36" s="282">
        <v>41.11</v>
      </c>
      <c r="G36" t="s">
        <v>173</v>
      </c>
      <c r="H36">
        <v>1</v>
      </c>
      <c r="I36" s="275">
        <v>47849</v>
      </c>
      <c r="J36" s="275"/>
      <c r="L36" t="s">
        <v>174</v>
      </c>
      <c r="P36" t="s">
        <v>173</v>
      </c>
      <c r="Q36" s="283">
        <f t="shared" si="4"/>
        <v>1.0334338863750627</v>
      </c>
      <c r="S36">
        <f t="shared" si="3"/>
        <v>2031</v>
      </c>
    </row>
    <row r="37" spans="1:19">
      <c r="A37" t="s">
        <v>169</v>
      </c>
      <c r="B37" t="s">
        <v>170</v>
      </c>
      <c r="C37" t="s">
        <v>280</v>
      </c>
      <c r="D37" t="s">
        <v>172</v>
      </c>
      <c r="E37" s="282">
        <v>41.11</v>
      </c>
      <c r="G37" t="s">
        <v>173</v>
      </c>
      <c r="H37">
        <v>1</v>
      </c>
      <c r="I37" s="275">
        <v>48214</v>
      </c>
      <c r="J37" s="275"/>
      <c r="L37" t="s">
        <v>174</v>
      </c>
      <c r="P37" t="s">
        <v>173</v>
      </c>
      <c r="Q37" s="283">
        <f t="shared" si="4"/>
        <v>1</v>
      </c>
      <c r="S37">
        <f t="shared" si="3"/>
        <v>2032</v>
      </c>
    </row>
    <row r="38" spans="1:19">
      <c r="A38" t="s">
        <v>169</v>
      </c>
      <c r="B38" t="s">
        <v>170</v>
      </c>
      <c r="C38" t="s">
        <v>280</v>
      </c>
      <c r="D38" t="s">
        <v>172</v>
      </c>
      <c r="E38" s="282">
        <v>42.43</v>
      </c>
      <c r="G38" t="s">
        <v>173</v>
      </c>
      <c r="H38">
        <v>1</v>
      </c>
      <c r="I38" s="275">
        <v>48580</v>
      </c>
      <c r="J38" s="275"/>
      <c r="L38" t="s">
        <v>174</v>
      </c>
      <c r="P38" t="s">
        <v>173</v>
      </c>
      <c r="Q38" s="283">
        <f t="shared" si="4"/>
        <v>1.032108975918268</v>
      </c>
      <c r="S38">
        <f t="shared" si="3"/>
        <v>2033</v>
      </c>
    </row>
    <row r="39" spans="1:19">
      <c r="A39" t="s">
        <v>169</v>
      </c>
      <c r="B39" t="s">
        <v>170</v>
      </c>
      <c r="C39" t="s">
        <v>280</v>
      </c>
      <c r="D39" t="s">
        <v>172</v>
      </c>
      <c r="E39" s="282">
        <v>43.76</v>
      </c>
      <c r="G39" t="s">
        <v>173</v>
      </c>
      <c r="H39">
        <v>1</v>
      </c>
      <c r="I39" s="275">
        <v>48945</v>
      </c>
      <c r="J39" s="275"/>
      <c r="L39" t="s">
        <v>174</v>
      </c>
      <c r="P39" t="s">
        <v>173</v>
      </c>
      <c r="Q39" s="283">
        <f t="shared" si="4"/>
        <v>1.0313457459344804</v>
      </c>
      <c r="S39">
        <f t="shared" si="3"/>
        <v>2034</v>
      </c>
    </row>
    <row r="40" spans="1:19">
      <c r="A40" t="s">
        <v>169</v>
      </c>
      <c r="B40" t="s">
        <v>170</v>
      </c>
      <c r="C40" t="s">
        <v>280</v>
      </c>
      <c r="D40" t="s">
        <v>172</v>
      </c>
      <c r="E40" s="282">
        <v>43.76</v>
      </c>
      <c r="G40" t="s">
        <v>173</v>
      </c>
      <c r="H40">
        <v>1</v>
      </c>
      <c r="I40" s="275">
        <v>49310</v>
      </c>
      <c r="J40" s="275"/>
      <c r="L40" t="s">
        <v>174</v>
      </c>
      <c r="P40" t="s">
        <v>173</v>
      </c>
      <c r="Q40" s="283">
        <f t="shared" si="4"/>
        <v>1</v>
      </c>
      <c r="S40">
        <f t="shared" si="3"/>
        <v>2035</v>
      </c>
    </row>
    <row r="41" spans="1:19">
      <c r="A41" t="s">
        <v>169</v>
      </c>
      <c r="B41" t="s">
        <v>170</v>
      </c>
      <c r="C41" t="s">
        <v>280</v>
      </c>
      <c r="D41" t="s">
        <v>172</v>
      </c>
      <c r="E41" s="282">
        <v>45.08</v>
      </c>
      <c r="G41" t="s">
        <v>173</v>
      </c>
      <c r="H41">
        <v>1</v>
      </c>
      <c r="I41" s="275">
        <v>49675</v>
      </c>
      <c r="J41" s="275"/>
      <c r="L41" t="s">
        <v>174</v>
      </c>
      <c r="P41" t="s">
        <v>173</v>
      </c>
      <c r="Q41" s="283">
        <f t="shared" si="4"/>
        <v>1.0301645338208409</v>
      </c>
      <c r="S41">
        <f t="shared" si="3"/>
        <v>2036</v>
      </c>
    </row>
    <row r="42" spans="1:19">
      <c r="A42" t="s">
        <v>169</v>
      </c>
      <c r="B42" t="s">
        <v>170</v>
      </c>
      <c r="C42" t="s">
        <v>280</v>
      </c>
      <c r="D42" t="s">
        <v>172</v>
      </c>
      <c r="E42" s="282">
        <v>46.41</v>
      </c>
      <c r="G42" t="s">
        <v>173</v>
      </c>
      <c r="H42">
        <v>1</v>
      </c>
      <c r="I42" s="275">
        <v>50041</v>
      </c>
      <c r="J42" s="275"/>
      <c r="L42" t="s">
        <v>174</v>
      </c>
      <c r="P42" t="s">
        <v>173</v>
      </c>
      <c r="Q42" s="283">
        <f t="shared" si="4"/>
        <v>1.0295031055900621</v>
      </c>
      <c r="S42">
        <f t="shared" si="3"/>
        <v>2037</v>
      </c>
    </row>
    <row r="43" spans="1:19">
      <c r="A43" t="s">
        <v>169</v>
      </c>
      <c r="B43" t="s">
        <v>170</v>
      </c>
      <c r="C43" t="s">
        <v>280</v>
      </c>
      <c r="D43" t="s">
        <v>172</v>
      </c>
      <c r="E43" s="282">
        <v>46.41</v>
      </c>
      <c r="G43" t="s">
        <v>173</v>
      </c>
      <c r="H43">
        <v>1</v>
      </c>
      <c r="I43" s="275">
        <v>50406</v>
      </c>
      <c r="J43" s="275"/>
      <c r="L43" t="s">
        <v>174</v>
      </c>
      <c r="P43" t="s">
        <v>173</v>
      </c>
      <c r="Q43" s="283">
        <f t="shared" si="4"/>
        <v>1</v>
      </c>
      <c r="S43">
        <f t="shared" si="3"/>
        <v>2038</v>
      </c>
    </row>
    <row r="44" spans="1:19">
      <c r="A44" t="s">
        <v>169</v>
      </c>
      <c r="B44" t="s">
        <v>170</v>
      </c>
      <c r="C44" t="s">
        <v>280</v>
      </c>
      <c r="D44" t="s">
        <v>172</v>
      </c>
      <c r="E44" s="282">
        <v>47.74</v>
      </c>
      <c r="G44" t="s">
        <v>173</v>
      </c>
      <c r="H44">
        <v>1</v>
      </c>
      <c r="I44" s="275">
        <v>50771</v>
      </c>
      <c r="J44" s="275"/>
      <c r="L44" t="s">
        <v>174</v>
      </c>
      <c r="P44" t="s">
        <v>173</v>
      </c>
      <c r="Q44" s="283">
        <f t="shared" si="4"/>
        <v>1.0286576168929111</v>
      </c>
      <c r="S44">
        <f t="shared" si="3"/>
        <v>2039</v>
      </c>
    </row>
    <row r="45" spans="1:19">
      <c r="A45" t="s">
        <v>169</v>
      </c>
      <c r="B45" t="s">
        <v>170</v>
      </c>
      <c r="C45" t="s">
        <v>280</v>
      </c>
      <c r="D45" t="s">
        <v>172</v>
      </c>
      <c r="E45" s="282">
        <v>49.06</v>
      </c>
      <c r="G45" t="s">
        <v>173</v>
      </c>
      <c r="H45">
        <v>1</v>
      </c>
      <c r="I45" s="275">
        <v>51136</v>
      </c>
      <c r="J45" s="275"/>
      <c r="L45" t="s">
        <v>174</v>
      </c>
      <c r="P45" t="s">
        <v>173</v>
      </c>
      <c r="Q45" s="283">
        <f t="shared" si="4"/>
        <v>1.0276497695852536</v>
      </c>
      <c r="S45">
        <f t="shared" si="3"/>
        <v>2040</v>
      </c>
    </row>
    <row r="46" spans="1:19">
      <c r="A46" t="s">
        <v>169</v>
      </c>
      <c r="B46" t="s">
        <v>170</v>
      </c>
      <c r="C46" t="s">
        <v>280</v>
      </c>
      <c r="D46" t="s">
        <v>172</v>
      </c>
      <c r="E46" s="282">
        <v>50.39</v>
      </c>
      <c r="G46" t="s">
        <v>173</v>
      </c>
      <c r="H46">
        <v>1</v>
      </c>
      <c r="I46" s="275">
        <v>51502</v>
      </c>
      <c r="J46" s="275"/>
      <c r="L46" t="s">
        <v>174</v>
      </c>
      <c r="P46" t="s">
        <v>173</v>
      </c>
      <c r="Q46" s="283">
        <f t="shared" si="4"/>
        <v>1.0271096616388096</v>
      </c>
      <c r="S46">
        <f t="shared" si="3"/>
        <v>2041</v>
      </c>
    </row>
    <row r="47" spans="1:19">
      <c r="A47" t="s">
        <v>169</v>
      </c>
      <c r="B47" t="s">
        <v>170</v>
      </c>
      <c r="C47" t="s">
        <v>280</v>
      </c>
      <c r="D47" t="s">
        <v>172</v>
      </c>
      <c r="E47" s="282">
        <v>50.39</v>
      </c>
      <c r="G47" t="s">
        <v>173</v>
      </c>
      <c r="H47">
        <v>1</v>
      </c>
      <c r="I47" s="275">
        <v>51867</v>
      </c>
      <c r="J47" s="275"/>
      <c r="L47" t="s">
        <v>174</v>
      </c>
      <c r="P47" t="s">
        <v>173</v>
      </c>
      <c r="S47">
        <f t="shared" si="3"/>
        <v>2042</v>
      </c>
    </row>
    <row r="48" spans="1:19">
      <c r="A48" t="s">
        <v>169</v>
      </c>
      <c r="B48" t="s">
        <v>170</v>
      </c>
      <c r="C48" t="s">
        <v>280</v>
      </c>
      <c r="D48" t="s">
        <v>172</v>
      </c>
      <c r="E48" s="282">
        <v>51.71</v>
      </c>
      <c r="G48" t="s">
        <v>173</v>
      </c>
      <c r="H48">
        <v>1</v>
      </c>
      <c r="I48" s="275">
        <v>52232</v>
      </c>
      <c r="J48" s="275"/>
      <c r="L48" t="s">
        <v>174</v>
      </c>
      <c r="P48" t="s">
        <v>173</v>
      </c>
      <c r="S48">
        <f t="shared" si="3"/>
        <v>2043</v>
      </c>
    </row>
    <row r="49" spans="1:19">
      <c r="A49" t="s">
        <v>169</v>
      </c>
      <c r="B49" t="s">
        <v>170</v>
      </c>
      <c r="C49" t="s">
        <v>280</v>
      </c>
      <c r="D49" t="s">
        <v>172</v>
      </c>
      <c r="E49" s="282">
        <v>53.04</v>
      </c>
      <c r="G49" t="s">
        <v>173</v>
      </c>
      <c r="H49">
        <v>1</v>
      </c>
      <c r="I49" s="275">
        <v>52597</v>
      </c>
      <c r="J49" s="275"/>
      <c r="L49" t="s">
        <v>174</v>
      </c>
      <c r="P49" t="s">
        <v>173</v>
      </c>
      <c r="S49">
        <f t="shared" si="3"/>
        <v>2044</v>
      </c>
    </row>
    <row r="50" spans="1:19">
      <c r="A50" t="s">
        <v>169</v>
      </c>
      <c r="B50" t="s">
        <v>170</v>
      </c>
      <c r="C50" t="s">
        <v>280</v>
      </c>
      <c r="D50" t="s">
        <v>172</v>
      </c>
      <c r="E50" s="282">
        <v>54.37</v>
      </c>
      <c r="G50" t="s">
        <v>173</v>
      </c>
      <c r="H50">
        <v>1</v>
      </c>
      <c r="I50" s="275">
        <v>52963</v>
      </c>
      <c r="J50" s="275"/>
      <c r="L50" t="s">
        <v>174</v>
      </c>
      <c r="P50" t="s">
        <v>173</v>
      </c>
      <c r="S50">
        <f t="shared" si="3"/>
        <v>2045</v>
      </c>
    </row>
    <row r="51" spans="1:19">
      <c r="A51" t="s">
        <v>169</v>
      </c>
      <c r="B51" t="s">
        <v>170</v>
      </c>
      <c r="C51" t="s">
        <v>280</v>
      </c>
      <c r="D51" t="s">
        <v>172</v>
      </c>
      <c r="E51" s="282">
        <v>55.69</v>
      </c>
      <c r="G51" t="s">
        <v>173</v>
      </c>
      <c r="H51">
        <v>1</v>
      </c>
      <c r="I51" s="275">
        <v>53328</v>
      </c>
      <c r="J51" s="275"/>
      <c r="L51" t="s">
        <v>174</v>
      </c>
      <c r="P51" t="s">
        <v>173</v>
      </c>
      <c r="S51">
        <f t="shared" si="3"/>
        <v>2046</v>
      </c>
    </row>
    <row r="52" spans="1:19">
      <c r="A52" t="s">
        <v>169</v>
      </c>
      <c r="B52" t="s">
        <v>170</v>
      </c>
      <c r="C52" t="s">
        <v>280</v>
      </c>
      <c r="D52" t="s">
        <v>172</v>
      </c>
      <c r="E52" s="282">
        <v>55.69</v>
      </c>
      <c r="G52" t="s">
        <v>173</v>
      </c>
      <c r="H52">
        <v>1</v>
      </c>
      <c r="I52" s="275">
        <v>53693</v>
      </c>
      <c r="J52" s="275"/>
      <c r="L52" t="s">
        <v>174</v>
      </c>
      <c r="P52" t="s">
        <v>173</v>
      </c>
      <c r="S52">
        <f t="shared" si="3"/>
        <v>2047</v>
      </c>
    </row>
    <row r="53" spans="1:19">
      <c r="A53" t="s">
        <v>169</v>
      </c>
      <c r="B53" t="s">
        <v>170</v>
      </c>
      <c r="C53" t="s">
        <v>280</v>
      </c>
      <c r="D53" t="s">
        <v>172</v>
      </c>
      <c r="E53" s="282">
        <v>57.02</v>
      </c>
      <c r="G53" t="s">
        <v>173</v>
      </c>
      <c r="H53">
        <v>1</v>
      </c>
      <c r="I53" s="275">
        <v>54058</v>
      </c>
      <c r="J53" s="275"/>
      <c r="L53" t="s">
        <v>174</v>
      </c>
      <c r="P53" t="s">
        <v>173</v>
      </c>
      <c r="S53">
        <f t="shared" si="3"/>
        <v>2048</v>
      </c>
    </row>
    <row r="54" spans="1:19">
      <c r="A54" t="s">
        <v>169</v>
      </c>
      <c r="B54" t="s">
        <v>170</v>
      </c>
      <c r="C54" t="s">
        <v>280</v>
      </c>
      <c r="D54" t="s">
        <v>172</v>
      </c>
      <c r="E54" s="282">
        <v>58.35</v>
      </c>
      <c r="G54" t="s">
        <v>173</v>
      </c>
      <c r="H54">
        <v>1</v>
      </c>
      <c r="I54" s="275">
        <v>54424</v>
      </c>
      <c r="J54" s="275"/>
      <c r="L54" t="s">
        <v>174</v>
      </c>
      <c r="P54" t="s">
        <v>173</v>
      </c>
      <c r="S54">
        <f t="shared" si="3"/>
        <v>2049</v>
      </c>
    </row>
    <row r="55" spans="1:19">
      <c r="A55" t="s">
        <v>169</v>
      </c>
      <c r="B55" t="s">
        <v>170</v>
      </c>
      <c r="C55" t="s">
        <v>280</v>
      </c>
      <c r="D55" t="s">
        <v>172</v>
      </c>
      <c r="E55" s="282">
        <v>59.67</v>
      </c>
      <c r="G55" t="s">
        <v>173</v>
      </c>
      <c r="H55">
        <v>1</v>
      </c>
      <c r="I55" s="275">
        <v>54789</v>
      </c>
      <c r="J55" s="275"/>
      <c r="L55" t="s">
        <v>174</v>
      </c>
      <c r="P55" t="s">
        <v>173</v>
      </c>
      <c r="S55">
        <f t="shared" si="3"/>
        <v>2050</v>
      </c>
    </row>
    <row r="57" spans="1:19">
      <c r="A57" t="s">
        <v>153</v>
      </c>
      <c r="B57" t="s">
        <v>154</v>
      </c>
      <c r="C57" t="s">
        <v>155</v>
      </c>
      <c r="D57" t="s">
        <v>156</v>
      </c>
      <c r="E57" s="282" t="s">
        <v>157</v>
      </c>
      <c r="F57" t="s">
        <v>158</v>
      </c>
      <c r="G57" t="s">
        <v>159</v>
      </c>
      <c r="H57" t="s">
        <v>160</v>
      </c>
      <c r="I57" t="s">
        <v>161</v>
      </c>
      <c r="J57" t="s">
        <v>162</v>
      </c>
      <c r="K57" t="s">
        <v>163</v>
      </c>
      <c r="L57" t="s">
        <v>164</v>
      </c>
      <c r="M57" t="s">
        <v>165</v>
      </c>
      <c r="N57" t="s">
        <v>166</v>
      </c>
      <c r="O57" t="s">
        <v>167</v>
      </c>
      <c r="P57" t="s">
        <v>168</v>
      </c>
      <c r="S57" t="s">
        <v>0</v>
      </c>
    </row>
    <row r="58" spans="1:19">
      <c r="A58" t="s">
        <v>169</v>
      </c>
      <c r="B58" t="s">
        <v>170</v>
      </c>
      <c r="C58" t="s">
        <v>319</v>
      </c>
      <c r="D58" t="s">
        <v>172</v>
      </c>
      <c r="E58" s="282">
        <v>1</v>
      </c>
      <c r="G58" t="s">
        <v>173</v>
      </c>
      <c r="H58">
        <v>1</v>
      </c>
      <c r="I58" s="275">
        <v>44562</v>
      </c>
      <c r="L58" t="s">
        <v>174</v>
      </c>
      <c r="P58" t="s">
        <v>173</v>
      </c>
      <c r="S58">
        <f t="shared" ref="S58:S80" si="5">YEAR(I58)</f>
        <v>2022</v>
      </c>
    </row>
    <row r="59" spans="1:19">
      <c r="A59" t="s">
        <v>169</v>
      </c>
      <c r="B59" t="s">
        <v>170</v>
      </c>
      <c r="C59" t="s">
        <v>319</v>
      </c>
      <c r="D59" t="s">
        <v>172</v>
      </c>
      <c r="E59" s="282">
        <v>1.2730999999999999</v>
      </c>
      <c r="G59" t="s">
        <v>173</v>
      </c>
      <c r="H59">
        <v>1</v>
      </c>
      <c r="I59" s="275">
        <v>44927</v>
      </c>
      <c r="L59" t="s">
        <v>174</v>
      </c>
      <c r="P59" t="s">
        <v>173</v>
      </c>
      <c r="Q59" s="283">
        <f>E59/E58</f>
        <v>1.2730999999999999</v>
      </c>
      <c r="S59">
        <f t="shared" si="5"/>
        <v>2023</v>
      </c>
    </row>
    <row r="60" spans="1:19">
      <c r="A60" t="s">
        <v>169</v>
      </c>
      <c r="B60" t="s">
        <v>170</v>
      </c>
      <c r="C60" t="s">
        <v>319</v>
      </c>
      <c r="D60" t="s">
        <v>172</v>
      </c>
      <c r="E60" s="282">
        <v>1.2730999999999999</v>
      </c>
      <c r="G60" t="s">
        <v>173</v>
      </c>
      <c r="H60">
        <v>1</v>
      </c>
      <c r="I60" s="275">
        <v>45292</v>
      </c>
      <c r="L60" t="s">
        <v>174</v>
      </c>
      <c r="P60" t="s">
        <v>173</v>
      </c>
      <c r="Q60" s="283">
        <f t="shared" ref="Q60:Q78" si="6">E60/E59</f>
        <v>1</v>
      </c>
      <c r="S60">
        <f t="shared" si="5"/>
        <v>2024</v>
      </c>
    </row>
    <row r="61" spans="1:19">
      <c r="A61" t="s">
        <v>169</v>
      </c>
      <c r="B61" t="s">
        <v>170</v>
      </c>
      <c r="C61" t="s">
        <v>319</v>
      </c>
      <c r="D61" t="s">
        <v>172</v>
      </c>
      <c r="E61" s="282">
        <v>1.2730999999999999</v>
      </c>
      <c r="G61" t="s">
        <v>173</v>
      </c>
      <c r="H61">
        <v>1</v>
      </c>
      <c r="I61" s="275">
        <v>45658</v>
      </c>
      <c r="L61" t="s">
        <v>174</v>
      </c>
      <c r="P61" t="s">
        <v>173</v>
      </c>
      <c r="Q61" s="283">
        <f t="shared" si="6"/>
        <v>1</v>
      </c>
      <c r="S61">
        <f t="shared" si="5"/>
        <v>2025</v>
      </c>
    </row>
    <row r="62" spans="1:19">
      <c r="A62" t="s">
        <v>169</v>
      </c>
      <c r="B62" t="s">
        <v>170</v>
      </c>
      <c r="C62" t="s">
        <v>319</v>
      </c>
      <c r="D62" t="s">
        <v>172</v>
      </c>
      <c r="E62" s="282">
        <v>1.2730999999999999</v>
      </c>
      <c r="G62" t="s">
        <v>173</v>
      </c>
      <c r="H62">
        <v>1</v>
      </c>
      <c r="I62" s="275">
        <v>46023</v>
      </c>
      <c r="L62" t="s">
        <v>174</v>
      </c>
      <c r="P62" t="s">
        <v>173</v>
      </c>
      <c r="Q62" s="283">
        <f t="shared" si="6"/>
        <v>1</v>
      </c>
      <c r="S62">
        <f t="shared" si="5"/>
        <v>2026</v>
      </c>
    </row>
    <row r="63" spans="1:19">
      <c r="A63" t="s">
        <v>169</v>
      </c>
      <c r="B63" t="s">
        <v>170</v>
      </c>
      <c r="C63" t="s">
        <v>319</v>
      </c>
      <c r="D63" t="s">
        <v>172</v>
      </c>
      <c r="E63" s="282">
        <v>1.2730999999999999</v>
      </c>
      <c r="G63" t="s">
        <v>173</v>
      </c>
      <c r="H63">
        <v>1</v>
      </c>
      <c r="I63" s="275">
        <v>46388</v>
      </c>
      <c r="L63" t="s">
        <v>174</v>
      </c>
      <c r="P63" t="s">
        <v>173</v>
      </c>
      <c r="Q63" s="283">
        <f t="shared" si="6"/>
        <v>1</v>
      </c>
      <c r="S63">
        <f t="shared" si="5"/>
        <v>2027</v>
      </c>
    </row>
    <row r="64" spans="1:19">
      <c r="A64" t="s">
        <v>169</v>
      </c>
      <c r="B64" t="s">
        <v>170</v>
      </c>
      <c r="C64" t="s">
        <v>319</v>
      </c>
      <c r="D64" t="s">
        <v>172</v>
      </c>
      <c r="E64" s="282">
        <v>1.2730999999999999</v>
      </c>
      <c r="G64" t="s">
        <v>173</v>
      </c>
      <c r="H64">
        <v>1</v>
      </c>
      <c r="I64" s="275">
        <v>46753</v>
      </c>
      <c r="L64" t="s">
        <v>174</v>
      </c>
      <c r="P64" t="s">
        <v>173</v>
      </c>
      <c r="Q64" s="283">
        <f t="shared" si="6"/>
        <v>1</v>
      </c>
      <c r="S64">
        <f t="shared" si="5"/>
        <v>2028</v>
      </c>
    </row>
    <row r="65" spans="1:19">
      <c r="A65" t="s">
        <v>169</v>
      </c>
      <c r="B65" t="s">
        <v>170</v>
      </c>
      <c r="C65" t="s">
        <v>319</v>
      </c>
      <c r="D65" t="s">
        <v>172</v>
      </c>
      <c r="E65" s="282">
        <v>1.1814368</v>
      </c>
      <c r="G65" t="s">
        <v>173</v>
      </c>
      <c r="H65">
        <v>1</v>
      </c>
      <c r="I65" s="275">
        <v>47119</v>
      </c>
      <c r="L65" t="s">
        <v>174</v>
      </c>
      <c r="P65" t="s">
        <v>173</v>
      </c>
      <c r="Q65" s="283">
        <f t="shared" si="6"/>
        <v>0.92800000000000005</v>
      </c>
      <c r="S65">
        <f t="shared" si="5"/>
        <v>2029</v>
      </c>
    </row>
    <row r="66" spans="1:19">
      <c r="A66" t="s">
        <v>169</v>
      </c>
      <c r="B66" t="s">
        <v>170</v>
      </c>
      <c r="C66" t="s">
        <v>319</v>
      </c>
      <c r="D66" t="s">
        <v>172</v>
      </c>
      <c r="E66" s="282">
        <v>1.0892847299999999</v>
      </c>
      <c r="G66" t="s">
        <v>173</v>
      </c>
      <c r="H66">
        <v>1</v>
      </c>
      <c r="I66" s="275">
        <v>47484</v>
      </c>
      <c r="L66" t="s">
        <v>174</v>
      </c>
      <c r="P66" t="s">
        <v>173</v>
      </c>
      <c r="Q66" s="283">
        <f t="shared" si="6"/>
        <v>0.92200000033857077</v>
      </c>
      <c r="S66">
        <f t="shared" si="5"/>
        <v>2030</v>
      </c>
    </row>
    <row r="67" spans="1:19">
      <c r="A67" t="s">
        <v>169</v>
      </c>
      <c r="B67" t="s">
        <v>170</v>
      </c>
      <c r="C67" t="s">
        <v>319</v>
      </c>
      <c r="D67" t="s">
        <v>172</v>
      </c>
      <c r="E67" s="282">
        <v>0.99778481200000002</v>
      </c>
      <c r="G67" t="s">
        <v>173</v>
      </c>
      <c r="H67">
        <v>1</v>
      </c>
      <c r="I67" s="275">
        <v>47849</v>
      </c>
      <c r="L67" t="s">
        <v>174</v>
      </c>
      <c r="P67" t="s">
        <v>173</v>
      </c>
      <c r="Q67" s="283">
        <f t="shared" si="6"/>
        <v>0.91599999937573717</v>
      </c>
      <c r="S67">
        <f t="shared" si="5"/>
        <v>2031</v>
      </c>
    </row>
    <row r="68" spans="1:19">
      <c r="A68" t="s">
        <v>169</v>
      </c>
      <c r="B68" t="s">
        <v>170</v>
      </c>
      <c r="C68" t="s">
        <v>319</v>
      </c>
      <c r="D68" t="s">
        <v>172</v>
      </c>
      <c r="E68" s="282">
        <v>0.90598860999999997</v>
      </c>
      <c r="G68" t="s">
        <v>173</v>
      </c>
      <c r="H68">
        <v>1</v>
      </c>
      <c r="I68" s="275">
        <v>48214</v>
      </c>
      <c r="L68" t="s">
        <v>174</v>
      </c>
      <c r="P68" t="s">
        <v>173</v>
      </c>
      <c r="Q68" s="283">
        <f t="shared" si="6"/>
        <v>0.90800000070556286</v>
      </c>
      <c r="S68">
        <f t="shared" si="5"/>
        <v>2032</v>
      </c>
    </row>
    <row r="69" spans="1:19">
      <c r="A69" t="s">
        <v>169</v>
      </c>
      <c r="B69" t="s">
        <v>170</v>
      </c>
      <c r="C69" t="s">
        <v>319</v>
      </c>
      <c r="D69" t="s">
        <v>172</v>
      </c>
      <c r="E69" s="282">
        <v>0.92229640499999999</v>
      </c>
      <c r="G69" t="s">
        <v>173</v>
      </c>
      <c r="H69">
        <v>1</v>
      </c>
      <c r="I69" s="275">
        <v>48580</v>
      </c>
      <c r="L69" t="s">
        <v>174</v>
      </c>
      <c r="P69" t="s">
        <v>173</v>
      </c>
      <c r="Q69" s="283">
        <f t="shared" si="6"/>
        <v>1.0180000000220752</v>
      </c>
      <c r="S69">
        <f t="shared" si="5"/>
        <v>2033</v>
      </c>
    </row>
    <row r="70" spans="1:19">
      <c r="A70" t="s">
        <v>169</v>
      </c>
      <c r="B70" t="s">
        <v>170</v>
      </c>
      <c r="C70" t="s">
        <v>319</v>
      </c>
      <c r="D70" t="s">
        <v>172</v>
      </c>
      <c r="E70" s="282">
        <v>0.93889774000000004</v>
      </c>
      <c r="G70" t="s">
        <v>173</v>
      </c>
      <c r="H70">
        <v>1</v>
      </c>
      <c r="I70" s="275">
        <v>48945</v>
      </c>
      <c r="L70" t="s">
        <v>174</v>
      </c>
      <c r="P70" t="s">
        <v>173</v>
      </c>
      <c r="Q70" s="283">
        <f t="shared" si="6"/>
        <v>1.0179999996855675</v>
      </c>
      <c r="S70">
        <f t="shared" si="5"/>
        <v>2034</v>
      </c>
    </row>
    <row r="71" spans="1:19">
      <c r="A71" t="s">
        <v>169</v>
      </c>
      <c r="B71" t="s">
        <v>170</v>
      </c>
      <c r="C71" t="s">
        <v>319</v>
      </c>
      <c r="D71" t="s">
        <v>172</v>
      </c>
      <c r="E71" s="282">
        <v>0.95579789900000001</v>
      </c>
      <c r="G71" t="s">
        <v>173</v>
      </c>
      <c r="H71">
        <v>1</v>
      </c>
      <c r="I71" s="275">
        <v>49310</v>
      </c>
      <c r="L71" t="s">
        <v>174</v>
      </c>
      <c r="P71" t="s">
        <v>173</v>
      </c>
      <c r="Q71" s="283">
        <f t="shared" si="6"/>
        <v>1.0179999996591749</v>
      </c>
      <c r="S71">
        <f t="shared" si="5"/>
        <v>2035</v>
      </c>
    </row>
    <row r="72" spans="1:19">
      <c r="A72" t="s">
        <v>169</v>
      </c>
      <c r="B72" t="s">
        <v>170</v>
      </c>
      <c r="C72" t="s">
        <v>319</v>
      </c>
      <c r="D72" t="s">
        <v>172</v>
      </c>
      <c r="E72" s="282">
        <v>0.97300226099999998</v>
      </c>
      <c r="G72" t="s">
        <v>173</v>
      </c>
      <c r="H72">
        <v>1</v>
      </c>
      <c r="I72" s="275">
        <v>49675</v>
      </c>
      <c r="L72" t="s">
        <v>174</v>
      </c>
      <c r="P72" t="s">
        <v>173</v>
      </c>
      <c r="Q72" s="283">
        <f t="shared" si="6"/>
        <v>1.0179999998095832</v>
      </c>
      <c r="S72">
        <f t="shared" si="5"/>
        <v>2036</v>
      </c>
    </row>
    <row r="73" spans="1:19">
      <c r="A73" t="s">
        <v>169</v>
      </c>
      <c r="B73" t="s">
        <v>170</v>
      </c>
      <c r="C73" t="s">
        <v>319</v>
      </c>
      <c r="D73" t="s">
        <v>172</v>
      </c>
      <c r="E73" s="282">
        <v>0.99051630199999996</v>
      </c>
      <c r="G73" t="s">
        <v>173</v>
      </c>
      <c r="H73">
        <v>1</v>
      </c>
      <c r="I73" s="275">
        <v>50041</v>
      </c>
      <c r="L73" t="s">
        <v>174</v>
      </c>
      <c r="P73" t="s">
        <v>173</v>
      </c>
      <c r="Q73" s="283">
        <f t="shared" si="6"/>
        <v>1.0180000003103795</v>
      </c>
      <c r="S73">
        <f t="shared" si="5"/>
        <v>2037</v>
      </c>
    </row>
    <row r="74" spans="1:19">
      <c r="A74" t="s">
        <v>169</v>
      </c>
      <c r="B74" t="s">
        <v>170</v>
      </c>
      <c r="C74" t="s">
        <v>319</v>
      </c>
      <c r="D74" t="s">
        <v>172</v>
      </c>
      <c r="E74" s="282">
        <v>1.008345595</v>
      </c>
      <c r="G74" t="s">
        <v>173</v>
      </c>
      <c r="H74">
        <v>1</v>
      </c>
      <c r="I74" s="275">
        <v>50406</v>
      </c>
      <c r="L74" t="s">
        <v>174</v>
      </c>
      <c r="P74" t="s">
        <v>173</v>
      </c>
      <c r="Q74" s="283">
        <f t="shared" si="6"/>
        <v>1.0179999995598255</v>
      </c>
      <c r="S74">
        <f t="shared" si="5"/>
        <v>2038</v>
      </c>
    </row>
    <row r="75" spans="1:19">
      <c r="A75" t="s">
        <v>169</v>
      </c>
      <c r="B75" t="s">
        <v>170</v>
      </c>
      <c r="C75" t="s">
        <v>319</v>
      </c>
      <c r="D75" t="s">
        <v>172</v>
      </c>
      <c r="E75" s="282">
        <v>1.0264958159999999</v>
      </c>
      <c r="G75" t="s">
        <v>173</v>
      </c>
      <c r="H75">
        <v>1</v>
      </c>
      <c r="I75" s="275">
        <v>50771</v>
      </c>
      <c r="L75" t="s">
        <v>174</v>
      </c>
      <c r="P75" t="s">
        <v>173</v>
      </c>
      <c r="Q75" s="283">
        <f t="shared" si="6"/>
        <v>1.0180000002875997</v>
      </c>
      <c r="S75">
        <f t="shared" si="5"/>
        <v>2039</v>
      </c>
    </row>
    <row r="76" spans="1:19">
      <c r="A76" t="s">
        <v>169</v>
      </c>
      <c r="B76" t="s">
        <v>170</v>
      </c>
      <c r="C76" t="s">
        <v>319</v>
      </c>
      <c r="D76" t="s">
        <v>172</v>
      </c>
      <c r="E76" s="282">
        <v>1.044972741</v>
      </c>
      <c r="G76" t="s">
        <v>173</v>
      </c>
      <c r="H76">
        <v>1</v>
      </c>
      <c r="I76" s="275">
        <v>51136</v>
      </c>
      <c r="L76" t="s">
        <v>174</v>
      </c>
      <c r="P76" t="s">
        <v>173</v>
      </c>
      <c r="Q76" s="283">
        <f t="shared" si="6"/>
        <v>1.0180000003039467</v>
      </c>
      <c r="S76">
        <f t="shared" si="5"/>
        <v>2040</v>
      </c>
    </row>
    <row r="77" spans="1:19">
      <c r="A77" t="s">
        <v>169</v>
      </c>
      <c r="B77" t="s">
        <v>170</v>
      </c>
      <c r="C77" t="s">
        <v>319</v>
      </c>
      <c r="D77" t="s">
        <v>172</v>
      </c>
      <c r="E77" s="282">
        <v>1.0543774960000001</v>
      </c>
      <c r="G77" t="s">
        <v>173</v>
      </c>
      <c r="H77">
        <v>1</v>
      </c>
      <c r="I77" s="275">
        <v>51502</v>
      </c>
      <c r="L77" t="s">
        <v>174</v>
      </c>
      <c r="P77" t="s">
        <v>173</v>
      </c>
      <c r="Q77" s="283">
        <f t="shared" si="6"/>
        <v>1.0090000003167547</v>
      </c>
      <c r="S77">
        <f t="shared" si="5"/>
        <v>2041</v>
      </c>
    </row>
    <row r="78" spans="1:19">
      <c r="A78" t="s">
        <v>169</v>
      </c>
      <c r="B78" t="s">
        <v>170</v>
      </c>
      <c r="C78" t="s">
        <v>319</v>
      </c>
      <c r="D78" t="s">
        <v>172</v>
      </c>
      <c r="E78" s="282">
        <v>1.0628125159999999</v>
      </c>
      <c r="G78" t="s">
        <v>173</v>
      </c>
      <c r="H78">
        <v>1</v>
      </c>
      <c r="I78" s="275">
        <v>51867</v>
      </c>
      <c r="L78" t="s">
        <v>174</v>
      </c>
      <c r="P78" t="s">
        <v>173</v>
      </c>
      <c r="Q78" s="283">
        <f t="shared" si="6"/>
        <v>1.0080000000303495</v>
      </c>
      <c r="S78">
        <f t="shared" si="5"/>
        <v>2042</v>
      </c>
    </row>
    <row r="79" spans="1:19">
      <c r="S79">
        <f t="shared" si="5"/>
        <v>1900</v>
      </c>
    </row>
    <row r="80" spans="1:19">
      <c r="S80">
        <f t="shared" si="5"/>
        <v>1900</v>
      </c>
    </row>
    <row r="83" spans="9:9">
      <c r="I83" s="275"/>
    </row>
    <row r="84" spans="9:9">
      <c r="I84" s="275"/>
    </row>
    <row r="85" spans="9:9">
      <c r="I85" s="275"/>
    </row>
    <row r="86" spans="9:9">
      <c r="I86" s="275"/>
    </row>
    <row r="87" spans="9:9">
      <c r="I87" s="275"/>
    </row>
    <row r="88" spans="9:9">
      <c r="I88" s="275"/>
    </row>
    <row r="89" spans="9:9">
      <c r="I89" s="275"/>
    </row>
    <row r="90" spans="9:9">
      <c r="I90" s="275"/>
    </row>
    <row r="91" spans="9:9">
      <c r="I91" s="275"/>
    </row>
    <row r="92" spans="9:9">
      <c r="I92" s="275"/>
    </row>
    <row r="93" spans="9:9">
      <c r="I93" s="275"/>
    </row>
    <row r="94" spans="9:9">
      <c r="I94" s="275"/>
    </row>
    <row r="95" spans="9:9">
      <c r="I95" s="275"/>
    </row>
    <row r="96" spans="9:9">
      <c r="I96" s="275"/>
    </row>
    <row r="97" spans="9:9">
      <c r="I97" s="275"/>
    </row>
    <row r="98" spans="9:9">
      <c r="I98" s="275"/>
    </row>
    <row r="99" spans="9:9">
      <c r="I99" s="275"/>
    </row>
    <row r="100" spans="9:9">
      <c r="I100" s="275"/>
    </row>
    <row r="101" spans="9:9">
      <c r="I101" s="275"/>
    </row>
    <row r="102" spans="9:9">
      <c r="I102" s="275"/>
    </row>
    <row r="103" spans="9:9">
      <c r="I103" s="27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05448-3FE4-476F-9D17-A6A31D5A3ADD}">
  <sheetPr>
    <tabColor rgb="FFFFC000"/>
    <pageSetUpPr fitToPage="1"/>
  </sheetPr>
  <dimension ref="B1:AC91"/>
  <sheetViews>
    <sheetView view="pageBreakPreview" topLeftCell="A31" zoomScale="70" zoomScaleNormal="70" zoomScaleSheetLayoutView="70" workbookViewId="0">
      <selection activeCell="T54" sqref="T5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WD_.PX.WYE._.SER.WD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44%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WD_.PX.WYE._.SER.WD - 44%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1626.0387987013521</v>
      </c>
      <c r="S16" s="284">
        <f>T16-R16</f>
        <v>-50.178798701352207</v>
      </c>
      <c r="T16" s="113">
        <v>1575.86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T16*IRP_PTC_ESC!Q3</f>
        <v>2119.0589419999997</v>
      </c>
      <c r="U17" s="273" t="s">
        <v>382</v>
      </c>
      <c r="X17" s="277">
        <f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T17*IRP_PTC_ESC!Q4</f>
        <v>2119.0589419999997</v>
      </c>
      <c r="X18" s="277">
        <f>X17*(1+IRP23_Infl_Rate)</f>
        <v>46.949458361730954</v>
      </c>
      <c r="AC18" s="227"/>
    </row>
    <row r="19" spans="2:29">
      <c r="B19" s="109">
        <f t="shared" si="0"/>
        <v>2025</v>
      </c>
      <c r="C19" s="274">
        <f>IRP_LTReport!$R$74</f>
        <v>2119.0589086366272</v>
      </c>
      <c r="D19" s="111">
        <f>C19*$C$62</f>
        <v>141.06575154794027</v>
      </c>
      <c r="E19" s="281">
        <f>IRP_LTReport!$L$74</f>
        <v>45.995275259015976</v>
      </c>
      <c r="F19" s="111"/>
      <c r="G19" s="112">
        <f t="shared" ref="G19:G37" si="1">(D19+E19+F19)/(8.76*$C$63)</f>
        <v>48.95460452529224</v>
      </c>
      <c r="H19" s="111"/>
      <c r="I19" s="111">
        <v>-35.799999999999997</v>
      </c>
      <c r="J19" s="112">
        <f>(G19+H19+I19)</f>
        <v>13.154604525292243</v>
      </c>
      <c r="K19" s="112">
        <f t="shared" ref="K19:K37" si="2">ROUND(J19*$C$63*8.76,2)</f>
        <v>50.27</v>
      </c>
      <c r="L19" s="111">
        <f t="shared" ref="L19:L37" si="3">(D19+E19+F19)</f>
        <v>187.06102680695625</v>
      </c>
      <c r="P19" s="129">
        <f>Q19-I19</f>
        <v>7.6293525097526071E-7</v>
      </c>
      <c r="Q19" s="112">
        <v>-35.799999237064746</v>
      </c>
      <c r="R19" s="277"/>
      <c r="S19" s="277"/>
      <c r="T19" s="102">
        <f>T18*IRP_PTC_ESC!Q5</f>
        <v>2119.0589419999997</v>
      </c>
      <c r="U19" s="284">
        <f t="shared" ref="U19" si="4">T19-C19</f>
        <v>3.3363372494932264E-5</v>
      </c>
      <c r="X19" s="277">
        <f>X18*(1+IRP23_Infl_Rate)</f>
        <v>48.015211066753942</v>
      </c>
      <c r="Y19" s="284">
        <f t="shared" ref="Y19" si="5">X19-E19</f>
        <v>2.0199358077379657</v>
      </c>
    </row>
    <row r="20" spans="2:29">
      <c r="B20" s="109">
        <f t="shared" si="0"/>
        <v>2026</v>
      </c>
      <c r="C20" s="113"/>
      <c r="D20" s="111">
        <f t="shared" ref="D20:E35" si="6">ROUND(D19*(1+IRP23_Infl_Rate),2)</f>
        <v>144.27000000000001</v>
      </c>
      <c r="E20" s="111">
        <f t="shared" si="6"/>
        <v>47.04</v>
      </c>
      <c r="F20" s="165"/>
      <c r="G20" s="112">
        <f t="shared" si="1"/>
        <v>50.066577477940925</v>
      </c>
      <c r="H20" s="111"/>
      <c r="I20" s="111">
        <v>-37.130000000000003</v>
      </c>
      <c r="J20" s="112">
        <f t="shared" ref="J20:J37" si="7">(G20+H20+I20)</f>
        <v>12.936577477940922</v>
      </c>
      <c r="K20" s="112">
        <f t="shared" si="2"/>
        <v>49.43</v>
      </c>
      <c r="L20" s="111">
        <f t="shared" si="3"/>
        <v>191.31</v>
      </c>
      <c r="P20" s="129">
        <f t="shared" ref="P20:P34" si="8">Q20-I20</f>
        <v>-1.0681199142936748E-6</v>
      </c>
      <c r="Q20" s="112">
        <v>-37.130001068119917</v>
      </c>
      <c r="U20" s="284"/>
      <c r="W20" s="129"/>
      <c r="X20" s="277"/>
      <c r="Y20" s="284"/>
    </row>
    <row r="21" spans="2:29">
      <c r="B21" s="109">
        <f t="shared" si="0"/>
        <v>2027</v>
      </c>
      <c r="C21" s="113"/>
      <c r="D21" s="111">
        <f t="shared" si="6"/>
        <v>147.54</v>
      </c>
      <c r="E21" s="111">
        <f t="shared" si="6"/>
        <v>48.11</v>
      </c>
      <c r="F21" s="111"/>
      <c r="G21" s="112">
        <f t="shared" si="1"/>
        <v>51.202372503053368</v>
      </c>
      <c r="H21" s="111"/>
      <c r="I21" s="111">
        <v>-38.450000000000003</v>
      </c>
      <c r="J21" s="112">
        <f t="shared" si="7"/>
        <v>12.752372503053365</v>
      </c>
      <c r="K21" s="112">
        <f t="shared" si="2"/>
        <v>48.73</v>
      </c>
      <c r="L21" s="111">
        <f t="shared" si="3"/>
        <v>195.64999999999998</v>
      </c>
      <c r="P21" s="129">
        <f t="shared" si="8"/>
        <v>-4.6966874833742622E-12</v>
      </c>
      <c r="Q21" s="112">
        <v>-38.4500000000047</v>
      </c>
      <c r="U21" s="284"/>
      <c r="V21" s="129"/>
      <c r="W21" s="129"/>
      <c r="X21" s="277"/>
      <c r="Y21" s="284"/>
      <c r="Z21" s="129"/>
    </row>
    <row r="22" spans="2:29">
      <c r="B22" s="109">
        <f t="shared" si="0"/>
        <v>2028</v>
      </c>
      <c r="C22" s="113"/>
      <c r="D22" s="111">
        <f t="shared" si="6"/>
        <v>150.88999999999999</v>
      </c>
      <c r="E22" s="111">
        <f t="shared" si="6"/>
        <v>49.2</v>
      </c>
      <c r="F22" s="111"/>
      <c r="G22" s="112">
        <f t="shared" si="1"/>
        <v>52.364337920449522</v>
      </c>
      <c r="H22" s="111"/>
      <c r="I22" s="111">
        <v>-38.450000000000003</v>
      </c>
      <c r="J22" s="112">
        <f t="shared" si="7"/>
        <v>13.914337920449519</v>
      </c>
      <c r="K22" s="112">
        <f t="shared" si="2"/>
        <v>53.17</v>
      </c>
      <c r="L22" s="111">
        <f t="shared" si="3"/>
        <v>200.08999999999997</v>
      </c>
      <c r="P22" s="129">
        <f t="shared" si="8"/>
        <v>-7.6294449513625295E-7</v>
      </c>
      <c r="Q22" s="112">
        <v>-38.450000762944498</v>
      </c>
      <c r="U22" s="284"/>
      <c r="V22" s="129"/>
      <c r="W22" s="129"/>
      <c r="X22" s="277"/>
      <c r="Y22" s="284"/>
      <c r="Z22" s="129"/>
      <c r="AA22" s="129"/>
    </row>
    <row r="23" spans="2:29">
      <c r="B23" s="109">
        <f t="shared" si="0"/>
        <v>2029</v>
      </c>
      <c r="C23" s="113"/>
      <c r="D23" s="111">
        <f t="shared" si="6"/>
        <v>154.32</v>
      </c>
      <c r="E23" s="111">
        <f t="shared" si="6"/>
        <v>50.32</v>
      </c>
      <c r="F23" s="111"/>
      <c r="G23" s="112">
        <f t="shared" si="1"/>
        <v>53.55509076935774</v>
      </c>
      <c r="H23" s="111"/>
      <c r="I23" s="111">
        <v>-39.78</v>
      </c>
      <c r="J23" s="112">
        <f t="shared" si="7"/>
        <v>13.775090769357739</v>
      </c>
      <c r="K23" s="112">
        <f t="shared" si="2"/>
        <v>52.64</v>
      </c>
      <c r="L23" s="111">
        <f t="shared" si="3"/>
        <v>204.64</v>
      </c>
      <c r="P23" s="129">
        <f t="shared" si="8"/>
        <v>-6.7714722717937548E-12</v>
      </c>
      <c r="Q23" s="112">
        <v>-39.780000000006773</v>
      </c>
      <c r="U23" s="284"/>
      <c r="V23" s="129"/>
      <c r="W23" s="129"/>
      <c r="X23" s="277"/>
      <c r="Y23" s="284"/>
      <c r="Z23" s="129"/>
      <c r="AA23" s="129"/>
    </row>
    <row r="24" spans="2:29">
      <c r="B24" s="109">
        <f t="shared" si="0"/>
        <v>2030</v>
      </c>
      <c r="C24" s="113"/>
      <c r="D24" s="111">
        <f t="shared" si="6"/>
        <v>157.82</v>
      </c>
      <c r="E24" s="111">
        <f t="shared" si="6"/>
        <v>51.46</v>
      </c>
      <c r="F24" s="111"/>
      <c r="G24" s="112">
        <f t="shared" si="1"/>
        <v>54.769396971321292</v>
      </c>
      <c r="H24" s="111"/>
      <c r="I24" s="111">
        <v>-39.78</v>
      </c>
      <c r="J24" s="112">
        <f t="shared" si="7"/>
        <v>14.989396971321291</v>
      </c>
      <c r="K24" s="112">
        <f t="shared" si="2"/>
        <v>57.28</v>
      </c>
      <c r="L24" s="111">
        <f t="shared" si="3"/>
        <v>209.28</v>
      </c>
      <c r="P24" s="129">
        <f t="shared" si="8"/>
        <v>1.2206986710339152E-6</v>
      </c>
      <c r="Q24" s="112">
        <v>-39.77999877930133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6"/>
        <v>161.4</v>
      </c>
      <c r="E25" s="111">
        <f t="shared" si="6"/>
        <v>52.63</v>
      </c>
      <c r="F25" s="111"/>
      <c r="G25" s="112">
        <f t="shared" si="1"/>
        <v>56.012490604796902</v>
      </c>
      <c r="H25" s="111"/>
      <c r="I25" s="111">
        <v>-41.11</v>
      </c>
      <c r="J25" s="112">
        <f t="shared" si="7"/>
        <v>14.902490604796903</v>
      </c>
      <c r="K25" s="112">
        <f t="shared" si="2"/>
        <v>56.94</v>
      </c>
      <c r="L25" s="111">
        <f t="shared" si="3"/>
        <v>214.03</v>
      </c>
      <c r="P25" s="129">
        <f t="shared" si="8"/>
        <v>-5.1016968427575193E-12</v>
      </c>
      <c r="Q25" s="112">
        <v>-41.110000000005101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6"/>
        <v>165.06</v>
      </c>
      <c r="E26" s="111">
        <f t="shared" si="6"/>
        <v>53.82</v>
      </c>
      <c r="F26" s="111"/>
      <c r="G26" s="112">
        <f t="shared" si="1"/>
        <v>57.281754630556215</v>
      </c>
      <c r="H26" s="111"/>
      <c r="I26" s="111">
        <v>-41.11</v>
      </c>
      <c r="J26" s="112">
        <f t="shared" si="7"/>
        <v>16.171754630556215</v>
      </c>
      <c r="K26" s="112">
        <f t="shared" si="2"/>
        <v>61.79</v>
      </c>
      <c r="L26" s="111">
        <f t="shared" si="3"/>
        <v>218.88</v>
      </c>
      <c r="P26" s="129">
        <f t="shared" si="8"/>
        <v>-6.1035980536416901E-7</v>
      </c>
      <c r="Q26" s="112">
        <v>-41.110000610359805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6"/>
        <v>168.81</v>
      </c>
      <c r="E27" s="111">
        <f t="shared" si="6"/>
        <v>55.04</v>
      </c>
      <c r="F27" s="111"/>
      <c r="G27" s="112">
        <f t="shared" si="1"/>
        <v>58.582423127055961</v>
      </c>
      <c r="H27" s="111"/>
      <c r="I27" s="111">
        <v>-42.43</v>
      </c>
      <c r="J27" s="112">
        <f t="shared" si="7"/>
        <v>16.152423127055961</v>
      </c>
      <c r="K27" s="112">
        <f t="shared" si="2"/>
        <v>61.72</v>
      </c>
      <c r="L27" s="111">
        <f t="shared" si="3"/>
        <v>223.85</v>
      </c>
      <c r="P27" s="129">
        <f t="shared" si="8"/>
        <v>-3.0518242510879645E-7</v>
      </c>
      <c r="Q27" s="112">
        <v>-42.430000305182425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6"/>
        <v>172.64</v>
      </c>
      <c r="E28" s="111">
        <f t="shared" si="6"/>
        <v>56.29</v>
      </c>
      <c r="F28" s="111"/>
      <c r="G28" s="112">
        <f t="shared" si="1"/>
        <v>59.911879055067764</v>
      </c>
      <c r="H28" s="111"/>
      <c r="I28" s="111">
        <v>-43.76</v>
      </c>
      <c r="J28" s="112">
        <f t="shared" si="7"/>
        <v>16.151879055067766</v>
      </c>
      <c r="K28" s="112">
        <f t="shared" si="2"/>
        <v>61.72</v>
      </c>
      <c r="L28" s="111">
        <f t="shared" si="3"/>
        <v>228.92999999999998</v>
      </c>
      <c r="P28" s="129">
        <f t="shared" si="8"/>
        <v>-4.6540549192286562E-12</v>
      </c>
      <c r="Q28" s="112">
        <v>-43.760000000004652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6"/>
        <v>176.56</v>
      </c>
      <c r="E29" s="111">
        <f t="shared" si="6"/>
        <v>57.57</v>
      </c>
      <c r="F29" s="111"/>
      <c r="G29" s="112">
        <f t="shared" si="1"/>
        <v>61.272739453820023</v>
      </c>
      <c r="H29" s="111"/>
      <c r="I29" s="111"/>
      <c r="J29" s="112">
        <f t="shared" si="7"/>
        <v>61.272739453820023</v>
      </c>
      <c r="K29" s="112">
        <f t="shared" si="2"/>
        <v>234.13</v>
      </c>
      <c r="L29" s="111">
        <f t="shared" si="3"/>
        <v>234.13</v>
      </c>
      <c r="P29" s="129">
        <f t="shared" si="8"/>
        <v>0</v>
      </c>
      <c r="Q29" s="112">
        <v>0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6"/>
        <v>180.57</v>
      </c>
      <c r="E30" s="111">
        <f t="shared" si="6"/>
        <v>58.88</v>
      </c>
      <c r="F30" s="111"/>
      <c r="G30" s="112">
        <f t="shared" si="1"/>
        <v>62.665004323312701</v>
      </c>
      <c r="H30" s="111"/>
      <c r="I30" s="111"/>
      <c r="J30" s="112">
        <f t="shared" si="7"/>
        <v>62.665004323312701</v>
      </c>
      <c r="K30" s="112">
        <f t="shared" si="2"/>
        <v>239.45</v>
      </c>
      <c r="L30" s="111">
        <f t="shared" si="3"/>
        <v>239.45</v>
      </c>
      <c r="P30" s="129">
        <f t="shared" si="8"/>
        <v>0</v>
      </c>
      <c r="Q30" s="112">
        <v>0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6"/>
        <v>184.67</v>
      </c>
      <c r="E31" s="111">
        <f t="shared" si="6"/>
        <v>60.22</v>
      </c>
      <c r="F31" s="111"/>
      <c r="G31" s="112">
        <f t="shared" si="1"/>
        <v>64.088673663545819</v>
      </c>
      <c r="H31" s="111"/>
      <c r="I31" s="111"/>
      <c r="J31" s="112">
        <f t="shared" si="7"/>
        <v>64.088673663545819</v>
      </c>
      <c r="K31" s="112">
        <f t="shared" si="2"/>
        <v>244.89</v>
      </c>
      <c r="L31" s="111">
        <f t="shared" si="3"/>
        <v>244.89</v>
      </c>
      <c r="P31" s="129">
        <f t="shared" si="8"/>
        <v>0</v>
      </c>
      <c r="Q31" s="112">
        <v>0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6"/>
        <v>188.86</v>
      </c>
      <c r="E32" s="111">
        <f t="shared" si="6"/>
        <v>61.59</v>
      </c>
      <c r="F32" s="111"/>
      <c r="G32" s="112">
        <f t="shared" si="1"/>
        <v>65.543747474519392</v>
      </c>
      <c r="H32" s="111"/>
      <c r="I32" s="111"/>
      <c r="J32" s="112">
        <f t="shared" si="7"/>
        <v>65.543747474519392</v>
      </c>
      <c r="K32" s="112">
        <f t="shared" si="2"/>
        <v>250.45</v>
      </c>
      <c r="L32" s="111">
        <f t="shared" si="3"/>
        <v>250.45000000000002</v>
      </c>
      <c r="P32" s="129">
        <f t="shared" si="8"/>
        <v>0</v>
      </c>
      <c r="Q32" s="112">
        <v>0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6"/>
        <v>193.15</v>
      </c>
      <c r="E33" s="111">
        <f t="shared" si="6"/>
        <v>62.99</v>
      </c>
      <c r="F33" s="111"/>
      <c r="G33" s="112">
        <f t="shared" si="1"/>
        <v>67.032842795461747</v>
      </c>
      <c r="H33" s="111"/>
      <c r="I33" s="111"/>
      <c r="J33" s="112">
        <f t="shared" si="7"/>
        <v>67.032842795461747</v>
      </c>
      <c r="K33" s="112">
        <f t="shared" si="2"/>
        <v>256.14</v>
      </c>
      <c r="L33" s="111">
        <f t="shared" si="3"/>
        <v>256.14</v>
      </c>
      <c r="P33" s="129">
        <f t="shared" si="8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6"/>
        <v>197.53</v>
      </c>
      <c r="E34" s="111">
        <f t="shared" si="6"/>
        <v>64.42</v>
      </c>
      <c r="F34" s="111"/>
      <c r="G34" s="112">
        <f t="shared" si="1"/>
        <v>68.553342587144556</v>
      </c>
      <c r="H34" s="111"/>
      <c r="I34" s="111"/>
      <c r="J34" s="112">
        <f t="shared" si="7"/>
        <v>68.553342587144556</v>
      </c>
      <c r="K34" s="112">
        <f t="shared" si="2"/>
        <v>261.95</v>
      </c>
      <c r="L34" s="111">
        <f t="shared" si="3"/>
        <v>261.95</v>
      </c>
      <c r="P34" s="129">
        <f t="shared" si="8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6"/>
        <v>202.01</v>
      </c>
      <c r="E35" s="111">
        <f t="shared" si="6"/>
        <v>65.88</v>
      </c>
      <c r="F35" s="111"/>
      <c r="G35" s="112">
        <f t="shared" si="1"/>
        <v>70.10786388879616</v>
      </c>
      <c r="H35" s="111"/>
      <c r="I35" s="111"/>
      <c r="J35" s="112">
        <f t="shared" si="7"/>
        <v>70.10786388879616</v>
      </c>
      <c r="K35" s="112">
        <f t="shared" si="2"/>
        <v>267.89</v>
      </c>
      <c r="L35" s="111">
        <f t="shared" si="3"/>
        <v>267.89</v>
      </c>
      <c r="P35" s="129">
        <f t="shared" ref="P35:P36" si="9">Q35-I35</f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ref="D36:E37" si="10">ROUND(D35*(1+IRP23_Infl_Rate),2)</f>
        <v>206.6</v>
      </c>
      <c r="E36" s="111">
        <f t="shared" si="10"/>
        <v>67.38</v>
      </c>
      <c r="F36" s="111"/>
      <c r="G36" s="112">
        <f t="shared" si="1"/>
        <v>71.701640778873326</v>
      </c>
      <c r="H36" s="111"/>
      <c r="I36" s="111"/>
      <c r="J36" s="112">
        <f t="shared" si="7"/>
        <v>71.701640778873326</v>
      </c>
      <c r="K36" s="112">
        <f t="shared" si="2"/>
        <v>273.98</v>
      </c>
      <c r="L36" s="111">
        <f t="shared" si="3"/>
        <v>273.98</v>
      </c>
      <c r="P36" s="129">
        <f t="shared" si="9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10"/>
        <v>211.29</v>
      </c>
      <c r="E37" s="111">
        <f t="shared" si="10"/>
        <v>68.91</v>
      </c>
      <c r="F37" s="111"/>
      <c r="G37" s="112">
        <f t="shared" si="1"/>
        <v>73.329439178919273</v>
      </c>
      <c r="H37" s="111"/>
      <c r="I37" s="111"/>
      <c r="J37" s="112">
        <f t="shared" si="7"/>
        <v>73.329439178919273</v>
      </c>
      <c r="K37" s="112">
        <f t="shared" si="2"/>
        <v>280.2</v>
      </c>
      <c r="L37" s="111">
        <f t="shared" si="3"/>
        <v>280.2</v>
      </c>
      <c r="P37" s="129"/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-PMT(Discount_Rate,COUNT(J19:J37),NPV(Discount_Rate,J19:J37))</f>
        <v>31.234413007388888</v>
      </c>
      <c r="K39" s="287">
        <f>-PMT(Discount_Rate,COUNT(K19:K37),NPV(Discount_Rate,K19:K37))</f>
        <v>119.35081972663419</v>
      </c>
      <c r="L39" s="287">
        <f>-PMT(Discount_Rate,COUNT(L19:L37),NPV(Discount_Rate,L19:L37))</f>
        <v>220.86700568809525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43.6%)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WD_.PX.WYE._.SER.WD - 44%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2025</v>
      </c>
      <c r="T54" s="273" t="s">
        <v>381</v>
      </c>
    </row>
    <row r="55" spans="2:20">
      <c r="B55" t="s">
        <v>152</v>
      </c>
      <c r="C55" s="267"/>
      <c r="D55" s="102" t="s">
        <v>65</v>
      </c>
      <c r="P55" s="226">
        <v>220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0.43620000000025128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B33B-2EBB-4579-B342-FBE00B29660B}">
  <sheetPr>
    <tabColor rgb="FFFFC000"/>
    <pageSetUpPr fitToPage="1"/>
  </sheetPr>
  <dimension ref="B1:AC91"/>
  <sheetViews>
    <sheetView view="pageBreakPreview" zoomScale="60" zoomScaleNormal="70" workbookViewId="0">
      <selection activeCell="P28" sqref="P28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7.3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WD_.PX.UWY._.SER.WD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44%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WD_.PX.UWY._.SER.WD - 44%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1626.0387987013521</v>
      </c>
      <c r="S16" s="284">
        <f>T16-R16</f>
        <v>8.3312012986477839</v>
      </c>
      <c r="T16" s="113">
        <v>1634.37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T16*IRP_PTC_ESC!Q3</f>
        <v>2197.7373389999998</v>
      </c>
      <c r="U17" s="273" t="s">
        <v>383</v>
      </c>
      <c r="X17" s="277">
        <f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T17*IRP_PTC_ESC!Q4</f>
        <v>2197.7373389999998</v>
      </c>
      <c r="X18" s="277">
        <f>X17*(1+IRP23_Infl_Rate)</f>
        <v>46.949458361730954</v>
      </c>
      <c r="AC18" s="227"/>
    </row>
    <row r="19" spans="2:29">
      <c r="B19" s="109">
        <f t="shared" si="0"/>
        <v>2025</v>
      </c>
      <c r="C19" s="274">
        <f>IRP_LTReport!R72</f>
        <v>2197.7373043978182</v>
      </c>
      <c r="D19" s="111">
        <f>C19*$C$62</f>
        <v>146.30337235376277</v>
      </c>
      <c r="E19" s="281">
        <f>IRP_LTReport!L72</f>
        <v>45.99527525902559</v>
      </c>
      <c r="F19" s="111"/>
      <c r="G19" s="112">
        <f t="shared" ref="G19:G22" si="1">(D19+E19+F19)/(8.76*$C$63)</f>
        <v>50.325310436511039</v>
      </c>
      <c r="H19" s="111"/>
      <c r="I19" s="111">
        <v>-35.799999999999997</v>
      </c>
      <c r="J19" s="112">
        <f>(G19+H19+I19)</f>
        <v>14.525310436511042</v>
      </c>
      <c r="K19" s="112">
        <f t="shared" ref="K19:K22" si="2">ROUND(J19*$C$63*8.76,2)</f>
        <v>55.5</v>
      </c>
      <c r="L19" s="111">
        <f t="shared" ref="L19:L37" si="3">(D19+E19+F19)</f>
        <v>192.29864761278836</v>
      </c>
      <c r="P19" s="129">
        <f>Q19-I19</f>
        <v>7.6293961370765828E-7</v>
      </c>
      <c r="Q19" s="112">
        <v>-35.799999237060383</v>
      </c>
      <c r="R19" s="277"/>
      <c r="S19" s="277"/>
      <c r="T19" s="102">
        <f>T18*IRP_PTC_ESC!Q5</f>
        <v>2197.7373389999998</v>
      </c>
      <c r="U19" s="284">
        <f t="shared" ref="U19" si="4">T19-C19</f>
        <v>3.4602181585796643E-5</v>
      </c>
      <c r="X19" s="277">
        <f>X18*(1+IRP23_Infl_Rate)</f>
        <v>48.015211066753942</v>
      </c>
      <c r="Y19" s="284">
        <f t="shared" ref="Y19" si="5">X19-E19</f>
        <v>2.019935807728352</v>
      </c>
    </row>
    <row r="20" spans="2:29">
      <c r="B20" s="109">
        <f t="shared" si="0"/>
        <v>2026</v>
      </c>
      <c r="C20" s="113"/>
      <c r="D20" s="111">
        <f t="shared" ref="D20:E20" si="6">ROUND(D19*(1+IRP23_Infl_Rate),2)</f>
        <v>149.62</v>
      </c>
      <c r="E20" s="111">
        <f t="shared" si="6"/>
        <v>47.04</v>
      </c>
      <c r="F20" s="165"/>
      <c r="G20" s="112">
        <f t="shared" si="1"/>
        <v>51.466693465118716</v>
      </c>
      <c r="H20" s="111"/>
      <c r="I20" s="111">
        <v>-37.130000000000003</v>
      </c>
      <c r="J20" s="112">
        <f t="shared" ref="J20:J37" si="7">(G20+H20+I20)</f>
        <v>14.336693465118714</v>
      </c>
      <c r="K20" s="112">
        <f t="shared" si="2"/>
        <v>54.78</v>
      </c>
      <c r="L20" s="111">
        <f t="shared" si="3"/>
        <v>196.66</v>
      </c>
      <c r="P20" s="129">
        <f t="shared" ref="P20:P36" si="8">Q20-I20</f>
        <v>-1.0681148552293962E-6</v>
      </c>
      <c r="Q20" s="112">
        <v>-37.130001068114858</v>
      </c>
      <c r="U20" s="284"/>
      <c r="W20" s="129"/>
      <c r="X20" s="277"/>
      <c r="Y20" s="284"/>
    </row>
    <row r="21" spans="2:29">
      <c r="B21" s="109">
        <f t="shared" si="0"/>
        <v>2027</v>
      </c>
      <c r="C21" s="113"/>
      <c r="D21" s="111">
        <f t="shared" ref="D21:E21" si="9">ROUND(D20*(1+IRP23_Infl_Rate),2)</f>
        <v>153.02000000000001</v>
      </c>
      <c r="E21" s="111">
        <f t="shared" si="9"/>
        <v>48.11</v>
      </c>
      <c r="F21" s="111"/>
      <c r="G21" s="112">
        <f t="shared" si="1"/>
        <v>52.636510000199976</v>
      </c>
      <c r="H21" s="111"/>
      <c r="I21" s="111">
        <v>-38.450000000000003</v>
      </c>
      <c r="J21" s="112">
        <f t="shared" si="7"/>
        <v>14.186510000199974</v>
      </c>
      <c r="K21" s="112">
        <f t="shared" si="2"/>
        <v>54.21</v>
      </c>
      <c r="L21" s="111">
        <f t="shared" si="3"/>
        <v>201.13</v>
      </c>
      <c r="P21" s="129">
        <f t="shared" si="8"/>
        <v>3.0553337637684308E-13</v>
      </c>
      <c r="Q21" s="112">
        <v>-38.449999999999697</v>
      </c>
      <c r="U21" s="284"/>
      <c r="V21" s="129"/>
      <c r="W21" s="129"/>
      <c r="X21" s="277"/>
      <c r="Y21" s="284"/>
      <c r="Z21" s="129"/>
    </row>
    <row r="22" spans="2:29">
      <c r="B22" s="109">
        <f t="shared" si="0"/>
        <v>2028</v>
      </c>
      <c r="C22" s="113"/>
      <c r="D22" s="111">
        <f t="shared" ref="D22:E22" si="10">ROUND(D21*(1+IRP23_Infl_Rate),2)</f>
        <v>156.49</v>
      </c>
      <c r="E22" s="111">
        <f t="shared" si="10"/>
        <v>49.2</v>
      </c>
      <c r="F22" s="111"/>
      <c r="G22" s="112">
        <f t="shared" si="1"/>
        <v>53.829879888336563</v>
      </c>
      <c r="H22" s="111"/>
      <c r="I22" s="111">
        <v>-38.450000000000003</v>
      </c>
      <c r="J22" s="112">
        <f t="shared" si="7"/>
        <v>15.379879888336561</v>
      </c>
      <c r="K22" s="112">
        <f t="shared" si="2"/>
        <v>58.77</v>
      </c>
      <c r="L22" s="111">
        <f t="shared" si="3"/>
        <v>205.69</v>
      </c>
      <c r="P22" s="129">
        <f t="shared" si="8"/>
        <v>-7.6293863315868293E-7</v>
      </c>
      <c r="Q22" s="112">
        <v>-38.450000762938636</v>
      </c>
      <c r="U22" s="284"/>
      <c r="V22" s="129"/>
      <c r="W22" s="129"/>
      <c r="X22" s="277"/>
      <c r="Y22" s="284"/>
      <c r="Z22" s="129"/>
      <c r="AA22" s="129"/>
    </row>
    <row r="23" spans="2:29">
      <c r="B23" s="109">
        <f t="shared" si="0"/>
        <v>2029</v>
      </c>
      <c r="C23" s="113"/>
      <c r="D23" s="111">
        <f t="shared" ref="D23:E23" si="11">ROUND(D22*(1+IRP23_Infl_Rate),2)</f>
        <v>160.04</v>
      </c>
      <c r="E23" s="111">
        <f t="shared" si="11"/>
        <v>50.32</v>
      </c>
      <c r="F23" s="111"/>
      <c r="G23" s="112">
        <f t="shared" ref="G23:G37" si="12">(D23+E23+F23)/(8.76*$C$63)</f>
        <v>55.052037207985215</v>
      </c>
      <c r="H23" s="111"/>
      <c r="I23" s="111">
        <v>-39.78</v>
      </c>
      <c r="J23" s="112">
        <f t="shared" si="7"/>
        <v>15.272037207985214</v>
      </c>
      <c r="K23" s="112">
        <f t="shared" ref="K23:K37" si="13">ROUND(J23*$C$63*8.76,2)</f>
        <v>58.36</v>
      </c>
      <c r="L23" s="111">
        <f t="shared" si="3"/>
        <v>210.35999999999999</v>
      </c>
      <c r="P23" s="129">
        <f t="shared" si="8"/>
        <v>3.4106051316484809E-13</v>
      </c>
      <c r="Q23" s="112">
        <v>-39.77999999999966</v>
      </c>
      <c r="U23" s="284"/>
      <c r="V23" s="129"/>
      <c r="W23" s="129"/>
      <c r="X23" s="277"/>
      <c r="Y23" s="284"/>
      <c r="Z23" s="129"/>
      <c r="AA23" s="129"/>
    </row>
    <row r="24" spans="2:29">
      <c r="B24" s="109">
        <f t="shared" si="0"/>
        <v>2030</v>
      </c>
      <c r="C24" s="113"/>
      <c r="D24" s="111">
        <f t="shared" ref="D24:E37" si="14">ROUND(D23*(1+IRP23_Infl_Rate),2)</f>
        <v>163.66999999999999</v>
      </c>
      <c r="E24" s="111">
        <f t="shared" si="14"/>
        <v>51.46</v>
      </c>
      <c r="F24" s="111"/>
      <c r="G24" s="112">
        <f t="shared" si="12"/>
        <v>56.30036491991757</v>
      </c>
      <c r="H24" s="111"/>
      <c r="I24" s="111">
        <v>-39.78</v>
      </c>
      <c r="J24" s="112">
        <f t="shared" si="7"/>
        <v>16.520364919917569</v>
      </c>
      <c r="K24" s="112">
        <f t="shared" si="13"/>
        <v>63.13</v>
      </c>
      <c r="L24" s="111">
        <f t="shared" si="3"/>
        <v>215.13</v>
      </c>
      <c r="P24" s="129">
        <f t="shared" si="8"/>
        <v>1.2207037656253306E-6</v>
      </c>
      <c r="Q24" s="112">
        <v>-39.779998779296236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14"/>
        <v>167.39</v>
      </c>
      <c r="E25" s="111">
        <f t="shared" si="14"/>
        <v>52.63</v>
      </c>
      <c r="F25" s="111"/>
      <c r="G25" s="112">
        <f t="shared" si="12"/>
        <v>57.580097102590358</v>
      </c>
      <c r="H25" s="111"/>
      <c r="I25" s="111">
        <v>-41.11</v>
      </c>
      <c r="J25" s="112">
        <f t="shared" si="7"/>
        <v>16.470097102590358</v>
      </c>
      <c r="K25" s="112">
        <f t="shared" si="13"/>
        <v>62.93</v>
      </c>
      <c r="L25" s="111">
        <f t="shared" si="3"/>
        <v>220.01999999999998</v>
      </c>
      <c r="P25" s="129">
        <f t="shared" si="8"/>
        <v>3.907985046680551E-13</v>
      </c>
      <c r="Q25" s="112">
        <v>-41.109999999999609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14"/>
        <v>171.19</v>
      </c>
      <c r="E26" s="111">
        <f t="shared" si="14"/>
        <v>53.82</v>
      </c>
      <c r="F26" s="111"/>
      <c r="G26" s="112">
        <f t="shared" si="12"/>
        <v>58.885999677546842</v>
      </c>
      <c r="H26" s="111"/>
      <c r="I26" s="111">
        <v>-41.11</v>
      </c>
      <c r="J26" s="112">
        <f t="shared" si="7"/>
        <v>17.775999677546842</v>
      </c>
      <c r="K26" s="112">
        <f t="shared" si="13"/>
        <v>67.92</v>
      </c>
      <c r="L26" s="111">
        <f t="shared" si="3"/>
        <v>225.01</v>
      </c>
      <c r="P26" s="129">
        <f t="shared" si="8"/>
        <v>-6.1034786824620824E-7</v>
      </c>
      <c r="Q26" s="112">
        <v>-41.110000610347868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14"/>
        <v>175.08</v>
      </c>
      <c r="E27" s="111">
        <f t="shared" si="14"/>
        <v>55.04</v>
      </c>
      <c r="F27" s="111"/>
      <c r="G27" s="112">
        <f t="shared" si="12"/>
        <v>60.223306723243766</v>
      </c>
      <c r="H27" s="111"/>
      <c r="I27" s="111">
        <v>-42.43</v>
      </c>
      <c r="J27" s="112">
        <f t="shared" si="7"/>
        <v>17.793306723243766</v>
      </c>
      <c r="K27" s="112">
        <f t="shared" si="13"/>
        <v>67.989999999999995</v>
      </c>
      <c r="L27" s="111">
        <f t="shared" si="3"/>
        <v>230.12</v>
      </c>
      <c r="P27" s="129">
        <f t="shared" si="8"/>
        <v>42.43</v>
      </c>
      <c r="Q27" s="112">
        <v>0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14"/>
        <v>179.05</v>
      </c>
      <c r="E28" s="111">
        <f t="shared" si="14"/>
        <v>56.29</v>
      </c>
      <c r="F28" s="111"/>
      <c r="G28" s="112">
        <f t="shared" si="12"/>
        <v>61.589401200452755</v>
      </c>
      <c r="H28" s="111"/>
      <c r="I28" s="111">
        <v>-43.76</v>
      </c>
      <c r="J28" s="112">
        <f t="shared" si="7"/>
        <v>17.829401200452757</v>
      </c>
      <c r="K28" s="112">
        <f t="shared" si="13"/>
        <v>68.13</v>
      </c>
      <c r="L28" s="111">
        <f t="shared" si="3"/>
        <v>235.34</v>
      </c>
      <c r="P28" s="129">
        <f t="shared" si="8"/>
        <v>87.519999999982048</v>
      </c>
      <c r="Q28" s="112">
        <v>43.759999999982043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14"/>
        <v>183.11</v>
      </c>
      <c r="E29" s="111">
        <f t="shared" si="14"/>
        <v>57.57</v>
      </c>
      <c r="F29" s="111"/>
      <c r="G29" s="112">
        <f t="shared" si="12"/>
        <v>62.986900148402185</v>
      </c>
      <c r="H29" s="111"/>
      <c r="I29" s="111"/>
      <c r="J29" s="112">
        <f t="shared" si="7"/>
        <v>62.986900148402185</v>
      </c>
      <c r="K29" s="112">
        <f t="shared" si="13"/>
        <v>240.68</v>
      </c>
      <c r="L29" s="111">
        <f t="shared" si="3"/>
        <v>240.68</v>
      </c>
      <c r="P29" s="129">
        <f t="shared" si="8"/>
        <v>0</v>
      </c>
      <c r="Q29" s="112">
        <v>0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14"/>
        <v>187.27</v>
      </c>
      <c r="E30" s="111">
        <f t="shared" si="14"/>
        <v>58.88</v>
      </c>
      <c r="F30" s="111"/>
      <c r="G30" s="112">
        <f t="shared" si="12"/>
        <v>64.41842060632041</v>
      </c>
      <c r="H30" s="111"/>
      <c r="I30" s="111"/>
      <c r="J30" s="112">
        <f t="shared" si="7"/>
        <v>64.41842060632041</v>
      </c>
      <c r="K30" s="112">
        <f t="shared" si="13"/>
        <v>246.15</v>
      </c>
      <c r="L30" s="111">
        <f t="shared" si="3"/>
        <v>246.15</v>
      </c>
      <c r="P30" s="129">
        <f t="shared" si="8"/>
        <v>0</v>
      </c>
      <c r="Q30" s="112">
        <v>0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14"/>
        <v>191.52</v>
      </c>
      <c r="E31" s="111">
        <f t="shared" si="14"/>
        <v>60.22</v>
      </c>
      <c r="F31" s="111"/>
      <c r="G31" s="112">
        <f t="shared" si="12"/>
        <v>65.881345534979076</v>
      </c>
      <c r="H31" s="111"/>
      <c r="I31" s="111"/>
      <c r="J31" s="112">
        <f t="shared" si="7"/>
        <v>65.881345534979076</v>
      </c>
      <c r="K31" s="112">
        <f t="shared" si="13"/>
        <v>251.74</v>
      </c>
      <c r="L31" s="111">
        <f t="shared" si="3"/>
        <v>251.74</v>
      </c>
      <c r="P31" s="129">
        <f t="shared" si="8"/>
        <v>0</v>
      </c>
      <c r="Q31" s="112">
        <v>0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14"/>
        <v>195.87</v>
      </c>
      <c r="E32" s="111">
        <f t="shared" si="14"/>
        <v>61.59</v>
      </c>
      <c r="F32" s="111"/>
      <c r="G32" s="112">
        <f t="shared" si="12"/>
        <v>67.378291973606565</v>
      </c>
      <c r="H32" s="111"/>
      <c r="I32" s="111"/>
      <c r="J32" s="112">
        <f t="shared" si="7"/>
        <v>67.378291973606565</v>
      </c>
      <c r="K32" s="112">
        <f t="shared" si="13"/>
        <v>257.45999999999998</v>
      </c>
      <c r="L32" s="111">
        <f t="shared" si="3"/>
        <v>257.46000000000004</v>
      </c>
      <c r="P32" s="129">
        <f t="shared" si="8"/>
        <v>0</v>
      </c>
      <c r="Q32" s="112">
        <v>0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14"/>
        <v>200.32</v>
      </c>
      <c r="E33" s="111">
        <f t="shared" si="14"/>
        <v>62.99</v>
      </c>
      <c r="F33" s="111"/>
      <c r="G33" s="112">
        <f t="shared" si="12"/>
        <v>68.909259922202835</v>
      </c>
      <c r="H33" s="111"/>
      <c r="I33" s="111"/>
      <c r="J33" s="112">
        <f t="shared" si="7"/>
        <v>68.909259922202835</v>
      </c>
      <c r="K33" s="112">
        <f t="shared" si="13"/>
        <v>263.31</v>
      </c>
      <c r="L33" s="111">
        <f t="shared" si="3"/>
        <v>263.31</v>
      </c>
      <c r="P33" s="129">
        <f t="shared" si="8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14"/>
        <v>204.87</v>
      </c>
      <c r="E34" s="111">
        <f t="shared" si="14"/>
        <v>64.42</v>
      </c>
      <c r="F34" s="111"/>
      <c r="G34" s="112">
        <f t="shared" si="12"/>
        <v>70.47424938076793</v>
      </c>
      <c r="H34" s="111"/>
      <c r="I34" s="111"/>
      <c r="J34" s="112">
        <f t="shared" si="7"/>
        <v>70.47424938076793</v>
      </c>
      <c r="K34" s="112">
        <f t="shared" si="13"/>
        <v>269.29000000000002</v>
      </c>
      <c r="L34" s="111">
        <f t="shared" si="3"/>
        <v>269.29000000000002</v>
      </c>
      <c r="P34" s="129">
        <f t="shared" si="8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14"/>
        <v>209.52</v>
      </c>
      <c r="E35" s="111">
        <f t="shared" si="14"/>
        <v>65.88</v>
      </c>
      <c r="F35" s="111"/>
      <c r="G35" s="112">
        <f t="shared" si="12"/>
        <v>72.073260349301805</v>
      </c>
      <c r="H35" s="111"/>
      <c r="I35" s="111"/>
      <c r="J35" s="112">
        <f t="shared" si="7"/>
        <v>72.073260349301805</v>
      </c>
      <c r="K35" s="112">
        <f t="shared" si="13"/>
        <v>275.39999999999998</v>
      </c>
      <c r="L35" s="111">
        <f t="shared" si="3"/>
        <v>275.39999999999998</v>
      </c>
      <c r="P35" s="129">
        <f t="shared" si="8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si="14"/>
        <v>214.28</v>
      </c>
      <c r="E36" s="111">
        <f t="shared" si="14"/>
        <v>67.38</v>
      </c>
      <c r="F36" s="111"/>
      <c r="G36" s="112">
        <f t="shared" si="12"/>
        <v>73.711526906261241</v>
      </c>
      <c r="H36" s="111"/>
      <c r="I36" s="111"/>
      <c r="J36" s="112">
        <f t="shared" si="7"/>
        <v>73.711526906261241</v>
      </c>
      <c r="K36" s="112">
        <f t="shared" si="13"/>
        <v>281.66000000000003</v>
      </c>
      <c r="L36" s="111">
        <f t="shared" si="3"/>
        <v>281.65999999999997</v>
      </c>
      <c r="P36" s="129">
        <f t="shared" si="8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14"/>
        <v>219.14</v>
      </c>
      <c r="E37" s="111">
        <f t="shared" si="14"/>
        <v>68.91</v>
      </c>
      <c r="F37" s="111"/>
      <c r="G37" s="112">
        <f t="shared" si="12"/>
        <v>75.383814973189487</v>
      </c>
      <c r="H37" s="111"/>
      <c r="I37" s="111"/>
      <c r="J37" s="112">
        <f t="shared" si="7"/>
        <v>75.383814973189487</v>
      </c>
      <c r="K37" s="112">
        <f t="shared" si="13"/>
        <v>288.05</v>
      </c>
      <c r="L37" s="111">
        <f t="shared" si="3"/>
        <v>288.04999999999995</v>
      </c>
      <c r="P37" s="102">
        <f>L37-'2029_WD_.PX.WYE.1.A01.WD'!L37</f>
        <v>49.919999999999931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-PMT(Discount_Rate,COUNT(J19:J37),NPV(Discount_Rate,J19:J37))</f>
        <v>32.852345707358964</v>
      </c>
      <c r="K39" s="287">
        <f>-PMT(Discount_Rate,COUNT(K19:K37),NPV(Discount_Rate,K19:K37))</f>
        <v>125.53244306361003</v>
      </c>
      <c r="L39" s="287">
        <f>-PMT(Discount_Rate,COUNT(L19:L37),NPV(Discount_Rate,L19:L37))</f>
        <v>227.0493077431469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43.6%)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WD_.PX.UWY._.SER.WD - 44%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2025</v>
      </c>
      <c r="T54" s="273" t="s">
        <v>328</v>
      </c>
    </row>
    <row r="55" spans="2:20">
      <c r="B55" t="s">
        <v>152</v>
      </c>
      <c r="C55" s="267"/>
      <c r="D55" s="102" t="s">
        <v>65</v>
      </c>
      <c r="P55" s="226">
        <v>220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0.43620000000025128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2F71-5D58-497C-BBCB-D72B39F084E5}">
  <sheetPr>
    <tabColor rgb="FFFFC000"/>
    <pageSetUpPr fitToPage="1"/>
  </sheetPr>
  <dimension ref="B1:AC91"/>
  <sheetViews>
    <sheetView view="pageBreakPreview" topLeftCell="A31" zoomScale="70" zoomScaleNormal="80" zoomScaleSheetLayoutView="70" workbookViewId="0">
      <selection activeCell="F61" sqref="F61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WD_.PX.WWA._.215.WD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37%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291" t="s">
        <v>345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WD_.PX.WWA._.215.WD - 37%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1566.9239882390707</v>
      </c>
      <c r="S16" s="284">
        <f>T16-R16</f>
        <v>101.74601176092938</v>
      </c>
      <c r="T16" s="113">
        <v>1668.67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T16*IRP_PTC_ESC!Q59</f>
        <v>2124.383777</v>
      </c>
      <c r="X17" s="277">
        <f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T17*IRP_PTC_ESC!Q60</f>
        <v>2124.383777</v>
      </c>
      <c r="X18" s="277">
        <f>X17*(1+IRP23_Infl_Rate)</f>
        <v>46.949458361730954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277"/>
      <c r="S19" s="277"/>
      <c r="T19" s="102">
        <f>T18*IRP_PTC_ESC!Q61</f>
        <v>2124.383777</v>
      </c>
      <c r="U19" s="284"/>
      <c r="X19" s="277">
        <f>X18*(1+IRP23_Infl_Rate)</f>
        <v>48.015211066753942</v>
      </c>
      <c r="Y19" s="284"/>
    </row>
    <row r="20" spans="2:29">
      <c r="B20" s="109">
        <f t="shared" si="0"/>
        <v>2026</v>
      </c>
      <c r="C20" s="113"/>
      <c r="D20" s="111"/>
      <c r="E20" s="111"/>
      <c r="F20" s="165"/>
      <c r="G20" s="112"/>
      <c r="H20" s="111"/>
      <c r="I20" s="111"/>
      <c r="J20" s="112"/>
      <c r="K20" s="112"/>
      <c r="L20" s="111"/>
      <c r="P20" s="129">
        <f t="shared" ref="P20:P36" si="1">Q20-I20</f>
        <v>0</v>
      </c>
      <c r="Q20" s="112">
        <v>0</v>
      </c>
      <c r="T20" s="102">
        <f>T19*IRP_PTC_ESC!Q62</f>
        <v>2124.383777</v>
      </c>
      <c r="U20" s="284"/>
      <c r="W20" s="129"/>
      <c r="X20" s="277">
        <f>X19*(1+IRP23_Infl_Rate)</f>
        <v>49.105156358185759</v>
      </c>
      <c r="Y20" s="284"/>
    </row>
    <row r="21" spans="2:29">
      <c r="B21" s="109">
        <f t="shared" si="0"/>
        <v>2027</v>
      </c>
      <c r="C21" s="274">
        <f>IRP_LTReport!R62</f>
        <v>2124.3838078725003</v>
      </c>
      <c r="D21" s="111">
        <f>C21*$C$62</f>
        <v>141.42023009007235</v>
      </c>
      <c r="E21" s="281">
        <f>IRP_LTReport!L62</f>
        <v>50.219065788270548</v>
      </c>
      <c r="F21" s="111">
        <f>$C$60</f>
        <v>6.1470642666378597</v>
      </c>
      <c r="G21" s="112">
        <f t="shared" ref="G21:G37" si="2">(D21+E21+F21)/(8.76*$C$63)</f>
        <v>60.94022028596811</v>
      </c>
      <c r="H21" s="111"/>
      <c r="I21" s="111">
        <v>-42.295000000000009</v>
      </c>
      <c r="J21" s="112">
        <f>(G21+H21+I21)</f>
        <v>18.645220285968101</v>
      </c>
      <c r="K21" s="112">
        <f t="shared" ref="K21:K37" si="3">ROUND(J21*$C$63*8.76,2)</f>
        <v>60.51</v>
      </c>
      <c r="L21" s="111">
        <f t="shared" ref="L21:L37" si="4">(D21+E21+F21)</f>
        <v>197.78636014498076</v>
      </c>
      <c r="P21" s="129">
        <f t="shared" si="1"/>
        <v>1.1849993896512672</v>
      </c>
      <c r="Q21" s="112">
        <v>-41.110000610348742</v>
      </c>
      <c r="T21" s="102">
        <f>T20*IRP_PTC_ESC!Q63</f>
        <v>2124.383777</v>
      </c>
      <c r="U21" s="284">
        <f t="shared" ref="U21" si="5">T21-C21</f>
        <v>-3.0872500246914569E-5</v>
      </c>
      <c r="V21" s="129"/>
      <c r="W21" s="129"/>
      <c r="X21" s="277">
        <f>X20*(1+IRP23_Infl_Rate)</f>
        <v>50.21984340773799</v>
      </c>
      <c r="Y21" s="284">
        <f t="shared" ref="Y21" si="6">X21-E21</f>
        <v>7.7761946744203669E-4</v>
      </c>
      <c r="Z21" s="129"/>
    </row>
    <row r="22" spans="2:29">
      <c r="B22" s="109">
        <f t="shared" si="0"/>
        <v>2028</v>
      </c>
      <c r="C22" s="113"/>
      <c r="D22" s="111">
        <f t="shared" ref="D22:F35" si="7">ROUND(D21*(1+IRP23_Infl_Rate),2)</f>
        <v>144.63</v>
      </c>
      <c r="E22" s="111">
        <f t="shared" si="7"/>
        <v>51.36</v>
      </c>
      <c r="F22" s="111">
        <f t="shared" si="7"/>
        <v>6.29</v>
      </c>
      <c r="G22" s="112">
        <f t="shared" si="2"/>
        <v>62.324761679267148</v>
      </c>
      <c r="H22" s="111"/>
      <c r="I22" s="111">
        <v>-42.295000000000009</v>
      </c>
      <c r="J22" s="112">
        <f t="shared" ref="J22:J37" si="8">(G22+H22+I22)</f>
        <v>20.029761679267139</v>
      </c>
      <c r="K22" s="112">
        <f t="shared" si="3"/>
        <v>65.010000000000005</v>
      </c>
      <c r="L22" s="111">
        <f t="shared" si="4"/>
        <v>202.28</v>
      </c>
      <c r="P22" s="129">
        <f t="shared" si="1"/>
        <v>-0.13500030517248263</v>
      </c>
      <c r="Q22" s="112">
        <v>-42.430000305172491</v>
      </c>
      <c r="T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7"/>
        <v>147.91</v>
      </c>
      <c r="E23" s="111">
        <f t="shared" si="7"/>
        <v>52.53</v>
      </c>
      <c r="F23" s="111">
        <f t="shared" ref="F23" si="9">ROUND(F22*(1+IRP23_Infl_Rate),2)</f>
        <v>6.43</v>
      </c>
      <c r="G23" s="112">
        <f t="shared" si="2"/>
        <v>63.738992725875001</v>
      </c>
      <c r="H23" s="111"/>
      <c r="I23" s="111">
        <v>-43.758000000000003</v>
      </c>
      <c r="J23" s="112">
        <f t="shared" si="8"/>
        <v>19.980992725874998</v>
      </c>
      <c r="K23" s="112">
        <f t="shared" si="3"/>
        <v>64.849999999999994</v>
      </c>
      <c r="L23" s="111">
        <f t="shared" si="4"/>
        <v>206.87</v>
      </c>
      <c r="P23" s="129">
        <f t="shared" si="1"/>
        <v>-1.9999999968902671E-3</v>
      </c>
      <c r="Q23" s="112">
        <v>-43.759999999996893</v>
      </c>
      <c r="T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7"/>
        <v>151.27000000000001</v>
      </c>
      <c r="E24" s="111">
        <f t="shared" si="7"/>
        <v>53.72</v>
      </c>
      <c r="F24" s="111">
        <f t="shared" ref="F24" si="10">ROUND(F23*(1+IRP23_Infl_Rate),2)</f>
        <v>6.58</v>
      </c>
      <c r="G24" s="112">
        <f t="shared" si="2"/>
        <v>65.187116019787183</v>
      </c>
      <c r="H24" s="111"/>
      <c r="I24" s="111">
        <v>-43.758000000000003</v>
      </c>
      <c r="J24" s="112">
        <f t="shared" si="8"/>
        <v>21.42911601978718</v>
      </c>
      <c r="K24" s="112">
        <f t="shared" si="3"/>
        <v>69.55</v>
      </c>
      <c r="L24" s="111">
        <f t="shared" si="4"/>
        <v>211.57000000000002</v>
      </c>
      <c r="P24" s="129">
        <f t="shared" si="1"/>
        <v>-1.998321530351177E-3</v>
      </c>
      <c r="Q24" s="112">
        <v>-43.759998321530354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7"/>
        <v>154.69999999999999</v>
      </c>
      <c r="E25" s="111">
        <f t="shared" si="7"/>
        <v>54.94</v>
      </c>
      <c r="F25" s="111">
        <f t="shared" ref="F25" si="11">ROUND(F24*(1+IRP23_Infl_Rate),2)</f>
        <v>6.73</v>
      </c>
      <c r="G25" s="112">
        <f t="shared" si="2"/>
        <v>66.666050447612378</v>
      </c>
      <c r="H25" s="111"/>
      <c r="I25" s="111">
        <v>-45.221000000000004</v>
      </c>
      <c r="J25" s="112">
        <f t="shared" si="8"/>
        <v>21.445050447612374</v>
      </c>
      <c r="K25" s="112">
        <f t="shared" si="3"/>
        <v>69.599999999999994</v>
      </c>
      <c r="L25" s="111">
        <f t="shared" si="4"/>
        <v>216.36999999999998</v>
      </c>
      <c r="P25" s="129">
        <f t="shared" si="1"/>
        <v>0.1409981689485349</v>
      </c>
      <c r="Q25" s="112">
        <v>-45.080001831051469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7"/>
        <v>158.21</v>
      </c>
      <c r="E26" s="111">
        <f t="shared" si="7"/>
        <v>56.19</v>
      </c>
      <c r="F26" s="111">
        <f t="shared" ref="F26" si="12">ROUND(F25*(1+IRP23_Infl_Rate),2)</f>
        <v>6.88</v>
      </c>
      <c r="G26" s="112">
        <f t="shared" si="2"/>
        <v>68.178877122741923</v>
      </c>
      <c r="H26" s="111"/>
      <c r="I26" s="111">
        <v>-45.221000000000004</v>
      </c>
      <c r="J26" s="112">
        <f t="shared" si="8"/>
        <v>22.95787712274192</v>
      </c>
      <c r="K26" s="112">
        <f t="shared" si="3"/>
        <v>74.510000000000005</v>
      </c>
      <c r="L26" s="111">
        <f t="shared" si="4"/>
        <v>221.28</v>
      </c>
      <c r="P26" s="129">
        <f t="shared" si="1"/>
        <v>-1.1889999999965113</v>
      </c>
      <c r="Q26" s="112">
        <v>-46.409999999996515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7"/>
        <v>161.80000000000001</v>
      </c>
      <c r="E27" s="111">
        <f t="shared" si="7"/>
        <v>57.47</v>
      </c>
      <c r="F27" s="111">
        <f t="shared" ref="F27" si="13">ROUND(F26*(1+IRP23_Infl_Rate),2)</f>
        <v>7.04</v>
      </c>
      <c r="G27" s="112">
        <f t="shared" si="2"/>
        <v>69.728677158567081</v>
      </c>
      <c r="H27" s="111"/>
      <c r="I27" s="111">
        <v>-46.673000000000002</v>
      </c>
      <c r="J27" s="112">
        <f t="shared" si="8"/>
        <v>23.055677158567079</v>
      </c>
      <c r="K27" s="112">
        <f t="shared" si="3"/>
        <v>74.83</v>
      </c>
      <c r="L27" s="111">
        <f t="shared" si="4"/>
        <v>226.31</v>
      </c>
      <c r="P27" s="129">
        <f t="shared" si="1"/>
        <v>0.2630001525909762</v>
      </c>
      <c r="Q27" s="112">
        <v>-46.409999847409026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7"/>
        <v>165.47</v>
      </c>
      <c r="E28" s="111">
        <f t="shared" si="7"/>
        <v>58.77</v>
      </c>
      <c r="F28" s="111">
        <f t="shared" ref="F28" si="14">ROUND(F27*(1+IRP23_Infl_Rate),2)</f>
        <v>7.2</v>
      </c>
      <c r="G28" s="112">
        <f t="shared" si="2"/>
        <v>71.309288328305271</v>
      </c>
      <c r="H28" s="111"/>
      <c r="I28" s="111">
        <v>-48.136000000000003</v>
      </c>
      <c r="J28" s="112">
        <f t="shared" si="8"/>
        <v>23.173288328305269</v>
      </c>
      <c r="K28" s="112">
        <f t="shared" si="3"/>
        <v>75.209999999999994</v>
      </c>
      <c r="L28" s="111">
        <f t="shared" si="4"/>
        <v>231.44</v>
      </c>
      <c r="P28" s="129">
        <f t="shared" si="1"/>
        <v>0.39599832153644599</v>
      </c>
      <c r="Q28" s="112">
        <v>-47.740001678463557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7"/>
        <v>169.23</v>
      </c>
      <c r="E29" s="111">
        <f t="shared" si="7"/>
        <v>60.1</v>
      </c>
      <c r="F29" s="111">
        <f t="shared" ref="F29" si="15">ROUND(F28*(1+IRP23_Infl_Rate),2)</f>
        <v>7.36</v>
      </c>
      <c r="G29" s="112">
        <f t="shared" si="2"/>
        <v>72.926872858739088</v>
      </c>
      <c r="H29" s="111"/>
      <c r="I29" s="111">
        <v>-48.136000000000003</v>
      </c>
      <c r="J29" s="112">
        <f t="shared" si="8"/>
        <v>24.790872858739085</v>
      </c>
      <c r="K29" s="112">
        <f t="shared" si="3"/>
        <v>80.459999999999994</v>
      </c>
      <c r="L29" s="111">
        <f t="shared" si="4"/>
        <v>236.69</v>
      </c>
      <c r="P29" s="129">
        <f t="shared" si="1"/>
        <v>-0.92399999999683047</v>
      </c>
      <c r="Q29" s="112">
        <v>-49.059999999996833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7"/>
        <v>173.07</v>
      </c>
      <c r="E30" s="111">
        <f t="shared" si="7"/>
        <v>61.46</v>
      </c>
      <c r="F30" s="111">
        <f t="shared" ref="F30" si="16">ROUND(F29*(1+IRP23_Infl_Rate),2)</f>
        <v>7.53</v>
      </c>
      <c r="G30" s="112">
        <f t="shared" si="2"/>
        <v>74.581430749868531</v>
      </c>
      <c r="H30" s="111"/>
      <c r="I30" s="111">
        <v>-49.599000000000011</v>
      </c>
      <c r="J30" s="112">
        <f t="shared" si="8"/>
        <v>24.98243074986852</v>
      </c>
      <c r="K30" s="112">
        <f t="shared" si="3"/>
        <v>81.08</v>
      </c>
      <c r="L30" s="111">
        <f t="shared" si="4"/>
        <v>242.06</v>
      </c>
      <c r="P30" s="129">
        <f t="shared" si="1"/>
        <v>0.53899862671289611</v>
      </c>
      <c r="Q30" s="112">
        <v>-49.060001373287115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7"/>
        <v>177</v>
      </c>
      <c r="E31" s="111">
        <f t="shared" si="7"/>
        <v>62.86</v>
      </c>
      <c r="F31" s="111">
        <f t="shared" ref="F31" si="17">ROUND(F30*(1+IRP23_Infl_Rate),2)</f>
        <v>7.7</v>
      </c>
      <c r="G31" s="112">
        <f t="shared" si="2"/>
        <v>76.276043115084917</v>
      </c>
      <c r="H31" s="111"/>
      <c r="I31" s="111"/>
      <c r="J31" s="112">
        <f t="shared" si="8"/>
        <v>76.276043115084917</v>
      </c>
      <c r="K31" s="112">
        <f t="shared" si="3"/>
        <v>247.56</v>
      </c>
      <c r="L31" s="111">
        <f t="shared" si="4"/>
        <v>247.56</v>
      </c>
      <c r="P31" s="129">
        <f t="shared" si="1"/>
        <v>0</v>
      </c>
      <c r="Q31" s="112">
        <v>0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7"/>
        <v>181.02</v>
      </c>
      <c r="E32" s="111">
        <f t="shared" si="7"/>
        <v>64.290000000000006</v>
      </c>
      <c r="F32" s="111">
        <f t="shared" ref="F32" si="18">ROUND(F31*(1+IRP23_Infl_Rate),2)</f>
        <v>7.87</v>
      </c>
      <c r="G32" s="112">
        <f t="shared" si="2"/>
        <v>78.007628840996929</v>
      </c>
      <c r="H32" s="111"/>
      <c r="I32" s="111"/>
      <c r="J32" s="112">
        <f t="shared" si="8"/>
        <v>78.007628840996929</v>
      </c>
      <c r="K32" s="112">
        <f t="shared" si="3"/>
        <v>253.18</v>
      </c>
      <c r="L32" s="111">
        <f t="shared" si="4"/>
        <v>253.18</v>
      </c>
      <c r="P32" s="129">
        <f t="shared" si="1"/>
        <v>0</v>
      </c>
      <c r="Q32" s="112">
        <v>0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7"/>
        <v>185.13</v>
      </c>
      <c r="E33" s="111">
        <f t="shared" si="7"/>
        <v>65.75</v>
      </c>
      <c r="F33" s="111">
        <f t="shared" ref="F33" si="19">ROUND(F32*(1+IRP23_Infl_Rate),2)</f>
        <v>8.0500000000000007</v>
      </c>
      <c r="G33" s="112">
        <f t="shared" si="2"/>
        <v>79.779269040995871</v>
      </c>
      <c r="H33" s="111"/>
      <c r="I33" s="111"/>
      <c r="J33" s="112">
        <f t="shared" si="8"/>
        <v>79.779269040995871</v>
      </c>
      <c r="K33" s="112">
        <f t="shared" si="3"/>
        <v>258.93</v>
      </c>
      <c r="L33" s="111">
        <f t="shared" si="4"/>
        <v>258.93</v>
      </c>
      <c r="P33" s="129">
        <f t="shared" si="1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7"/>
        <v>189.33</v>
      </c>
      <c r="E34" s="111">
        <f t="shared" si="7"/>
        <v>67.239999999999995</v>
      </c>
      <c r="F34" s="111">
        <f t="shared" ref="F34" si="20">ROUND(F33*(1+IRP23_Infl_Rate),2)</f>
        <v>8.23</v>
      </c>
      <c r="G34" s="112">
        <f t="shared" si="2"/>
        <v>81.587882601690438</v>
      </c>
      <c r="H34" s="111"/>
      <c r="I34" s="111"/>
      <c r="J34" s="112">
        <f t="shared" si="8"/>
        <v>81.587882601690438</v>
      </c>
      <c r="K34" s="112">
        <f t="shared" si="3"/>
        <v>264.8</v>
      </c>
      <c r="L34" s="111">
        <f t="shared" si="4"/>
        <v>264.8</v>
      </c>
      <c r="P34" s="129">
        <f t="shared" si="1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7"/>
        <v>193.63</v>
      </c>
      <c r="E35" s="111">
        <f t="shared" si="7"/>
        <v>68.77</v>
      </c>
      <c r="F35" s="111">
        <f t="shared" ref="F35" si="21">ROUND(F34*(1+IRP23_Infl_Rate),2)</f>
        <v>8.42</v>
      </c>
      <c r="G35" s="112">
        <f t="shared" si="2"/>
        <v>83.442712863254542</v>
      </c>
      <c r="H35" s="111"/>
      <c r="I35" s="111"/>
      <c r="J35" s="112">
        <f t="shared" si="8"/>
        <v>83.442712863254542</v>
      </c>
      <c r="K35" s="112">
        <f t="shared" si="3"/>
        <v>270.82</v>
      </c>
      <c r="L35" s="111">
        <f t="shared" si="4"/>
        <v>270.82</v>
      </c>
      <c r="P35" s="129">
        <f t="shared" si="1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ref="D36:F37" si="22">ROUND(D35*(1+IRP23_Infl_Rate),2)</f>
        <v>198.03</v>
      </c>
      <c r="E36" s="111">
        <f t="shared" si="22"/>
        <v>70.33</v>
      </c>
      <c r="F36" s="111">
        <f t="shared" si="22"/>
        <v>8.61</v>
      </c>
      <c r="G36" s="112">
        <f t="shared" si="2"/>
        <v>85.337597598905603</v>
      </c>
      <c r="H36" s="111"/>
      <c r="I36" s="111"/>
      <c r="J36" s="112">
        <f t="shared" si="8"/>
        <v>85.337597598905603</v>
      </c>
      <c r="K36" s="112">
        <f t="shared" si="3"/>
        <v>276.97000000000003</v>
      </c>
      <c r="L36" s="111">
        <f t="shared" si="4"/>
        <v>276.97000000000003</v>
      </c>
      <c r="P36" s="129">
        <f t="shared" si="1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22"/>
        <v>202.53</v>
      </c>
      <c r="E37" s="111">
        <f t="shared" si="22"/>
        <v>71.930000000000007</v>
      </c>
      <c r="F37" s="111">
        <f t="shared" si="22"/>
        <v>8.81</v>
      </c>
      <c r="G37" s="112">
        <f t="shared" si="2"/>
        <v>87.278699035426186</v>
      </c>
      <c r="H37" s="111"/>
      <c r="I37" s="111"/>
      <c r="J37" s="112">
        <f t="shared" si="8"/>
        <v>87.278699035426186</v>
      </c>
      <c r="K37" s="112">
        <f t="shared" si="3"/>
        <v>283.27</v>
      </c>
      <c r="L37" s="111">
        <f t="shared" si="4"/>
        <v>283.27000000000004</v>
      </c>
      <c r="P37" s="129"/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-PMT(Discount_Rate,COUNT(J21:J37),NPV(Discount_Rate,J21:J37))</f>
        <v>38.609125967953851</v>
      </c>
      <c r="K39" s="287">
        <f>-PMT(Discount_Rate,COUNT(K21:K37),NPV(Discount_Rate,K21:K37))</f>
        <v>125.30836550199651</v>
      </c>
      <c r="L39" s="287">
        <f>-PMT(Discount_Rate,COUNT(L21:L37),NPV(Discount_Rate,L21:L37))</f>
        <v>229.97088429357967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37.0%)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WD_.PX.WWA._.215.WD - 37%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2027</v>
      </c>
      <c r="T54" s="273" t="s">
        <v>313</v>
      </c>
    </row>
    <row r="55" spans="2:20">
      <c r="B55" t="s">
        <v>152</v>
      </c>
      <c r="C55" s="267"/>
      <c r="D55" s="102" t="s">
        <v>65</v>
      </c>
      <c r="P55" s="226">
        <v>100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2027$</v>
      </c>
      <c r="C60" s="223">
        <f>IFERROR(INDEX('Table 3 TransCost'!$39:$39,1,MATCH(F60,'Table 3 TransCost'!$4:$4,0)+2),0)</f>
        <v>6.1470642666378597</v>
      </c>
      <c r="D60" s="102" t="s">
        <v>137</v>
      </c>
      <c r="F60" s="102" t="s">
        <v>364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0.37049999997985972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2C76-B348-4B29-BA50-5A5C88E063D4}">
  <sheetPr>
    <tabColor rgb="FFFFC000"/>
    <pageSetUpPr fitToPage="1"/>
  </sheetPr>
  <dimension ref="B1:AC91"/>
  <sheetViews>
    <sheetView view="pageBreakPreview" zoomScale="70" zoomScaleNormal="100" zoomScaleSheetLayoutView="70" workbookViewId="0">
      <selection activeCell="T54" sqref="T5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WD_.PX.BOR._.PTC.WD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37%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WD_.PX.BOR._.PTC.WD - 37%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1596.7173860415357</v>
      </c>
      <c r="S16" s="284">
        <f>T16-R16</f>
        <v>8.3326139584642078</v>
      </c>
      <c r="T16" s="113">
        <v>1605.05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T16*IRP_PTC_ESC!Q59</f>
        <v>2043.3891549999998</v>
      </c>
      <c r="X17" s="277">
        <f t="shared" ref="X17:X22" si="1"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T17*IRP_PTC_ESC!Q60</f>
        <v>2043.3891549999998</v>
      </c>
      <c r="X18" s="277">
        <f t="shared" si="1"/>
        <v>46.949458361730954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277"/>
      <c r="S19" s="277"/>
      <c r="T19" s="102">
        <f>T18*IRP_PTC_ESC!Q61</f>
        <v>2043.3891549999998</v>
      </c>
      <c r="U19" s="284"/>
      <c r="X19" s="277">
        <f t="shared" si="1"/>
        <v>48.015211066753942</v>
      </c>
      <c r="Y19" s="284"/>
    </row>
    <row r="20" spans="2:29">
      <c r="B20" s="109">
        <f t="shared" si="0"/>
        <v>2026</v>
      </c>
      <c r="C20" s="113"/>
      <c r="D20" s="111"/>
      <c r="E20" s="111"/>
      <c r="F20" s="165"/>
      <c r="G20" s="112"/>
      <c r="H20" s="111"/>
      <c r="I20" s="111"/>
      <c r="J20" s="112"/>
      <c r="K20" s="112"/>
      <c r="L20" s="111"/>
      <c r="P20" s="129">
        <f t="shared" ref="P20:P36" si="2">Q20-I20</f>
        <v>0</v>
      </c>
      <c r="Q20" s="112">
        <v>0</v>
      </c>
      <c r="T20" s="102">
        <f>T19*IRP_PTC_ESC!Q62</f>
        <v>2043.3891549999998</v>
      </c>
      <c r="U20" s="284"/>
      <c r="W20" s="129"/>
      <c r="X20" s="277">
        <f t="shared" si="1"/>
        <v>49.105156358185759</v>
      </c>
      <c r="Y20" s="284"/>
    </row>
    <row r="21" spans="2:29">
      <c r="B21" s="109">
        <f t="shared" si="0"/>
        <v>2027</v>
      </c>
      <c r="C21" s="113"/>
      <c r="D21" s="111"/>
      <c r="E21" s="111"/>
      <c r="F21" s="111"/>
      <c r="G21" s="112"/>
      <c r="H21" s="111"/>
      <c r="I21" s="111"/>
      <c r="J21" s="112"/>
      <c r="K21" s="112"/>
      <c r="L21" s="111"/>
      <c r="P21" s="129">
        <f t="shared" si="2"/>
        <v>0</v>
      </c>
      <c r="Q21" s="112">
        <v>0</v>
      </c>
      <c r="T21" s="102">
        <f>T20*IRP_PTC_ESC!Q63</f>
        <v>2043.3891549999998</v>
      </c>
      <c r="U21" s="284"/>
      <c r="V21" s="129"/>
      <c r="W21" s="129"/>
      <c r="X21" s="277">
        <f t="shared" si="1"/>
        <v>50.21984340773799</v>
      </c>
      <c r="Y21" s="284"/>
      <c r="Z21" s="129"/>
    </row>
    <row r="22" spans="2:29">
      <c r="B22" s="109">
        <f t="shared" si="0"/>
        <v>2028</v>
      </c>
      <c r="C22" s="274">
        <f>IRP_LTReport!R64</f>
        <v>2043.3891846954668</v>
      </c>
      <c r="D22" s="111">
        <f>C22*$C$62</f>
        <v>136.02841802517725</v>
      </c>
      <c r="E22" s="281">
        <f>IRP_LTReport!L64</f>
        <v>51.499748388556263</v>
      </c>
      <c r="F22" s="111">
        <f>$C$60</f>
        <v>53.405546431728474</v>
      </c>
      <c r="G22" s="112">
        <f t="shared" ref="G22:G37" si="3">(D22+E22+F22)/(8.76*$C$63)</f>
        <v>74.23440890243397</v>
      </c>
      <c r="H22" s="111"/>
      <c r="I22" s="111">
        <v>-38.450000000000003</v>
      </c>
      <c r="J22" s="112">
        <f>(G22+H22+I22)</f>
        <v>35.784408902433967</v>
      </c>
      <c r="K22" s="112">
        <f t="shared" ref="K22:K37" si="4">ROUND(J22*$C$63*8.76,2)</f>
        <v>116.14</v>
      </c>
      <c r="L22" s="111">
        <f t="shared" ref="L22:L37" si="5">(D22+E22+F22)</f>
        <v>240.933712845462</v>
      </c>
      <c r="P22" s="129">
        <f t="shared" si="2"/>
        <v>-7.6293816420047733E-7</v>
      </c>
      <c r="Q22" s="112">
        <v>-38.450000762938167</v>
      </c>
      <c r="T22" s="102">
        <f>T21*IRP_PTC_ESC!Q64</f>
        <v>2043.3891549999998</v>
      </c>
      <c r="U22" s="284">
        <f t="shared" ref="U22" si="6">T22-C22</f>
        <v>-2.9695466992052388E-5</v>
      </c>
      <c r="V22" s="129"/>
      <c r="W22" s="129"/>
      <c r="X22" s="277">
        <f t="shared" si="1"/>
        <v>51.359833853320083</v>
      </c>
      <c r="Y22" s="284">
        <f t="shared" ref="Y22" si="7">X22-E22</f>
        <v>-0.13991453523617992</v>
      </c>
      <c r="Z22" s="129"/>
      <c r="AA22" s="129"/>
    </row>
    <row r="23" spans="2:29">
      <c r="B23" s="109">
        <f t="shared" si="0"/>
        <v>2029</v>
      </c>
      <c r="C23" s="113"/>
      <c r="D23" s="111">
        <f t="shared" ref="D23:F37" si="8">ROUND(D22*(1+IRP23_Infl_Rate),2)</f>
        <v>139.12</v>
      </c>
      <c r="E23" s="111">
        <f t="shared" si="8"/>
        <v>52.67</v>
      </c>
      <c r="F23" s="111">
        <f t="shared" si="8"/>
        <v>54.62</v>
      </c>
      <c r="G23" s="112">
        <f t="shared" si="3"/>
        <v>75.92171507098945</v>
      </c>
      <c r="H23" s="111"/>
      <c r="I23" s="111">
        <v>-39.78</v>
      </c>
      <c r="J23" s="112">
        <f t="shared" ref="J23:J37" si="9">(G23+H23+I23)</f>
        <v>36.141715070989449</v>
      </c>
      <c r="K23" s="112">
        <f t="shared" si="4"/>
        <v>117.3</v>
      </c>
      <c r="L23" s="111">
        <f t="shared" si="5"/>
        <v>246.41000000000003</v>
      </c>
      <c r="P23" s="129">
        <f t="shared" si="2"/>
        <v>1.1084466677857563E-12</v>
      </c>
      <c r="Q23" s="112">
        <v>-39.779999999998893</v>
      </c>
      <c r="T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8"/>
        <v>142.28</v>
      </c>
      <c r="E24" s="111">
        <f t="shared" si="8"/>
        <v>53.87</v>
      </c>
      <c r="F24" s="111">
        <f t="shared" ref="F24" si="10">ROUND(F23*(1+IRP23_Infl_Rate),2)</f>
        <v>55.86</v>
      </c>
      <c r="G24" s="112">
        <f t="shared" si="3"/>
        <v>77.64713857002576</v>
      </c>
      <c r="H24" s="111"/>
      <c r="I24" s="111">
        <v>-39.78</v>
      </c>
      <c r="J24" s="112">
        <f t="shared" si="9"/>
        <v>37.867138570025759</v>
      </c>
      <c r="K24" s="112">
        <f t="shared" si="4"/>
        <v>122.9</v>
      </c>
      <c r="L24" s="111">
        <f t="shared" si="5"/>
        <v>252.01</v>
      </c>
      <c r="P24" s="129">
        <f t="shared" si="2"/>
        <v>1.2207041848455447E-6</v>
      </c>
      <c r="Q24" s="112">
        <v>-39.779998779295816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8"/>
        <v>145.51</v>
      </c>
      <c r="E25" s="111">
        <f t="shared" si="8"/>
        <v>55.09</v>
      </c>
      <c r="F25" s="111">
        <f t="shared" ref="F25" si="11">ROUND(F24*(1+IRP23_Infl_Rate),2)</f>
        <v>57.13</v>
      </c>
      <c r="G25" s="112">
        <f t="shared" si="3"/>
        <v>79.409535429755735</v>
      </c>
      <c r="H25" s="111"/>
      <c r="I25" s="111">
        <v>-41.11</v>
      </c>
      <c r="J25" s="112">
        <f t="shared" si="9"/>
        <v>38.299535429755736</v>
      </c>
      <c r="K25" s="112">
        <f t="shared" si="4"/>
        <v>124.3</v>
      </c>
      <c r="L25" s="111">
        <f t="shared" si="5"/>
        <v>257.73</v>
      </c>
      <c r="P25" s="129">
        <f t="shared" si="2"/>
        <v>1.1723955140041653E-12</v>
      </c>
      <c r="Q25" s="112">
        <v>-41.109999999998827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8"/>
        <v>148.81</v>
      </c>
      <c r="E26" s="111">
        <f t="shared" si="8"/>
        <v>56.34</v>
      </c>
      <c r="F26" s="111">
        <f t="shared" ref="F26" si="12">ROUND(F25*(1+IRP23_Infl_Rate),2)</f>
        <v>58.43</v>
      </c>
      <c r="G26" s="112">
        <f t="shared" si="3"/>
        <v>81.211986763570451</v>
      </c>
      <c r="H26" s="111"/>
      <c r="I26" s="111">
        <v>-41.11</v>
      </c>
      <c r="J26" s="112">
        <f t="shared" si="9"/>
        <v>40.101986763570451</v>
      </c>
      <c r="K26" s="112">
        <f t="shared" si="4"/>
        <v>130.15</v>
      </c>
      <c r="L26" s="111">
        <f t="shared" si="5"/>
        <v>263.58</v>
      </c>
      <c r="P26" s="129">
        <f t="shared" si="2"/>
        <v>-6.1035122911334838E-7</v>
      </c>
      <c r="Q26" s="112">
        <v>-41.110000610351229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8"/>
        <v>152.19</v>
      </c>
      <c r="E27" s="111">
        <f t="shared" si="8"/>
        <v>57.62</v>
      </c>
      <c r="F27" s="111">
        <f t="shared" ref="F27" si="13">ROUND(F26*(1+IRP23_Infl_Rate),2)</f>
        <v>59.76</v>
      </c>
      <c r="G27" s="112">
        <f t="shared" si="3"/>
        <v>83.057573684861097</v>
      </c>
      <c r="H27" s="111"/>
      <c r="I27" s="111">
        <v>-42.43</v>
      </c>
      <c r="J27" s="112">
        <f t="shared" si="9"/>
        <v>40.627573684861098</v>
      </c>
      <c r="K27" s="112">
        <f t="shared" si="4"/>
        <v>131.86000000000001</v>
      </c>
      <c r="L27" s="111">
        <f t="shared" si="5"/>
        <v>269.57</v>
      </c>
      <c r="P27" s="129">
        <f t="shared" si="2"/>
        <v>-3.0517472993096817E-7</v>
      </c>
      <c r="Q27" s="112">
        <v>-42.43000030517473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8"/>
        <v>155.63999999999999</v>
      </c>
      <c r="E28" s="111">
        <f t="shared" si="8"/>
        <v>58.93</v>
      </c>
      <c r="F28" s="111">
        <f t="shared" ref="F28" si="14">ROUND(F27*(1+IRP23_Infl_Rate),2)</f>
        <v>61.12</v>
      </c>
      <c r="G28" s="112">
        <f t="shared" si="3"/>
        <v>84.943215080236513</v>
      </c>
      <c r="H28" s="111"/>
      <c r="I28" s="111">
        <v>-43.76</v>
      </c>
      <c r="J28" s="112">
        <f t="shared" si="9"/>
        <v>41.183215080236515</v>
      </c>
      <c r="K28" s="112">
        <f t="shared" si="4"/>
        <v>133.66</v>
      </c>
      <c r="L28" s="111">
        <f t="shared" si="5"/>
        <v>275.69</v>
      </c>
      <c r="P28" s="129">
        <f t="shared" si="2"/>
        <v>1.4352963262354024E-12</v>
      </c>
      <c r="Q28" s="112">
        <v>-43.759999999998563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8"/>
        <v>159.16999999999999</v>
      </c>
      <c r="E29" s="111">
        <f t="shared" si="8"/>
        <v>60.27</v>
      </c>
      <c r="F29" s="111">
        <f t="shared" ref="F29" si="15">ROUND(F28*(1+IRP23_Infl_Rate),2)</f>
        <v>62.51</v>
      </c>
      <c r="G29" s="112">
        <f t="shared" si="3"/>
        <v>86.871992063087831</v>
      </c>
      <c r="H29" s="111"/>
      <c r="I29" s="111">
        <v>-43.76</v>
      </c>
      <c r="J29" s="112">
        <f t="shared" si="9"/>
        <v>43.111992063087833</v>
      </c>
      <c r="K29" s="112">
        <f t="shared" si="4"/>
        <v>139.91999999999999</v>
      </c>
      <c r="L29" s="111">
        <f t="shared" si="5"/>
        <v>281.95</v>
      </c>
      <c r="P29" s="129">
        <f t="shared" si="2"/>
        <v>1.6784681307058236E-6</v>
      </c>
      <c r="Q29" s="112">
        <v>-43.759998321531867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8"/>
        <v>162.78</v>
      </c>
      <c r="E30" s="111">
        <f t="shared" si="8"/>
        <v>61.64</v>
      </c>
      <c r="F30" s="111">
        <f t="shared" ref="F30" si="16">ROUND(F29*(1+IRP23_Infl_Rate),2)</f>
        <v>63.93</v>
      </c>
      <c r="G30" s="112">
        <f t="shared" si="3"/>
        <v>88.843904633415065</v>
      </c>
      <c r="H30" s="111"/>
      <c r="I30" s="111">
        <v>-45.09</v>
      </c>
      <c r="J30" s="112">
        <f t="shared" si="9"/>
        <v>43.753904633415061</v>
      </c>
      <c r="K30" s="112">
        <f t="shared" si="4"/>
        <v>142.01</v>
      </c>
      <c r="L30" s="111">
        <f t="shared" si="5"/>
        <v>288.35000000000002</v>
      </c>
      <c r="P30" s="129">
        <f t="shared" si="2"/>
        <v>9.9981689466659418E-3</v>
      </c>
      <c r="Q30" s="112">
        <v>-45.080001831053337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8"/>
        <v>166.48</v>
      </c>
      <c r="E31" s="111">
        <f t="shared" si="8"/>
        <v>63.04</v>
      </c>
      <c r="F31" s="111">
        <f t="shared" ref="F31" si="17">ROUND(F30*(1+IRP23_Infl_Rate),2)</f>
        <v>65.38</v>
      </c>
      <c r="G31" s="112">
        <f t="shared" si="3"/>
        <v>90.862033904609319</v>
      </c>
      <c r="H31" s="111"/>
      <c r="I31" s="111">
        <v>-46.41</v>
      </c>
      <c r="J31" s="112">
        <f t="shared" si="9"/>
        <v>44.452033904609323</v>
      </c>
      <c r="K31" s="112">
        <f t="shared" si="4"/>
        <v>144.27000000000001</v>
      </c>
      <c r="L31" s="111">
        <f t="shared" si="5"/>
        <v>294.89999999999998</v>
      </c>
      <c r="P31" s="129">
        <f t="shared" si="2"/>
        <v>1.3713474800169934E-12</v>
      </c>
      <c r="Q31" s="112">
        <v>-46.409999999998625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8"/>
        <v>170.26</v>
      </c>
      <c r="E32" s="111">
        <f t="shared" si="8"/>
        <v>64.47</v>
      </c>
      <c r="F32" s="111">
        <f t="shared" ref="F32" si="18">ROUND(F31*(1+IRP23_Infl_Rate),2)</f>
        <v>66.86</v>
      </c>
      <c r="G32" s="112">
        <f t="shared" si="3"/>
        <v>92.923298763279504</v>
      </c>
      <c r="H32" s="111"/>
      <c r="I32" s="111"/>
      <c r="J32" s="112">
        <f t="shared" si="9"/>
        <v>92.923298763279504</v>
      </c>
      <c r="K32" s="112">
        <f t="shared" si="4"/>
        <v>301.58999999999997</v>
      </c>
      <c r="L32" s="111">
        <f t="shared" si="5"/>
        <v>301.58999999999997</v>
      </c>
      <c r="P32" s="129">
        <f t="shared" si="2"/>
        <v>0</v>
      </c>
      <c r="Q32" s="112">
        <v>0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8"/>
        <v>174.12</v>
      </c>
      <c r="E33" s="111">
        <f t="shared" si="8"/>
        <v>65.930000000000007</v>
      </c>
      <c r="F33" s="111">
        <f t="shared" ref="F33" si="19">ROUND(F32*(1+IRP23_Infl_Rate),2)</f>
        <v>68.38</v>
      </c>
      <c r="G33" s="112">
        <f t="shared" si="3"/>
        <v>95.030780322816739</v>
      </c>
      <c r="H33" s="111"/>
      <c r="I33" s="111"/>
      <c r="J33" s="112">
        <f t="shared" si="9"/>
        <v>95.030780322816739</v>
      </c>
      <c r="K33" s="112">
        <f t="shared" si="4"/>
        <v>308.43</v>
      </c>
      <c r="L33" s="111">
        <f t="shared" si="5"/>
        <v>308.43</v>
      </c>
      <c r="P33" s="129">
        <f t="shared" si="2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8"/>
        <v>178.07</v>
      </c>
      <c r="E34" s="111">
        <f t="shared" si="8"/>
        <v>67.430000000000007</v>
      </c>
      <c r="F34" s="111">
        <f t="shared" ref="F34" si="20">ROUND(F33*(1+IRP23_Infl_Rate),2)</f>
        <v>69.930000000000007</v>
      </c>
      <c r="G34" s="112">
        <f t="shared" si="3"/>
        <v>97.187559696612141</v>
      </c>
      <c r="H34" s="111"/>
      <c r="I34" s="111"/>
      <c r="J34" s="112">
        <f t="shared" si="9"/>
        <v>97.187559696612141</v>
      </c>
      <c r="K34" s="112">
        <f t="shared" si="4"/>
        <v>315.43</v>
      </c>
      <c r="L34" s="111">
        <f t="shared" si="5"/>
        <v>315.43</v>
      </c>
      <c r="P34" s="129">
        <f t="shared" si="2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8"/>
        <v>182.11</v>
      </c>
      <c r="E35" s="111">
        <f t="shared" si="8"/>
        <v>68.959999999999994</v>
      </c>
      <c r="F35" s="111">
        <f t="shared" ref="F35" si="21">ROUND(F34*(1+IRP23_Infl_Rate),2)</f>
        <v>71.52</v>
      </c>
      <c r="G35" s="112">
        <f t="shared" si="3"/>
        <v>99.393636884665725</v>
      </c>
      <c r="H35" s="111"/>
      <c r="I35" s="111"/>
      <c r="J35" s="112">
        <f t="shared" si="9"/>
        <v>99.393636884665725</v>
      </c>
      <c r="K35" s="112">
        <f t="shared" si="4"/>
        <v>322.58999999999997</v>
      </c>
      <c r="L35" s="111">
        <f t="shared" si="5"/>
        <v>322.58999999999997</v>
      </c>
      <c r="P35" s="129">
        <f t="shared" si="2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si="8"/>
        <v>186.24</v>
      </c>
      <c r="E36" s="111">
        <f t="shared" si="8"/>
        <v>70.53</v>
      </c>
      <c r="F36" s="111">
        <f t="shared" ref="F36" si="22">ROUND(F35*(1+IRP23_Infl_Rate),2)</f>
        <v>73.14</v>
      </c>
      <c r="G36" s="112">
        <f t="shared" si="3"/>
        <v>101.64901188697749</v>
      </c>
      <c r="H36" s="111"/>
      <c r="I36" s="111"/>
      <c r="J36" s="112">
        <f t="shared" si="9"/>
        <v>101.64901188697749</v>
      </c>
      <c r="K36" s="112">
        <f t="shared" si="4"/>
        <v>329.91</v>
      </c>
      <c r="L36" s="111">
        <f t="shared" si="5"/>
        <v>329.90999999999997</v>
      </c>
      <c r="P36" s="129">
        <f t="shared" si="2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8"/>
        <v>190.47</v>
      </c>
      <c r="E37" s="111">
        <f t="shared" si="8"/>
        <v>72.13</v>
      </c>
      <c r="F37" s="111">
        <f t="shared" ref="F37" si="23">ROUND(F36*(1+IRP23_Infl_Rate),2)</f>
        <v>74.8</v>
      </c>
      <c r="G37" s="112">
        <f t="shared" si="3"/>
        <v>103.9567658169386</v>
      </c>
      <c r="H37" s="111"/>
      <c r="I37" s="111"/>
      <c r="J37" s="112">
        <f t="shared" si="9"/>
        <v>103.9567658169386</v>
      </c>
      <c r="K37" s="112">
        <f t="shared" si="4"/>
        <v>337.4</v>
      </c>
      <c r="L37" s="111">
        <f t="shared" si="5"/>
        <v>337.40000000000003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-PMT(Discount_Rate,COUNT(J22:J37),NPV(Discount_Rate,J22:J37))</f>
        <v>54.756673136591175</v>
      </c>
      <c r="K39" s="287">
        <f>-PMT(Discount_Rate,COUNT(K22:K37),NPV(Discount_Rate,K22:K37))</f>
        <v>177.71585308220332</v>
      </c>
      <c r="L39" s="287">
        <f>-PMT(Discount_Rate,COUNT(L22:L37),NPV(Discount_Rate,L22:L37))</f>
        <v>277.92999102038601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37.0%)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WD_.PX.BOR._.PTC.WD - 37%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2028</v>
      </c>
      <c r="T54" s="273" t="s">
        <v>320</v>
      </c>
    </row>
    <row r="55" spans="2:20">
      <c r="B55" t="s">
        <v>152</v>
      </c>
      <c r="C55" s="267"/>
      <c r="D55" s="102" t="s">
        <v>65</v>
      </c>
      <c r="P55" s="226">
        <v>300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2026$</v>
      </c>
      <c r="C60" s="223">
        <f>IFERROR(INDEX('Table 3 TransCost'!$39:$39,1,MATCH(F60,'Table 3 TransCost'!$4:$4,0)+2),0)</f>
        <v>53.405546431728474</v>
      </c>
      <c r="D60" s="102" t="s">
        <v>137</v>
      </c>
      <c r="F60" s="102" t="s">
        <v>353</v>
      </c>
      <c r="I60" s="102">
        <f>IFERROR(INDEX('Table 3 TransCost'!$39:$39,1,MATCH(J60,'Table 3 TransCost'!$4:$4,0)+2),0)</f>
        <v>0</v>
      </c>
      <c r="J60" s="102" t="s">
        <v>431</v>
      </c>
      <c r="L60" s="270"/>
      <c r="M60" s="270"/>
      <c r="N60" s="270"/>
      <c r="P60" s="127"/>
    </row>
    <row r="61" spans="2:20">
      <c r="B61"/>
      <c r="C61" s="166"/>
      <c r="I61" s="102">
        <f>IFERROR(INDEX('Table 3 TransCost'!$39:$39,1,MATCH(J61,'Table 3 TransCost'!$4:$4,0)+2),0)</f>
        <v>0</v>
      </c>
      <c r="J61" s="102" t="s">
        <v>347</v>
      </c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I62" s="102">
        <f>IFERROR(INDEX('Table 3 TransCost'!$39:$39,1,MATCH(J62,'Table 3 TransCost'!$4:$4,0)+2),0)</f>
        <v>53.405546431728474</v>
      </c>
      <c r="J62" s="102" t="s">
        <v>353</v>
      </c>
      <c r="L62" s="229"/>
      <c r="M62" s="131"/>
      <c r="N62" s="131"/>
      <c r="P62" s="132"/>
    </row>
    <row r="63" spans="2:20">
      <c r="C63" s="272">
        <v>0.37049999999984679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E50B-2EA4-4611-AFE7-4D3331606F5A}">
  <sheetPr>
    <tabColor rgb="FFFFC000"/>
    <pageSetUpPr fitToPage="1"/>
  </sheetPr>
  <dimension ref="B1:AC91"/>
  <sheetViews>
    <sheetView view="pageBreakPreview" topLeftCell="A51" zoomScale="70" zoomScaleNormal="100" zoomScaleSheetLayoutView="70" workbookViewId="0">
      <selection activeCell="K71" sqref="K71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WD_.PX.WYE.1.A01.WD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44%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291" t="s">
        <v>345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WD_.PX.WYE.1.A01.WD - 44%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1567.5293165999776</v>
      </c>
      <c r="S16" s="284">
        <f>T16-R16</f>
        <v>8.3306834000222807</v>
      </c>
      <c r="T16" s="113">
        <v>1575.86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T16*IRP_PTC_ESC!Q59</f>
        <v>2006.2273659999996</v>
      </c>
      <c r="X17" s="277">
        <f t="shared" ref="X17:X23" si="1"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T17*IRP_PTC_ESC!Q60</f>
        <v>2006.2273659999996</v>
      </c>
      <c r="X18" s="277">
        <f t="shared" si="1"/>
        <v>46.949458361730954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277"/>
      <c r="S19" s="277"/>
      <c r="T19" s="102">
        <f>T18*IRP_PTC_ESC!Q61</f>
        <v>2006.2273659999996</v>
      </c>
      <c r="U19" s="284"/>
      <c r="X19" s="277">
        <f t="shared" si="1"/>
        <v>48.015211066753942</v>
      </c>
      <c r="Y19" s="284"/>
    </row>
    <row r="20" spans="2:29">
      <c r="B20" s="109">
        <f t="shared" si="0"/>
        <v>2026</v>
      </c>
      <c r="C20" s="113"/>
      <c r="D20" s="111"/>
      <c r="E20" s="111"/>
      <c r="F20" s="165"/>
      <c r="G20" s="112"/>
      <c r="H20" s="111"/>
      <c r="I20" s="111"/>
      <c r="J20" s="112"/>
      <c r="K20" s="112"/>
      <c r="L20" s="111"/>
      <c r="P20" s="129">
        <f t="shared" ref="P20:P36" si="2">Q20-I20</f>
        <v>0</v>
      </c>
      <c r="Q20" s="112">
        <v>0</v>
      </c>
      <c r="T20" s="102">
        <f>T19*IRP_PTC_ESC!Q62</f>
        <v>2006.2273659999996</v>
      </c>
      <c r="U20" s="284"/>
      <c r="W20" s="129"/>
      <c r="X20" s="277">
        <f t="shared" si="1"/>
        <v>49.105156358185759</v>
      </c>
      <c r="Y20" s="284"/>
    </row>
    <row r="21" spans="2:29">
      <c r="B21" s="109">
        <f t="shared" si="0"/>
        <v>2027</v>
      </c>
      <c r="C21" s="113"/>
      <c r="D21" s="111"/>
      <c r="E21" s="281"/>
      <c r="F21" s="111"/>
      <c r="G21" s="112"/>
      <c r="H21" s="111"/>
      <c r="I21" s="111"/>
      <c r="J21" s="112"/>
      <c r="K21" s="112"/>
      <c r="L21" s="111"/>
      <c r="P21" s="129">
        <f t="shared" si="2"/>
        <v>0</v>
      </c>
      <c r="Q21" s="112">
        <v>0</v>
      </c>
      <c r="T21" s="102">
        <f>T20*IRP_PTC_ESC!Q63</f>
        <v>2006.2273659999996</v>
      </c>
      <c r="U21" s="284"/>
      <c r="V21" s="129"/>
      <c r="W21" s="129"/>
      <c r="X21" s="277">
        <f t="shared" si="1"/>
        <v>50.21984340773799</v>
      </c>
      <c r="Y21" s="284"/>
      <c r="Z21" s="129"/>
    </row>
    <row r="22" spans="2:29">
      <c r="B22" s="109">
        <f t="shared" si="0"/>
        <v>2028</v>
      </c>
      <c r="C22" s="113"/>
      <c r="D22" s="111"/>
      <c r="E22" s="111"/>
      <c r="F22" s="111"/>
      <c r="G22" s="112"/>
      <c r="H22" s="111"/>
      <c r="I22" s="111"/>
      <c r="J22" s="112"/>
      <c r="K22" s="112"/>
      <c r="L22" s="111"/>
      <c r="P22" s="129">
        <f t="shared" si="2"/>
        <v>0</v>
      </c>
      <c r="Q22" s="112">
        <v>0</v>
      </c>
      <c r="T22" s="102">
        <f>T21*IRP_PTC_ESC!Q64</f>
        <v>2006.2273659999996</v>
      </c>
      <c r="U22" s="284"/>
      <c r="V22" s="129"/>
      <c r="W22" s="129"/>
      <c r="X22" s="277">
        <f t="shared" si="1"/>
        <v>51.359833853320083</v>
      </c>
      <c r="Y22" s="284"/>
      <c r="Z22" s="129"/>
      <c r="AA22" s="129"/>
    </row>
    <row r="23" spans="2:29">
      <c r="B23" s="109">
        <f t="shared" si="0"/>
        <v>2029</v>
      </c>
      <c r="C23" s="274">
        <f>IRP_LTReport!R70</f>
        <v>1575.86</v>
      </c>
      <c r="D23" s="111">
        <f>C23*$C$62</f>
        <v>104.9050002</v>
      </c>
      <c r="E23" s="281">
        <f>IRP_LTReport!L70</f>
        <v>28.949261343480842</v>
      </c>
      <c r="F23" s="111">
        <f>$C$60</f>
        <v>40.062380297207461</v>
      </c>
      <c r="G23" s="112">
        <f t="shared" ref="G23:G37" si="3">(D23+E23+F23)/(8.76*$C$63)</f>
        <v>45.514667416340615</v>
      </c>
      <c r="H23" s="111"/>
      <c r="I23" s="111">
        <v>-43.758000000000003</v>
      </c>
      <c r="J23" s="112">
        <f>(G23+H23+I23)</f>
        <v>1.756667416340612</v>
      </c>
      <c r="K23" s="112">
        <f t="shared" ref="K23:K37" si="4">ROUND(J23*$C$63*8.76,2)</f>
        <v>6.71</v>
      </c>
      <c r="L23" s="111">
        <f t="shared" ref="L23:L37" si="5">(D23+E23+F23)</f>
        <v>173.9166418406883</v>
      </c>
      <c r="P23" s="129">
        <f t="shared" si="2"/>
        <v>0.78500000000596515</v>
      </c>
      <c r="Q23" s="112">
        <v>-42.972999999994038</v>
      </c>
      <c r="T23" s="102">
        <f>T22*IRP_PTC_ESC!Q65</f>
        <v>1861.7789956479996</v>
      </c>
      <c r="U23" s="284">
        <f t="shared" ref="U23" si="6">T23-C23</f>
        <v>285.91899564799974</v>
      </c>
      <c r="V23" s="129"/>
      <c r="W23" s="129"/>
      <c r="X23" s="277">
        <f t="shared" si="1"/>
        <v>52.525702082022029</v>
      </c>
      <c r="Y23" s="284">
        <f t="shared" ref="Y23" si="7">X23-E23</f>
        <v>23.576440738541187</v>
      </c>
      <c r="Z23" s="129"/>
      <c r="AA23" s="129"/>
    </row>
    <row r="24" spans="2:29">
      <c r="B24" s="109">
        <f t="shared" si="0"/>
        <v>2030</v>
      </c>
      <c r="C24" s="113"/>
      <c r="D24" s="111">
        <f t="shared" ref="D24:F37" si="8">ROUND(D23*(1+IRP23_Infl_Rate),2)</f>
        <v>107.29</v>
      </c>
      <c r="E24" s="111">
        <f t="shared" si="8"/>
        <v>29.61</v>
      </c>
      <c r="F24" s="111">
        <f t="shared" si="8"/>
        <v>40.97</v>
      </c>
      <c r="G24" s="112">
        <f t="shared" si="3"/>
        <v>46.549276755012031</v>
      </c>
      <c r="H24" s="111"/>
      <c r="I24" s="111">
        <v>-43.758000000000003</v>
      </c>
      <c r="J24" s="112">
        <f t="shared" ref="J24:J37" si="9">(G24+H24+I24)</f>
        <v>2.7912767550120279</v>
      </c>
      <c r="K24" s="112">
        <f t="shared" si="4"/>
        <v>10.67</v>
      </c>
      <c r="L24" s="111">
        <f t="shared" si="5"/>
        <v>177.87</v>
      </c>
      <c r="P24" s="129">
        <f t="shared" si="2"/>
        <v>0.8020016784728341</v>
      </c>
      <c r="Q24" s="112">
        <v>-42.955998321527169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8"/>
        <v>109.73</v>
      </c>
      <c r="E25" s="111">
        <f t="shared" si="8"/>
        <v>30.28</v>
      </c>
      <c r="F25" s="111">
        <f t="shared" ref="F25" si="10">ROUND(F24*(1+IRP23_Infl_Rate),2)</f>
        <v>41.9</v>
      </c>
      <c r="G25" s="112">
        <f t="shared" si="3"/>
        <v>47.606560603273394</v>
      </c>
      <c r="H25" s="111"/>
      <c r="I25" s="111">
        <v>-45.221000000000004</v>
      </c>
      <c r="J25" s="112">
        <f t="shared" si="9"/>
        <v>2.3855606032733903</v>
      </c>
      <c r="K25" s="112">
        <f t="shared" si="4"/>
        <v>9.1199999999999992</v>
      </c>
      <c r="L25" s="111">
        <f t="shared" si="5"/>
        <v>181.91</v>
      </c>
      <c r="P25" s="129">
        <f t="shared" si="2"/>
        <v>0.96299816895157164</v>
      </c>
      <c r="Q25" s="112">
        <v>-44.258001831048432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8"/>
        <v>112.22</v>
      </c>
      <c r="E26" s="111">
        <f t="shared" si="8"/>
        <v>30.97</v>
      </c>
      <c r="F26" s="111">
        <f t="shared" ref="F26" si="11">ROUND(F25*(1+IRP23_Infl_Rate),2)</f>
        <v>42.85</v>
      </c>
      <c r="G26" s="112">
        <f t="shared" si="3"/>
        <v>48.687397804590084</v>
      </c>
      <c r="H26" s="111"/>
      <c r="I26" s="111">
        <v>-45.221000000000004</v>
      </c>
      <c r="J26" s="112">
        <f t="shared" si="9"/>
        <v>3.4663978045900805</v>
      </c>
      <c r="K26" s="112">
        <f t="shared" si="4"/>
        <v>13.25</v>
      </c>
      <c r="L26" s="111">
        <f t="shared" si="5"/>
        <v>186.04</v>
      </c>
      <c r="P26" s="129">
        <f t="shared" si="2"/>
        <v>-0.34899999999358045</v>
      </c>
      <c r="Q26" s="112">
        <v>-45.569999999993584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8"/>
        <v>114.77</v>
      </c>
      <c r="E27" s="111">
        <f t="shared" si="8"/>
        <v>31.67</v>
      </c>
      <c r="F27" s="111">
        <f t="shared" ref="F27" si="12">ROUND(F26*(1+IRP23_Infl_Rate),2)</f>
        <v>43.82</v>
      </c>
      <c r="G27" s="112">
        <f t="shared" si="3"/>
        <v>49.791788358962101</v>
      </c>
      <c r="H27" s="111"/>
      <c r="I27" s="111">
        <v>-46.673000000000002</v>
      </c>
      <c r="J27" s="112">
        <f t="shared" si="9"/>
        <v>3.1187883589620995</v>
      </c>
      <c r="K27" s="112">
        <f t="shared" si="4"/>
        <v>11.92</v>
      </c>
      <c r="L27" s="111">
        <f t="shared" si="5"/>
        <v>190.26</v>
      </c>
      <c r="P27" s="129">
        <f t="shared" si="2"/>
        <v>1.1210001525943341</v>
      </c>
      <c r="Q27" s="112">
        <v>-45.551999847405668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8"/>
        <v>117.38</v>
      </c>
      <c r="E28" s="111">
        <f t="shared" si="8"/>
        <v>32.39</v>
      </c>
      <c r="F28" s="111">
        <f t="shared" ref="F28" si="13">ROUND(F27*(1+IRP23_Infl_Rate),2)</f>
        <v>44.81</v>
      </c>
      <c r="G28" s="112">
        <f t="shared" si="3"/>
        <v>50.922349305617814</v>
      </c>
      <c r="H28" s="111"/>
      <c r="I28" s="111">
        <v>-48.136000000000003</v>
      </c>
      <c r="J28" s="112">
        <f t="shared" si="9"/>
        <v>2.7863493056178115</v>
      </c>
      <c r="K28" s="112">
        <f t="shared" si="4"/>
        <v>10.65</v>
      </c>
      <c r="L28" s="111">
        <f t="shared" si="5"/>
        <v>194.57999999999998</v>
      </c>
      <c r="P28" s="129">
        <f t="shared" si="2"/>
        <v>1.2719983215398187</v>
      </c>
      <c r="Q28" s="112">
        <v>-46.864001678460184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8"/>
        <v>120.04</v>
      </c>
      <c r="E29" s="111">
        <f t="shared" si="8"/>
        <v>33.130000000000003</v>
      </c>
      <c r="F29" s="111">
        <f t="shared" ref="F29" si="14">ROUND(F28*(1+IRP23_Infl_Rate),2)</f>
        <v>45.83</v>
      </c>
      <c r="G29" s="112">
        <f t="shared" si="3"/>
        <v>52.07908064455723</v>
      </c>
      <c r="H29" s="111"/>
      <c r="I29" s="111">
        <v>-48.136000000000003</v>
      </c>
      <c r="J29" s="112">
        <f t="shared" si="9"/>
        <v>3.9430806445572273</v>
      </c>
      <c r="K29" s="112">
        <f t="shared" si="4"/>
        <v>15.07</v>
      </c>
      <c r="L29" s="111">
        <f t="shared" si="5"/>
        <v>199</v>
      </c>
      <c r="P29" s="129">
        <f t="shared" si="2"/>
        <v>-2.8999999993196468E-2</v>
      </c>
      <c r="Q29" s="112">
        <v>-48.164999999993199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8"/>
        <v>122.76</v>
      </c>
      <c r="E30" s="111">
        <f t="shared" si="8"/>
        <v>33.880000000000003</v>
      </c>
      <c r="F30" s="111">
        <f t="shared" ref="F30" si="15">ROUND(F29*(1+IRP23_Infl_Rate),2)</f>
        <v>46.87</v>
      </c>
      <c r="G30" s="112">
        <f t="shared" si="3"/>
        <v>53.259365336551973</v>
      </c>
      <c r="H30" s="111"/>
      <c r="I30" s="111">
        <v>-49.599000000000011</v>
      </c>
      <c r="J30" s="112">
        <f t="shared" si="9"/>
        <v>3.6603653365519619</v>
      </c>
      <c r="K30" s="112">
        <f t="shared" si="4"/>
        <v>13.99</v>
      </c>
      <c r="L30" s="111">
        <f t="shared" si="5"/>
        <v>203.51000000000002</v>
      </c>
      <c r="P30" s="129">
        <f t="shared" si="2"/>
        <v>1.452998626715754</v>
      </c>
      <c r="Q30" s="112">
        <v>-48.146001373284257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8"/>
        <v>125.55</v>
      </c>
      <c r="E31" s="111">
        <f t="shared" si="8"/>
        <v>34.65</v>
      </c>
      <c r="F31" s="111">
        <f t="shared" ref="F31" si="16">ROUND(F30*(1+IRP23_Infl_Rate),2)</f>
        <v>47.93</v>
      </c>
      <c r="G31" s="112">
        <f t="shared" si="3"/>
        <v>54.468437460058773</v>
      </c>
      <c r="H31" s="111"/>
      <c r="I31" s="111">
        <v>-51.051000000000002</v>
      </c>
      <c r="J31" s="112">
        <f t="shared" si="9"/>
        <v>3.4174374600587711</v>
      </c>
      <c r="K31" s="112">
        <f t="shared" si="4"/>
        <v>13.06</v>
      </c>
      <c r="L31" s="111">
        <f t="shared" si="5"/>
        <v>208.13</v>
      </c>
      <c r="P31" s="129">
        <f t="shared" si="2"/>
        <v>1.5950006103586105</v>
      </c>
      <c r="Q31" s="112">
        <v>-49.455999389641391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8"/>
        <v>128.4</v>
      </c>
      <c r="E32" s="111">
        <f t="shared" si="8"/>
        <v>35.44</v>
      </c>
      <c r="F32" s="111">
        <f t="shared" ref="F32" si="17">ROUND(F31*(1+IRP23_Infl_Rate),2)</f>
        <v>49.02</v>
      </c>
      <c r="G32" s="112">
        <f t="shared" si="3"/>
        <v>55.706297015077652</v>
      </c>
      <c r="H32" s="111"/>
      <c r="I32" s="111">
        <v>-51.051000000000002</v>
      </c>
      <c r="J32" s="112">
        <f t="shared" si="9"/>
        <v>4.6552970150776503</v>
      </c>
      <c r="K32" s="112">
        <f t="shared" si="4"/>
        <v>17.79</v>
      </c>
      <c r="L32" s="111">
        <f t="shared" si="5"/>
        <v>212.86</v>
      </c>
      <c r="P32" s="129">
        <f t="shared" si="2"/>
        <v>0.29500091553442331</v>
      </c>
      <c r="Q32" s="112">
        <v>-50.755999084465579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8"/>
        <v>131.31</v>
      </c>
      <c r="E33" s="111">
        <f t="shared" si="8"/>
        <v>36.24</v>
      </c>
      <c r="F33" s="111">
        <f t="shared" ref="F33" si="18">ROUND(F32*(1+IRP23_Infl_Rate),2)</f>
        <v>50.13</v>
      </c>
      <c r="G33" s="112">
        <f t="shared" si="3"/>
        <v>56.967709923151851</v>
      </c>
      <c r="H33" s="111"/>
      <c r="I33" s="111"/>
      <c r="J33" s="112">
        <f t="shared" si="9"/>
        <v>56.967709923151851</v>
      </c>
      <c r="K33" s="112">
        <f t="shared" si="4"/>
        <v>217.68</v>
      </c>
      <c r="L33" s="111">
        <f t="shared" si="5"/>
        <v>217.68</v>
      </c>
      <c r="P33" s="129">
        <f t="shared" si="2"/>
        <v>0.97499999999974774</v>
      </c>
      <c r="Q33" s="112">
        <v>0.97499999999974774</v>
      </c>
    </row>
    <row r="34" spans="2:17">
      <c r="B34" s="109">
        <f t="shared" si="0"/>
        <v>2040</v>
      </c>
      <c r="C34" s="113"/>
      <c r="D34" s="111">
        <f t="shared" si="8"/>
        <v>134.29</v>
      </c>
      <c r="E34" s="111">
        <f t="shared" si="8"/>
        <v>37.06</v>
      </c>
      <c r="F34" s="111">
        <f t="shared" ref="F34" si="19">ROUND(F33*(1+IRP23_Infl_Rate),2)</f>
        <v>51.27</v>
      </c>
      <c r="G34" s="112">
        <f t="shared" si="3"/>
        <v>58.260527301966484</v>
      </c>
      <c r="H34" s="111"/>
      <c r="I34" s="111"/>
      <c r="J34" s="112">
        <f t="shared" si="9"/>
        <v>58.260527301966484</v>
      </c>
      <c r="K34" s="112">
        <f t="shared" si="4"/>
        <v>222.62</v>
      </c>
      <c r="L34" s="111">
        <f t="shared" si="5"/>
        <v>222.62</v>
      </c>
      <c r="P34" s="129">
        <f t="shared" si="2"/>
        <v>0.9959999999997512</v>
      </c>
      <c r="Q34" s="112">
        <v>0.9959999999997512</v>
      </c>
    </row>
    <row r="35" spans="2:17">
      <c r="B35" s="109">
        <f t="shared" si="0"/>
        <v>2041</v>
      </c>
      <c r="C35" s="113"/>
      <c r="D35" s="111">
        <f t="shared" si="8"/>
        <v>137.34</v>
      </c>
      <c r="E35" s="111">
        <f t="shared" si="8"/>
        <v>37.9</v>
      </c>
      <c r="F35" s="111">
        <f t="shared" ref="F35" si="20">ROUND(F34*(1+IRP23_Infl_Rate),2)</f>
        <v>52.43</v>
      </c>
      <c r="G35" s="112">
        <f t="shared" si="3"/>
        <v>59.582132112293195</v>
      </c>
      <c r="H35" s="111"/>
      <c r="I35" s="111"/>
      <c r="J35" s="112">
        <f t="shared" si="9"/>
        <v>59.582132112293195</v>
      </c>
      <c r="K35" s="112">
        <f t="shared" si="4"/>
        <v>227.67</v>
      </c>
      <c r="L35" s="111">
        <f t="shared" si="5"/>
        <v>227.67000000000002</v>
      </c>
      <c r="P35" s="129">
        <f t="shared" si="2"/>
        <v>1.0009523809997825</v>
      </c>
      <c r="Q35" s="112">
        <v>1.0009523809997825</v>
      </c>
    </row>
    <row r="36" spans="2:17">
      <c r="B36" s="109">
        <f t="shared" si="0"/>
        <v>2042</v>
      </c>
      <c r="C36" s="113"/>
      <c r="D36" s="111">
        <f t="shared" si="8"/>
        <v>140.46</v>
      </c>
      <c r="E36" s="111">
        <f t="shared" si="8"/>
        <v>38.76</v>
      </c>
      <c r="F36" s="111">
        <f t="shared" ref="F36" si="21">ROUND(F35*(1+IRP23_Infl_Rate),2)</f>
        <v>53.62</v>
      </c>
      <c r="G36" s="112">
        <f t="shared" si="3"/>
        <v>60.935141393360333</v>
      </c>
      <c r="H36" s="111"/>
      <c r="I36" s="111"/>
      <c r="J36" s="112">
        <f t="shared" si="9"/>
        <v>60.935141393360333</v>
      </c>
      <c r="K36" s="112">
        <f t="shared" si="4"/>
        <v>232.84</v>
      </c>
      <c r="L36" s="111">
        <f t="shared" si="5"/>
        <v>232.84</v>
      </c>
      <c r="P36" s="129">
        <f t="shared" si="2"/>
        <v>1.0181991339997338</v>
      </c>
      <c r="Q36" s="112">
        <v>1.0181991339997338</v>
      </c>
    </row>
    <row r="37" spans="2:17">
      <c r="B37" s="109">
        <f t="shared" si="0"/>
        <v>2043</v>
      </c>
      <c r="C37" s="113"/>
      <c r="D37" s="111">
        <f t="shared" si="8"/>
        <v>143.65</v>
      </c>
      <c r="E37" s="111">
        <f t="shared" si="8"/>
        <v>39.64</v>
      </c>
      <c r="F37" s="111">
        <f t="shared" ref="F37" si="22">ROUND(F36*(1+IRP23_Infl_Rate),2)</f>
        <v>54.84</v>
      </c>
      <c r="G37" s="112">
        <f t="shared" si="3"/>
        <v>62.319555145167911</v>
      </c>
      <c r="H37" s="111"/>
      <c r="I37" s="111"/>
      <c r="J37" s="112">
        <f t="shared" si="9"/>
        <v>62.319555145167911</v>
      </c>
      <c r="K37" s="112">
        <f t="shared" si="4"/>
        <v>238.13</v>
      </c>
      <c r="L37" s="111">
        <f t="shared" si="5"/>
        <v>238.13000000000002</v>
      </c>
      <c r="P37" s="102">
        <f>L37-'2029_WD_.PX.WYE.1.A01.WD'!L37</f>
        <v>0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-PMT(Discount_Rate,COUNT(J23:J37),NPV(Discount_Rate,J23:J37))</f>
        <v>16.143107699410262</v>
      </c>
      <c r="K39" s="287">
        <f>-PMT(Discount_Rate,COUNT(K23:K37),NPV(Discount_Rate,K23:K37))</f>
        <v>61.686597685953672</v>
      </c>
      <c r="L39" s="287">
        <f>-PMT(Discount_Rate,COUNT(L23:L37),NPV(Discount_Rate,L23:L37))</f>
        <v>198.98540649379271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43.6%)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WD_.PX.WYE.1.A01.WD - 44%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2029</v>
      </c>
      <c r="T54" s="273" t="s">
        <v>326</v>
      </c>
    </row>
    <row r="55" spans="2:20">
      <c r="B55" t="s">
        <v>152</v>
      </c>
      <c r="C55" s="267"/>
      <c r="D55" s="102" t="s">
        <v>65</v>
      </c>
      <c r="P55" s="226">
        <v>500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2029$</v>
      </c>
      <c r="C60" s="223">
        <f>IFERROR(INDEX('Table 3 TransCost'!$39:$39,1,MATCH(F60,'Table 3 TransCost'!$4:$4,0)+2),0)</f>
        <v>40.062380297207461</v>
      </c>
      <c r="D60" s="102" t="s">
        <v>137</v>
      </c>
      <c r="F60" s="102" t="s">
        <v>351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0.43620000000025128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950D4-8FA4-4A0E-8668-AB5B6637FA03}">
  <sheetPr>
    <tabColor rgb="FFFFC000"/>
    <pageSetUpPr fitToPage="1"/>
  </sheetPr>
  <dimension ref="B1:AC91"/>
  <sheetViews>
    <sheetView view="pageBreakPreview" topLeftCell="A38" zoomScale="70" zoomScaleNormal="100" zoomScaleSheetLayoutView="70" workbookViewId="0">
      <selection activeCell="F61" sqref="F61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6.1640625" style="102" customWidth="1"/>
    <col min="8" max="8" width="11.33203125" style="102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WD_.PX.BDG._.PTC.Bridger.WD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44%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WD_.PX.BDG._.PTC.Bridger.WD - 44%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1567.5293165999776</v>
      </c>
      <c r="S16" s="284">
        <f>T16-R16</f>
        <v>8.3306834000222807</v>
      </c>
      <c r="T16" s="113">
        <v>1575.86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T16*IRP_PTC_ESC!Q59</f>
        <v>2006.2273659999996</v>
      </c>
      <c r="X17" s="277">
        <f t="shared" ref="X17:X23" si="1"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T17*IRP_PTC_ESC!Q60</f>
        <v>2006.2273659999996</v>
      </c>
      <c r="X18" s="277">
        <f t="shared" si="1"/>
        <v>46.949458361730954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277"/>
      <c r="S19" s="277"/>
      <c r="T19" s="102">
        <f>T18*IRP_PTC_ESC!Q61</f>
        <v>2006.2273659999996</v>
      </c>
      <c r="U19" s="284"/>
      <c r="X19" s="277">
        <f t="shared" si="1"/>
        <v>48.015211066753942</v>
      </c>
      <c r="Y19" s="284"/>
    </row>
    <row r="20" spans="2:29">
      <c r="B20" s="109">
        <f t="shared" si="0"/>
        <v>2026</v>
      </c>
      <c r="C20" s="113"/>
      <c r="D20" s="111"/>
      <c r="E20" s="111"/>
      <c r="F20" s="165"/>
      <c r="G20" s="112"/>
      <c r="H20" s="111"/>
      <c r="I20" s="111"/>
      <c r="J20" s="112"/>
      <c r="K20" s="112"/>
      <c r="L20" s="111"/>
      <c r="P20" s="129">
        <f t="shared" ref="P20:P36" si="2">Q20-I20</f>
        <v>0</v>
      </c>
      <c r="Q20" s="112">
        <v>0</v>
      </c>
      <c r="T20" s="102">
        <f>T19*IRP_PTC_ESC!Q62</f>
        <v>2006.2273659999996</v>
      </c>
      <c r="U20" s="284"/>
      <c r="W20" s="129"/>
      <c r="X20" s="277">
        <f t="shared" si="1"/>
        <v>49.105156358185759</v>
      </c>
      <c r="Y20" s="284"/>
    </row>
    <row r="21" spans="2:29">
      <c r="B21" s="109">
        <f t="shared" si="0"/>
        <v>2027</v>
      </c>
      <c r="C21" s="113"/>
      <c r="D21" s="111"/>
      <c r="E21" s="111"/>
      <c r="F21" s="111"/>
      <c r="G21" s="112"/>
      <c r="H21" s="111"/>
      <c r="I21" s="111"/>
      <c r="J21" s="112"/>
      <c r="K21" s="112"/>
      <c r="L21" s="111"/>
      <c r="P21" s="129">
        <f t="shared" si="2"/>
        <v>0</v>
      </c>
      <c r="Q21" s="112">
        <v>0</v>
      </c>
      <c r="T21" s="102">
        <f>T20*IRP_PTC_ESC!Q63</f>
        <v>2006.2273659999996</v>
      </c>
      <c r="U21" s="284"/>
      <c r="V21" s="129"/>
      <c r="W21" s="129"/>
      <c r="X21" s="277">
        <f t="shared" si="1"/>
        <v>50.21984340773799</v>
      </c>
      <c r="Y21" s="284"/>
      <c r="Z21" s="129"/>
    </row>
    <row r="22" spans="2:29">
      <c r="B22" s="109">
        <f t="shared" si="0"/>
        <v>2028</v>
      </c>
      <c r="C22" s="113"/>
      <c r="D22" s="111"/>
      <c r="E22" s="111"/>
      <c r="F22" s="111"/>
      <c r="G22" s="112"/>
      <c r="H22" s="111"/>
      <c r="I22" s="111"/>
      <c r="J22" s="112"/>
      <c r="K22" s="112"/>
      <c r="L22" s="111"/>
      <c r="P22" s="129">
        <f t="shared" si="2"/>
        <v>0</v>
      </c>
      <c r="Q22" s="112">
        <v>0</v>
      </c>
      <c r="T22" s="102">
        <f>T21*IRP_PTC_ESC!Q64</f>
        <v>2006.2273659999996</v>
      </c>
      <c r="U22" s="284"/>
      <c r="V22" s="129"/>
      <c r="W22" s="129"/>
      <c r="X22" s="277">
        <f t="shared" si="1"/>
        <v>51.359833853320083</v>
      </c>
      <c r="Y22" s="284"/>
      <c r="Z22" s="129"/>
      <c r="AA22" s="129"/>
    </row>
    <row r="23" spans="2:29">
      <c r="B23" s="109">
        <f t="shared" si="0"/>
        <v>2029</v>
      </c>
      <c r="C23" s="274">
        <f>IRP_LTReport!R66</f>
        <v>1861.7789595842307</v>
      </c>
      <c r="D23" s="111">
        <f>C23*$C$62</f>
        <v>123.93862533952225</v>
      </c>
      <c r="E23" s="281">
        <f>IRP_LTReport!L66</f>
        <v>52.524889183817692</v>
      </c>
      <c r="F23" s="261">
        <f>$C$60</f>
        <v>39.576129741307163</v>
      </c>
      <c r="G23" s="112">
        <f t="shared" ref="G23:G37" si="3">(D23+E23+F23)/(8.76*$C$63)</f>
        <v>56.538422392361873</v>
      </c>
      <c r="H23" s="111"/>
      <c r="I23" s="111">
        <v>-39.78</v>
      </c>
      <c r="J23" s="112">
        <f>(G23+H23+I23)</f>
        <v>16.758422392361872</v>
      </c>
      <c r="K23" s="112">
        <f t="shared" ref="K23:K37" si="4">ROUND(J23*$C$63*8.76,2)</f>
        <v>64.040000000000006</v>
      </c>
      <c r="L23" s="111">
        <f t="shared" ref="L23:L37" si="5">(D23+E23+F23)</f>
        <v>216.03964426464711</v>
      </c>
      <c r="P23" s="129">
        <f t="shared" si="2"/>
        <v>3.6024516703037079E-12</v>
      </c>
      <c r="Q23" s="112">
        <v>-39.779999999996399</v>
      </c>
      <c r="T23" s="102">
        <f>T22*IRP_PTC_ESC!Q65</f>
        <v>1861.7789956479996</v>
      </c>
      <c r="U23" s="284">
        <f t="shared" ref="U23" si="6">T23-C23</f>
        <v>3.6063768902749871E-5</v>
      </c>
      <c r="V23" s="129"/>
      <c r="W23" s="129"/>
      <c r="X23" s="277">
        <f t="shared" si="1"/>
        <v>52.525702082022029</v>
      </c>
      <c r="Y23" s="284">
        <f t="shared" ref="Y23" si="7">X23-E23</f>
        <v>8.1289820433738669E-4</v>
      </c>
      <c r="Z23" s="129"/>
      <c r="AA23" s="129"/>
    </row>
    <row r="24" spans="2:29">
      <c r="B24" s="109">
        <f t="shared" si="0"/>
        <v>2030</v>
      </c>
      <c r="C24" s="113"/>
      <c r="D24" s="111">
        <f t="shared" ref="D24:E37" si="8">ROUND(D23*(1+IRP23_Infl_Rate),2)</f>
        <v>126.75</v>
      </c>
      <c r="E24" s="111">
        <f t="shared" si="8"/>
        <v>53.72</v>
      </c>
      <c r="F24" s="261">
        <f>ROUND(F23*(1+IRP23_Infl_Rate),2)+C61</f>
        <v>42.961491987345603</v>
      </c>
      <c r="G24" s="112">
        <f t="shared" si="3"/>
        <v>58.472897938405595</v>
      </c>
      <c r="H24" s="111"/>
      <c r="I24" s="111">
        <v>-39.78</v>
      </c>
      <c r="J24" s="112">
        <f t="shared" ref="J24:J37" si="9">(G24+H24+I24)</f>
        <v>18.692897938405594</v>
      </c>
      <c r="K24" s="112">
        <f t="shared" si="4"/>
        <v>71.430000000000007</v>
      </c>
      <c r="L24" s="111">
        <f t="shared" si="5"/>
        <v>223.43149198734559</v>
      </c>
      <c r="P24" s="129">
        <f t="shared" si="2"/>
        <v>1.2207066575342651E-6</v>
      </c>
      <c r="Q24" s="112">
        <v>-39.779998779293344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8"/>
        <v>129.63</v>
      </c>
      <c r="E25" s="111">
        <f t="shared" si="8"/>
        <v>54.94</v>
      </c>
      <c r="F25" s="111">
        <f t="shared" ref="F25" si="10">ROUND(F24*(1+IRP23_Infl_Rate),2)</f>
        <v>43.94</v>
      </c>
      <c r="G25" s="112">
        <f t="shared" si="3"/>
        <v>59.801963407476244</v>
      </c>
      <c r="H25" s="111"/>
      <c r="I25" s="111">
        <v>-41.11</v>
      </c>
      <c r="J25" s="112">
        <f t="shared" si="9"/>
        <v>18.691963407476244</v>
      </c>
      <c r="K25" s="112">
        <f t="shared" si="4"/>
        <v>71.42</v>
      </c>
      <c r="L25" s="111">
        <f t="shared" si="5"/>
        <v>228.51</v>
      </c>
      <c r="P25" s="129">
        <f t="shared" si="2"/>
        <v>3.5882408155885059E-12</v>
      </c>
      <c r="Q25" s="112">
        <v>-41.109999999996411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8"/>
        <v>132.57</v>
      </c>
      <c r="E26" s="111">
        <f t="shared" si="8"/>
        <v>56.19</v>
      </c>
      <c r="F26" s="111">
        <f t="shared" ref="F26" si="11">ROUND(F25*(1+IRP23_Infl_Rate),2)</f>
        <v>44.94</v>
      </c>
      <c r="G26" s="112">
        <f t="shared" si="3"/>
        <v>61.160206767000119</v>
      </c>
      <c r="H26" s="111"/>
      <c r="I26" s="111">
        <v>-41.11</v>
      </c>
      <c r="J26" s="112">
        <f t="shared" si="9"/>
        <v>20.05020676700012</v>
      </c>
      <c r="K26" s="112">
        <f t="shared" si="4"/>
        <v>76.61</v>
      </c>
      <c r="L26" s="111">
        <f t="shared" si="5"/>
        <v>233.7</v>
      </c>
      <c r="P26" s="129">
        <f t="shared" si="2"/>
        <v>-6.1035148490873325E-7</v>
      </c>
      <c r="Q26" s="112">
        <v>-41.110000610351484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8"/>
        <v>135.58000000000001</v>
      </c>
      <c r="E27" s="111">
        <f t="shared" si="8"/>
        <v>57.47</v>
      </c>
      <c r="F27" s="111">
        <f t="shared" ref="F27" si="12">ROUND(F26*(1+IRP23_Infl_Rate),2)</f>
        <v>45.96</v>
      </c>
      <c r="G27" s="112">
        <f t="shared" si="3"/>
        <v>62.549854597264442</v>
      </c>
      <c r="H27" s="111"/>
      <c r="I27" s="111">
        <v>-42.43</v>
      </c>
      <c r="J27" s="112">
        <f t="shared" si="9"/>
        <v>20.119854597264442</v>
      </c>
      <c r="K27" s="112">
        <f t="shared" si="4"/>
        <v>76.88</v>
      </c>
      <c r="L27" s="111">
        <f t="shared" si="5"/>
        <v>239.01000000000002</v>
      </c>
      <c r="P27" s="129">
        <f t="shared" si="2"/>
        <v>-3.05175362314003E-7</v>
      </c>
      <c r="Q27" s="112">
        <v>-42.430000305175362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8"/>
        <v>138.66</v>
      </c>
      <c r="E28" s="111">
        <f t="shared" si="8"/>
        <v>58.77</v>
      </c>
      <c r="F28" s="111">
        <f t="shared" ref="F28" si="13">ROUND(F27*(1+IRP23_Infl_Rate),2)</f>
        <v>47</v>
      </c>
      <c r="G28" s="112">
        <f t="shared" si="3"/>
        <v>63.968289859040823</v>
      </c>
      <c r="H28" s="111"/>
      <c r="I28" s="111">
        <v>-43.76</v>
      </c>
      <c r="J28" s="112">
        <f t="shared" si="9"/>
        <v>20.208289859040825</v>
      </c>
      <c r="K28" s="112">
        <f t="shared" si="4"/>
        <v>77.22</v>
      </c>
      <c r="L28" s="111">
        <f t="shared" si="5"/>
        <v>244.43</v>
      </c>
      <c r="P28" s="129">
        <f t="shared" si="2"/>
        <v>1.0658141036401503E-13</v>
      </c>
      <c r="Q28" s="112">
        <v>-43.759999999999891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8"/>
        <v>141.81</v>
      </c>
      <c r="E29" s="111">
        <f t="shared" si="8"/>
        <v>60.1</v>
      </c>
      <c r="F29" s="111">
        <f t="shared" ref="F29" si="14">ROUND(F28*(1+IRP23_Infl_Rate),2)</f>
        <v>48.07</v>
      </c>
      <c r="G29" s="112">
        <f t="shared" si="3"/>
        <v>65.420746630786013</v>
      </c>
      <c r="H29" s="111"/>
      <c r="I29" s="111">
        <v>-43.76</v>
      </c>
      <c r="J29" s="112">
        <f t="shared" si="9"/>
        <v>21.660746630786015</v>
      </c>
      <c r="K29" s="112">
        <f t="shared" si="4"/>
        <v>82.77</v>
      </c>
      <c r="L29" s="111">
        <f t="shared" si="5"/>
        <v>249.98</v>
      </c>
      <c r="P29" s="129">
        <f t="shared" si="2"/>
        <v>1.678467086208002E-6</v>
      </c>
      <c r="Q29" s="112">
        <v>-43.759998321532912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8"/>
        <v>145.03</v>
      </c>
      <c r="E30" s="111">
        <f t="shared" si="8"/>
        <v>61.46</v>
      </c>
      <c r="F30" s="111">
        <f t="shared" ref="F30" si="15">ROUND(F29*(1+IRP23_Infl_Rate),2)</f>
        <v>49.16</v>
      </c>
      <c r="G30" s="112">
        <f t="shared" si="3"/>
        <v>66.904607873271644</v>
      </c>
      <c r="H30" s="111"/>
      <c r="I30" s="111">
        <v>-45.09</v>
      </c>
      <c r="J30" s="112">
        <f t="shared" si="9"/>
        <v>21.81460787327164</v>
      </c>
      <c r="K30" s="112">
        <f t="shared" si="4"/>
        <v>83.36</v>
      </c>
      <c r="L30" s="111">
        <f t="shared" si="5"/>
        <v>255.65</v>
      </c>
      <c r="P30" s="129">
        <f t="shared" si="2"/>
        <v>9.9981689456285494E-3</v>
      </c>
      <c r="Q30" s="112">
        <v>-45.080001831054375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8"/>
        <v>148.32</v>
      </c>
      <c r="E31" s="111">
        <f t="shared" si="8"/>
        <v>62.86</v>
      </c>
      <c r="F31" s="111">
        <f t="shared" ref="F31" si="16">ROUND(F30*(1+IRP23_Infl_Rate),2)</f>
        <v>50.28</v>
      </c>
      <c r="G31" s="112">
        <f t="shared" si="3"/>
        <v>68.425107664954453</v>
      </c>
      <c r="H31" s="111"/>
      <c r="I31" s="111">
        <v>-46.41</v>
      </c>
      <c r="J31" s="112">
        <f t="shared" si="9"/>
        <v>22.015107664954456</v>
      </c>
      <c r="K31" s="112">
        <f t="shared" si="4"/>
        <v>84.12</v>
      </c>
      <c r="L31" s="111">
        <f t="shared" si="5"/>
        <v>261.46000000000004</v>
      </c>
      <c r="P31" s="129">
        <f t="shared" si="2"/>
        <v>-3.979039320256561E-13</v>
      </c>
      <c r="Q31" s="112">
        <v>-46.410000000000394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8"/>
        <v>151.69</v>
      </c>
      <c r="E32" s="111">
        <f t="shared" si="8"/>
        <v>64.290000000000006</v>
      </c>
      <c r="F32" s="111">
        <f t="shared" ref="F32" si="17">ROUND(F31*(1+IRP23_Infl_Rate),2)</f>
        <v>51.42</v>
      </c>
      <c r="G32" s="112">
        <f t="shared" si="3"/>
        <v>69.979628966606057</v>
      </c>
      <c r="H32" s="111"/>
      <c r="I32" s="111">
        <v>-46.41</v>
      </c>
      <c r="J32" s="112">
        <f t="shared" si="9"/>
        <v>23.569628966606061</v>
      </c>
      <c r="K32" s="112">
        <f t="shared" si="4"/>
        <v>90.06</v>
      </c>
      <c r="L32" s="111">
        <f t="shared" si="5"/>
        <v>267.40000000000003</v>
      </c>
      <c r="P32" s="129">
        <f t="shared" si="2"/>
        <v>1.5258748220503549E-7</v>
      </c>
      <c r="Q32" s="112">
        <v>-46.409999847412514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8"/>
        <v>155.13</v>
      </c>
      <c r="E33" s="111">
        <f t="shared" si="8"/>
        <v>65.75</v>
      </c>
      <c r="F33" s="111">
        <f t="shared" ref="F33" si="18">ROUND(F32*(1+IRP23_Infl_Rate),2)</f>
        <v>52.59</v>
      </c>
      <c r="G33" s="112">
        <f t="shared" si="3"/>
        <v>71.568171778226471</v>
      </c>
      <c r="H33" s="111"/>
      <c r="I33" s="111"/>
      <c r="J33" s="112">
        <f t="shared" si="9"/>
        <v>71.568171778226471</v>
      </c>
      <c r="K33" s="112">
        <f t="shared" si="4"/>
        <v>273.47000000000003</v>
      </c>
      <c r="L33" s="111">
        <f t="shared" si="5"/>
        <v>273.47000000000003</v>
      </c>
      <c r="P33" s="129">
        <f t="shared" si="2"/>
        <v>-47.740001678467515</v>
      </c>
      <c r="Q33" s="112">
        <v>-47.740001678467515</v>
      </c>
    </row>
    <row r="34" spans="2:17">
      <c r="B34" s="109">
        <f t="shared" si="0"/>
        <v>2040</v>
      </c>
      <c r="C34" s="113"/>
      <c r="D34" s="111">
        <f t="shared" si="8"/>
        <v>158.65</v>
      </c>
      <c r="E34" s="111">
        <f t="shared" si="8"/>
        <v>67.239999999999995</v>
      </c>
      <c r="F34" s="111">
        <f t="shared" ref="F34" si="19">ROUND(F33*(1+IRP23_Infl_Rate),2)</f>
        <v>53.78</v>
      </c>
      <c r="G34" s="112">
        <f t="shared" si="3"/>
        <v>73.190736099815666</v>
      </c>
      <c r="H34" s="111"/>
      <c r="I34" s="111"/>
      <c r="J34" s="112">
        <f t="shared" si="9"/>
        <v>73.190736099815666</v>
      </c>
      <c r="K34" s="112">
        <f t="shared" si="4"/>
        <v>279.67</v>
      </c>
      <c r="L34" s="111">
        <f t="shared" si="5"/>
        <v>279.66999999999996</v>
      </c>
      <c r="P34" s="129">
        <f t="shared" si="2"/>
        <v>-49.060001373291783</v>
      </c>
      <c r="Q34" s="112">
        <v>-49.060001373291783</v>
      </c>
    </row>
    <row r="35" spans="2:17">
      <c r="B35" s="109">
        <f t="shared" si="0"/>
        <v>2041</v>
      </c>
      <c r="C35" s="113"/>
      <c r="D35" s="111">
        <f t="shared" si="8"/>
        <v>162.25</v>
      </c>
      <c r="E35" s="111">
        <f t="shared" si="8"/>
        <v>68.77</v>
      </c>
      <c r="F35" s="111">
        <f t="shared" ref="F35" si="20">ROUND(F34*(1+IRP23_Infl_Rate),2)</f>
        <v>55</v>
      </c>
      <c r="G35" s="112">
        <f t="shared" si="3"/>
        <v>74.852556009830437</v>
      </c>
      <c r="H35" s="111"/>
      <c r="I35" s="111"/>
      <c r="J35" s="112">
        <f t="shared" si="9"/>
        <v>74.852556009830437</v>
      </c>
      <c r="K35" s="112">
        <f t="shared" si="4"/>
        <v>286.02</v>
      </c>
      <c r="L35" s="111">
        <f t="shared" si="5"/>
        <v>286.02</v>
      </c>
      <c r="P35" s="129">
        <f t="shared" si="2"/>
        <v>-50.390000000000825</v>
      </c>
      <c r="Q35" s="112">
        <v>-50.390000000000825</v>
      </c>
    </row>
    <row r="36" spans="2:17">
      <c r="B36" s="109">
        <f t="shared" si="0"/>
        <v>2042</v>
      </c>
      <c r="C36" s="113"/>
      <c r="D36" s="111">
        <f t="shared" si="8"/>
        <v>165.93</v>
      </c>
      <c r="E36" s="111">
        <f t="shared" si="8"/>
        <v>70.33</v>
      </c>
      <c r="F36" s="111">
        <f t="shared" ref="F36" si="21">ROUND(F35*(1+IRP23_Infl_Rate),2)</f>
        <v>56.25</v>
      </c>
      <c r="G36" s="112">
        <f t="shared" si="3"/>
        <v>76.551014469042386</v>
      </c>
      <c r="H36" s="111"/>
      <c r="I36" s="111"/>
      <c r="J36" s="112">
        <f t="shared" si="9"/>
        <v>76.551014469042386</v>
      </c>
      <c r="K36" s="112">
        <f t="shared" si="4"/>
        <v>292.51</v>
      </c>
      <c r="L36" s="111">
        <f t="shared" si="5"/>
        <v>292.51</v>
      </c>
      <c r="P36" s="129">
        <f t="shared" si="2"/>
        <v>-50.389999389649859</v>
      </c>
      <c r="Q36" s="112">
        <v>-50.389999389649859</v>
      </c>
    </row>
    <row r="37" spans="2:17">
      <c r="B37" s="109">
        <f t="shared" si="0"/>
        <v>2043</v>
      </c>
      <c r="C37" s="113"/>
      <c r="D37" s="111">
        <f t="shared" si="8"/>
        <v>169.7</v>
      </c>
      <c r="E37" s="111">
        <f t="shared" si="8"/>
        <v>71.930000000000007</v>
      </c>
      <c r="F37" s="111">
        <f t="shared" ref="F37" si="22">ROUND(F36*(1+IRP23_Infl_Rate),2)</f>
        <v>57.53</v>
      </c>
      <c r="G37" s="112">
        <f t="shared" si="3"/>
        <v>78.291345555908237</v>
      </c>
      <c r="H37" s="111"/>
      <c r="I37" s="111"/>
      <c r="J37" s="112">
        <f t="shared" si="9"/>
        <v>78.291345555908237</v>
      </c>
      <c r="K37" s="112">
        <f t="shared" si="4"/>
        <v>299.16000000000003</v>
      </c>
      <c r="L37" s="111">
        <f t="shared" si="5"/>
        <v>299.15999999999997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-PMT(Discount_Rate,COUNT(J23:J37),NPV(Discount_Rate,J23:J37))</f>
        <v>32.687714444838839</v>
      </c>
      <c r="K39" s="287">
        <f>-PMT(Discount_Rate,COUNT(K23:K37),NPV(Discount_Rate,K23:K37))</f>
        <v>124.90360564787282</v>
      </c>
      <c r="L39" s="287">
        <f>-PMT(Discount_Rate,COUNT(L23:L37),NPV(Discount_Rate,L23:L37))</f>
        <v>249.72231241440826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43.6%)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WD_.PX.BDG._.PTC.Bridger.WD - 44%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2029</v>
      </c>
      <c r="T54" s="273" t="s">
        <v>322</v>
      </c>
    </row>
    <row r="55" spans="2:20">
      <c r="B55" t="s">
        <v>152</v>
      </c>
      <c r="C55" s="267"/>
      <c r="D55" s="102" t="s">
        <v>65</v>
      </c>
      <c r="P55" s="226">
        <v>650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2028$</v>
      </c>
      <c r="C60" s="223">
        <f>IFERROR(INDEX('Table 3 TransCost'!$39:$39,1,MATCH(F60,'Table 3 TransCost'!$4:$4,0)+2),0)</f>
        <v>39.576129741307163</v>
      </c>
      <c r="D60" s="102" t="s">
        <v>137</v>
      </c>
      <c r="F60" s="102" t="s">
        <v>350</v>
      </c>
      <c r="I60" s="102">
        <f>IFERROR(INDEX('Table 3 TransCost'!$39:$39,1,MATCH(J60,'Table 3 TransCost'!$4:$4,0)+2),0)</f>
        <v>39.576129741307163</v>
      </c>
      <c r="J60" s="102" t="s">
        <v>350</v>
      </c>
      <c r="L60" s="270"/>
      <c r="M60" s="270"/>
      <c r="N60" s="270"/>
      <c r="P60" s="127"/>
    </row>
    <row r="61" spans="2:20">
      <c r="B61" s="250" t="str">
        <f>LEFT(RIGHT(INDEX('Table 3 TransCost'!$39:$39,1,MATCH(F61,'Table 3 TransCost'!$4:$4,0)),6),5)</f>
        <v>2029$</v>
      </c>
      <c r="C61" s="223">
        <f>IFERROR(INDEX('Table 3 TransCost'!$39:$39,1,MATCH(F61,'Table 3 TransCost'!$4:$4,0)+2),0)</f>
        <v>2.4914919873456074</v>
      </c>
      <c r="F61" s="102" t="s">
        <v>348</v>
      </c>
      <c r="I61" s="102">
        <f>IFERROR(INDEX('Table 3 TransCost'!$39:$39,1,MATCH(J61,'Table 3 TransCost'!$4:$4,0)+2),0)</f>
        <v>2.4914919873456074</v>
      </c>
      <c r="J61" s="102" t="s">
        <v>348</v>
      </c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0.43620000000025128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DC37-95C0-446A-81B2-DBD0B520CCAD}">
  <sheetPr>
    <tabColor rgb="FFFFC000"/>
    <pageSetUpPr fitToPage="1"/>
  </sheetPr>
  <dimension ref="B1:AC91"/>
  <sheetViews>
    <sheetView topLeftCell="A9" zoomScale="70" zoomScaleNormal="70" workbookViewId="0">
      <selection activeCell="K32" sqref="K32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WD_.PX.WYE._.PTC.WD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44%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WD_.PX.WYE._.PTC.WD - 44%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1567.5293165999776</v>
      </c>
      <c r="S16" s="284">
        <f>T16-R16</f>
        <v>8.3306834000222807</v>
      </c>
      <c r="T16" s="113">
        <v>1575.86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T16*IRP_PTC_ESC!Q59</f>
        <v>2006.2273659999996</v>
      </c>
      <c r="X17" s="277">
        <f t="shared" ref="X17:X23" si="1"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T17*IRP_PTC_ESC!Q60</f>
        <v>2006.2273659999996</v>
      </c>
      <c r="X18" s="277">
        <f t="shared" si="1"/>
        <v>46.949458361730954</v>
      </c>
      <c r="AC18" s="227"/>
    </row>
    <row r="19" spans="2:29">
      <c r="B19" s="109">
        <f t="shared" si="0"/>
        <v>2025</v>
      </c>
      <c r="C19" s="113"/>
      <c r="D19" s="111"/>
      <c r="E19" s="111"/>
      <c r="F19" s="416">
        <f>C61</f>
        <v>124.93787052448596</v>
      </c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277"/>
      <c r="S19" s="277"/>
      <c r="T19" s="102">
        <f>T18*IRP_PTC_ESC!Q61</f>
        <v>2006.2273659999996</v>
      </c>
      <c r="U19" s="284"/>
      <c r="X19" s="277">
        <f t="shared" si="1"/>
        <v>48.015211066753942</v>
      </c>
      <c r="Y19" s="284"/>
    </row>
    <row r="20" spans="2:29">
      <c r="B20" s="109">
        <f t="shared" si="0"/>
        <v>2026</v>
      </c>
      <c r="C20" s="113"/>
      <c r="D20" s="111"/>
      <c r="E20" s="111"/>
      <c r="F20" s="111">
        <f t="shared" ref="F20:F22" si="2">ROUND(F19*(1+IRP23_Infl_Rate),2)</f>
        <v>127.77</v>
      </c>
      <c r="G20" s="112"/>
      <c r="H20" s="111"/>
      <c r="I20" s="111"/>
      <c r="J20" s="112"/>
      <c r="K20" s="112"/>
      <c r="L20" s="111"/>
      <c r="P20" s="129">
        <f t="shared" ref="P20:P36" si="3">Q20-I20</f>
        <v>0</v>
      </c>
      <c r="Q20" s="112">
        <v>0</v>
      </c>
      <c r="T20" s="102">
        <f>T19*IRP_PTC_ESC!Q62</f>
        <v>2006.2273659999996</v>
      </c>
      <c r="U20" s="284"/>
      <c r="W20" s="129"/>
      <c r="X20" s="277">
        <f t="shared" si="1"/>
        <v>49.105156358185759</v>
      </c>
      <c r="Y20" s="284"/>
    </row>
    <row r="21" spans="2:29">
      <c r="B21" s="109">
        <f t="shared" si="0"/>
        <v>2027</v>
      </c>
      <c r="C21" s="113"/>
      <c r="D21" s="111"/>
      <c r="E21" s="111"/>
      <c r="F21" s="111">
        <f t="shared" si="2"/>
        <v>130.66999999999999</v>
      </c>
      <c r="G21" s="112"/>
      <c r="H21" s="111"/>
      <c r="I21" s="111"/>
      <c r="J21" s="112"/>
      <c r="K21" s="112"/>
      <c r="L21" s="111"/>
      <c r="P21" s="129">
        <f t="shared" si="3"/>
        <v>0</v>
      </c>
      <c r="Q21" s="112">
        <v>0</v>
      </c>
      <c r="T21" s="102">
        <f>T20*IRP_PTC_ESC!Q63</f>
        <v>2006.2273659999996</v>
      </c>
      <c r="U21" s="284"/>
      <c r="V21" s="129"/>
      <c r="W21" s="129"/>
      <c r="X21" s="277">
        <f t="shared" si="1"/>
        <v>50.21984340773799</v>
      </c>
      <c r="Y21" s="284"/>
      <c r="Z21" s="129"/>
    </row>
    <row r="22" spans="2:29">
      <c r="B22" s="109">
        <f t="shared" si="0"/>
        <v>2028</v>
      </c>
      <c r="C22" s="113"/>
      <c r="D22" s="111"/>
      <c r="E22" s="111"/>
      <c r="F22" s="111">
        <f t="shared" si="2"/>
        <v>133.63999999999999</v>
      </c>
      <c r="G22" s="112"/>
      <c r="H22" s="111"/>
      <c r="I22" s="111"/>
      <c r="J22" s="112"/>
      <c r="K22" s="112"/>
      <c r="L22" s="111"/>
      <c r="P22" s="129">
        <f t="shared" si="3"/>
        <v>0</v>
      </c>
      <c r="Q22" s="112">
        <v>0</v>
      </c>
      <c r="T22" s="102">
        <f>T21*IRP_PTC_ESC!Q64</f>
        <v>2006.2273659999996</v>
      </c>
      <c r="U22" s="284"/>
      <c r="V22" s="129"/>
      <c r="W22" s="129"/>
      <c r="X22" s="277">
        <f t="shared" si="1"/>
        <v>51.359833853320083</v>
      </c>
      <c r="Y22" s="284"/>
      <c r="Z22" s="129"/>
      <c r="AA22" s="129"/>
    </row>
    <row r="23" spans="2:29">
      <c r="B23" s="109">
        <f t="shared" si="0"/>
        <v>2029</v>
      </c>
      <c r="C23" s="274">
        <f>IRP_LTReport!R68</f>
        <v>1861.7789595842398</v>
      </c>
      <c r="D23" s="111">
        <f>C23*$C$62</f>
        <v>123.93862533952286</v>
      </c>
      <c r="E23" s="281">
        <f>IRP_LTReport!L68</f>
        <v>52.524889183819653</v>
      </c>
      <c r="F23" s="261">
        <f>$C$60+ROUND(F22*(1+IRP23_Infl_Rate),2)</f>
        <v>176.73238029720744</v>
      </c>
      <c r="G23" s="112">
        <f t="shared" ref="G23:G37" si="4">(D23+E23+F23)/(8.76*$C$63)</f>
        <v>92.432751204452131</v>
      </c>
      <c r="H23" s="111"/>
      <c r="I23" s="111">
        <v>-39.78</v>
      </c>
      <c r="J23" s="112">
        <f>(G23+H23+I23)</f>
        <v>52.65275120445213</v>
      </c>
      <c r="K23" s="112">
        <f t="shared" ref="K23:K37" si="5">ROUND(J23*$C$63*8.76,2)</f>
        <v>201.19</v>
      </c>
      <c r="L23" s="111">
        <f t="shared" ref="L23:L37" si="6">(D23+E23+F23)</f>
        <v>353.19589482054994</v>
      </c>
      <c r="P23" s="129">
        <f t="shared" si="3"/>
        <v>3.2116531656356528E-12</v>
      </c>
      <c r="Q23" s="112">
        <v>-39.779999999996789</v>
      </c>
      <c r="T23" s="102">
        <f>T22*IRP_PTC_ESC!Q65</f>
        <v>1861.7789956479996</v>
      </c>
      <c r="U23" s="284">
        <f t="shared" ref="U23" si="7">T23-C23</f>
        <v>3.6063759807802853E-5</v>
      </c>
      <c r="V23" s="129"/>
      <c r="W23" s="129"/>
      <c r="X23" s="277">
        <f t="shared" si="1"/>
        <v>52.525702082022029</v>
      </c>
      <c r="Y23" s="284">
        <f t="shared" ref="Y23" si="8">X23-E23</f>
        <v>8.1289820237628874E-4</v>
      </c>
      <c r="Z23" s="129"/>
      <c r="AA23" s="129"/>
    </row>
    <row r="24" spans="2:29">
      <c r="B24" s="109">
        <f t="shared" si="0"/>
        <v>2030</v>
      </c>
      <c r="C24" s="113"/>
      <c r="D24" s="111">
        <f t="shared" ref="D24:F37" si="9">ROUND(D23*(1+IRP23_Infl_Rate),2)</f>
        <v>126.75</v>
      </c>
      <c r="E24" s="111">
        <f t="shared" si="9"/>
        <v>53.72</v>
      </c>
      <c r="F24" s="111">
        <f t="shared" si="9"/>
        <v>180.74</v>
      </c>
      <c r="G24" s="112">
        <f t="shared" si="4"/>
        <v>94.5300739679423</v>
      </c>
      <c r="H24" s="111"/>
      <c r="I24" s="111">
        <v>-39.78</v>
      </c>
      <c r="J24" s="112">
        <f t="shared" ref="J24:J37" si="10">(G24+H24+I24)</f>
        <v>54.750073967942299</v>
      </c>
      <c r="K24" s="112">
        <f t="shared" si="5"/>
        <v>209.21</v>
      </c>
      <c r="L24" s="111">
        <f t="shared" si="6"/>
        <v>361.21000000000004</v>
      </c>
      <c r="P24" s="129">
        <f t="shared" si="3"/>
        <v>1.2207063164737519E-6</v>
      </c>
      <c r="Q24" s="112">
        <v>-39.779998779293685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9"/>
        <v>129.63</v>
      </c>
      <c r="E25" s="111">
        <f t="shared" si="9"/>
        <v>54.94</v>
      </c>
      <c r="F25" s="111">
        <f t="shared" ref="F25" si="11">ROUND(F24*(1+IRP23_Infl_Rate),2)</f>
        <v>184.84</v>
      </c>
      <c r="G25" s="112">
        <f t="shared" si="4"/>
        <v>96.676046135205453</v>
      </c>
      <c r="H25" s="111"/>
      <c r="I25" s="111">
        <v>-41.11</v>
      </c>
      <c r="J25" s="112">
        <f t="shared" si="10"/>
        <v>55.566046135205454</v>
      </c>
      <c r="K25" s="112">
        <f t="shared" si="5"/>
        <v>212.32</v>
      </c>
      <c r="L25" s="111">
        <f t="shared" si="6"/>
        <v>369.40999999999997</v>
      </c>
      <c r="P25" s="129">
        <f t="shared" si="3"/>
        <v>3.3040237212844659E-12</v>
      </c>
      <c r="Q25" s="112">
        <v>-41.109999999996695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9"/>
        <v>132.57</v>
      </c>
      <c r="E26" s="111">
        <f t="shared" si="9"/>
        <v>56.19</v>
      </c>
      <c r="F26" s="111">
        <f t="shared" ref="F26" si="12">ROUND(F25*(1+IRP23_Infl_Rate),2)</f>
        <v>189.04</v>
      </c>
      <c r="G26" s="112">
        <f t="shared" si="4"/>
        <v>98.871742047807629</v>
      </c>
      <c r="H26" s="111"/>
      <c r="I26" s="111">
        <v>-41.11</v>
      </c>
      <c r="J26" s="112">
        <f t="shared" si="10"/>
        <v>57.76174204780763</v>
      </c>
      <c r="K26" s="112">
        <f t="shared" si="5"/>
        <v>220.71</v>
      </c>
      <c r="L26" s="111">
        <f t="shared" si="6"/>
        <v>377.79999999999995</v>
      </c>
      <c r="P26" s="129">
        <f t="shared" si="3"/>
        <v>-6.1034918275026939E-7</v>
      </c>
      <c r="Q26" s="112">
        <v>-41.110000610349182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9"/>
        <v>135.58000000000001</v>
      </c>
      <c r="E27" s="111">
        <f t="shared" si="9"/>
        <v>57.47</v>
      </c>
      <c r="F27" s="111">
        <f t="shared" ref="F27" si="13">ROUND(F26*(1+IRP23_Infl_Rate),2)</f>
        <v>193.33</v>
      </c>
      <c r="G27" s="112">
        <f t="shared" si="4"/>
        <v>101.11716170574886</v>
      </c>
      <c r="H27" s="111"/>
      <c r="I27" s="111">
        <v>-42.43</v>
      </c>
      <c r="J27" s="112">
        <f t="shared" si="10"/>
        <v>58.687161705748856</v>
      </c>
      <c r="K27" s="112">
        <f t="shared" si="5"/>
        <v>224.25</v>
      </c>
      <c r="L27" s="111">
        <f t="shared" si="6"/>
        <v>386.38</v>
      </c>
      <c r="P27" s="129">
        <f t="shared" si="3"/>
        <v>-3.0517364280058246E-7</v>
      </c>
      <c r="Q27" s="112">
        <v>-42.430000305173643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9"/>
        <v>138.66</v>
      </c>
      <c r="E28" s="111">
        <f t="shared" si="9"/>
        <v>58.77</v>
      </c>
      <c r="F28" s="111">
        <f t="shared" ref="F28" si="14">ROUND(F27*(1+IRP23_Infl_Rate),2)</f>
        <v>197.72</v>
      </c>
      <c r="G28" s="112">
        <f t="shared" si="4"/>
        <v>103.41230510902909</v>
      </c>
      <c r="H28" s="111"/>
      <c r="I28" s="111">
        <v>-43.76</v>
      </c>
      <c r="J28" s="112">
        <f t="shared" si="10"/>
        <v>59.652305109029093</v>
      </c>
      <c r="K28" s="112">
        <f t="shared" si="5"/>
        <v>227.94</v>
      </c>
      <c r="L28" s="111">
        <f t="shared" si="6"/>
        <v>395.15</v>
      </c>
      <c r="P28" s="129">
        <f t="shared" si="3"/>
        <v>2.3021584638627246E-12</v>
      </c>
      <c r="Q28" s="112">
        <v>-43.759999999997696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9"/>
        <v>141.81</v>
      </c>
      <c r="E29" s="111">
        <f t="shared" si="9"/>
        <v>60.1</v>
      </c>
      <c r="F29" s="111">
        <f t="shared" ref="F29" si="15">ROUND(F28*(1+IRP23_Infl_Rate),2)</f>
        <v>202.21</v>
      </c>
      <c r="G29" s="112">
        <f t="shared" si="4"/>
        <v>105.75978929687672</v>
      </c>
      <c r="H29" s="111"/>
      <c r="I29" s="111">
        <v>-43.76</v>
      </c>
      <c r="J29" s="112">
        <f t="shared" si="10"/>
        <v>61.99978929687672</v>
      </c>
      <c r="K29" s="112">
        <f t="shared" si="5"/>
        <v>236.91</v>
      </c>
      <c r="L29" s="111">
        <f t="shared" si="6"/>
        <v>404.12</v>
      </c>
      <c r="P29" s="129">
        <f t="shared" si="3"/>
        <v>1.6784692888904829E-6</v>
      </c>
      <c r="Q29" s="112">
        <v>-43.759998321530709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9"/>
        <v>145.03</v>
      </c>
      <c r="E30" s="111">
        <f t="shared" si="9"/>
        <v>61.46</v>
      </c>
      <c r="F30" s="111">
        <f t="shared" ref="F30" si="16">ROUND(F29*(1+IRP23_Infl_Rate),2)</f>
        <v>206.8</v>
      </c>
      <c r="G30" s="112">
        <f t="shared" si="4"/>
        <v>108.15961426929175</v>
      </c>
      <c r="H30" s="111"/>
      <c r="I30" s="111">
        <v>-45.09</v>
      </c>
      <c r="J30" s="112">
        <f t="shared" si="10"/>
        <v>63.069614269291748</v>
      </c>
      <c r="K30" s="112">
        <f t="shared" si="5"/>
        <v>241</v>
      </c>
      <c r="L30" s="111">
        <f t="shared" si="6"/>
        <v>413.29</v>
      </c>
      <c r="P30" s="129">
        <f t="shared" si="3"/>
        <v>9.9981689478951807E-3</v>
      </c>
      <c r="Q30" s="112">
        <v>-45.080001831052108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9"/>
        <v>148.32</v>
      </c>
      <c r="E31" s="111">
        <f t="shared" si="9"/>
        <v>62.86</v>
      </c>
      <c r="F31" s="111">
        <f t="shared" ref="F31" si="17">ROUND(F30*(1+IRP23_Infl_Rate),2)</f>
        <v>211.49</v>
      </c>
      <c r="G31" s="112">
        <f t="shared" si="4"/>
        <v>110.61439706550254</v>
      </c>
      <c r="H31" s="111"/>
      <c r="I31" s="111">
        <v>-46.41</v>
      </c>
      <c r="J31" s="112">
        <f t="shared" si="10"/>
        <v>64.204397065502548</v>
      </c>
      <c r="K31" s="112">
        <f t="shared" si="5"/>
        <v>245.33</v>
      </c>
      <c r="L31" s="111">
        <f t="shared" si="6"/>
        <v>422.67</v>
      </c>
      <c r="P31" s="129">
        <f t="shared" si="3"/>
        <v>2.5721647034515627E-12</v>
      </c>
      <c r="Q31" s="112">
        <v>-46.409999999997424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9"/>
        <v>151.69</v>
      </c>
      <c r="E32" s="111">
        <f t="shared" si="9"/>
        <v>64.290000000000006</v>
      </c>
      <c r="F32" s="111">
        <f t="shared" ref="F32" si="18">ROUND(F31*(1+IRP23_Infl_Rate),2)</f>
        <v>216.29</v>
      </c>
      <c r="G32" s="112">
        <f t="shared" si="4"/>
        <v>113.12675472473745</v>
      </c>
      <c r="H32" s="111"/>
      <c r="I32" s="111">
        <v>-46.41</v>
      </c>
      <c r="J32" s="112">
        <f t="shared" si="10"/>
        <v>66.716754724737456</v>
      </c>
      <c r="K32" s="112">
        <f t="shared" si="5"/>
        <v>254.93</v>
      </c>
      <c r="L32" s="111">
        <f t="shared" si="6"/>
        <v>432.27</v>
      </c>
      <c r="P32" s="129">
        <f t="shared" si="3"/>
        <v>1.5259051622251718E-7</v>
      </c>
      <c r="Q32" s="112">
        <v>-46.40999984740948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9"/>
        <v>155.13</v>
      </c>
      <c r="E33" s="111">
        <f t="shared" si="9"/>
        <v>65.75</v>
      </c>
      <c r="F33" s="111">
        <f t="shared" ref="F33" si="19">ROUND(F32*(1+IRP23_Infl_Rate),2)</f>
        <v>221.2</v>
      </c>
      <c r="G33" s="112">
        <f t="shared" si="4"/>
        <v>115.69407020776814</v>
      </c>
      <c r="H33" s="111"/>
      <c r="I33" s="111"/>
      <c r="J33" s="112">
        <f t="shared" si="10"/>
        <v>115.69407020776814</v>
      </c>
      <c r="K33" s="112">
        <f t="shared" si="5"/>
        <v>442.08</v>
      </c>
      <c r="L33" s="111">
        <f t="shared" si="6"/>
        <v>442.08</v>
      </c>
      <c r="P33" s="129">
        <f t="shared" si="3"/>
        <v>-47.740001678471423</v>
      </c>
      <c r="Q33" s="112">
        <v>-47.740001678471423</v>
      </c>
    </row>
    <row r="34" spans="2:17">
      <c r="B34" s="109">
        <f t="shared" si="0"/>
        <v>2040</v>
      </c>
      <c r="C34" s="113"/>
      <c r="D34" s="111">
        <f t="shared" si="9"/>
        <v>158.65</v>
      </c>
      <c r="E34" s="111">
        <f t="shared" si="9"/>
        <v>67.239999999999995</v>
      </c>
      <c r="F34" s="111">
        <f t="shared" ref="F34" si="20">ROUND(F33*(1+IRP23_Infl_Rate),2)</f>
        <v>226.22</v>
      </c>
      <c r="G34" s="112">
        <f t="shared" si="4"/>
        <v>118.31896055382296</v>
      </c>
      <c r="H34" s="111"/>
      <c r="I34" s="111"/>
      <c r="J34" s="112">
        <f t="shared" si="10"/>
        <v>118.31896055382296</v>
      </c>
      <c r="K34" s="112">
        <f t="shared" si="5"/>
        <v>452.11</v>
      </c>
      <c r="L34" s="111">
        <f t="shared" si="6"/>
        <v>452.11</v>
      </c>
      <c r="P34" s="129">
        <f t="shared" si="3"/>
        <v>-49.06000137329562</v>
      </c>
      <c r="Q34" s="112">
        <v>-49.06000137329562</v>
      </c>
    </row>
    <row r="35" spans="2:17">
      <c r="B35" s="109">
        <f t="shared" si="0"/>
        <v>2041</v>
      </c>
      <c r="C35" s="113"/>
      <c r="D35" s="111">
        <f t="shared" si="9"/>
        <v>162.25</v>
      </c>
      <c r="E35" s="111">
        <f t="shared" si="9"/>
        <v>68.77</v>
      </c>
      <c r="F35" s="111">
        <f t="shared" ref="F35" si="21">ROUND(F34*(1+IRP23_Infl_Rate),2)</f>
        <v>231.36</v>
      </c>
      <c r="G35" s="112">
        <f t="shared" si="4"/>
        <v>121.00665984135865</v>
      </c>
      <c r="H35" s="111"/>
      <c r="I35" s="111"/>
      <c r="J35" s="112">
        <f t="shared" si="10"/>
        <v>121.00665984135865</v>
      </c>
      <c r="K35" s="112">
        <f t="shared" si="5"/>
        <v>462.38</v>
      </c>
      <c r="L35" s="111">
        <f t="shared" si="6"/>
        <v>462.38</v>
      </c>
      <c r="P35" s="129">
        <f t="shared" si="3"/>
        <v>-50.390000000004946</v>
      </c>
      <c r="Q35" s="112">
        <v>-50.390000000004946</v>
      </c>
    </row>
    <row r="36" spans="2:17">
      <c r="B36" s="109">
        <f t="shared" si="0"/>
        <v>2042</v>
      </c>
      <c r="C36" s="113"/>
      <c r="D36" s="111">
        <f t="shared" si="9"/>
        <v>165.93</v>
      </c>
      <c r="E36" s="111">
        <f t="shared" si="9"/>
        <v>70.33</v>
      </c>
      <c r="F36" s="111">
        <f t="shared" ref="F36" si="22">ROUND(F35*(1+IRP23_Infl_Rate),2)</f>
        <v>236.61</v>
      </c>
      <c r="G36" s="112">
        <f t="shared" si="4"/>
        <v>123.75193399191848</v>
      </c>
      <c r="H36" s="111"/>
      <c r="I36" s="111"/>
      <c r="J36" s="112">
        <f t="shared" si="10"/>
        <v>123.75193399191848</v>
      </c>
      <c r="K36" s="112">
        <f t="shared" si="5"/>
        <v>472.87</v>
      </c>
      <c r="L36" s="111">
        <f t="shared" si="6"/>
        <v>472.87</v>
      </c>
      <c r="P36" s="129">
        <f t="shared" si="3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9"/>
        <v>169.7</v>
      </c>
      <c r="E37" s="111">
        <f t="shared" si="9"/>
        <v>71.930000000000007</v>
      </c>
      <c r="F37" s="111">
        <f t="shared" ref="F37" si="23">ROUND(F36*(1+IRP23_Infl_Rate),2)</f>
        <v>241.98</v>
      </c>
      <c r="G37" s="112">
        <f t="shared" si="4"/>
        <v>126.56263412318755</v>
      </c>
      <c r="H37" s="111"/>
      <c r="I37" s="111"/>
      <c r="J37" s="112">
        <f t="shared" si="10"/>
        <v>126.56263412318755</v>
      </c>
      <c r="K37" s="112">
        <f t="shared" si="5"/>
        <v>483.61</v>
      </c>
      <c r="L37" s="111">
        <f t="shared" si="6"/>
        <v>483.61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-PMT(Discount_Rate,COUNT(J23:J37),NPV(Discount_Rate,J23:J37))</f>
        <v>73.089087109176518</v>
      </c>
      <c r="K39" s="287">
        <f>-PMT(Discount_Rate,COUNT(K23:K37),NPV(Discount_Rate,K23:K37))</f>
        <v>279.28128371223755</v>
      </c>
      <c r="L39" s="287">
        <f>-PMT(Discount_Rate,COUNT(L23:L37),NPV(Discount_Rate,L23:L37))</f>
        <v>404.10048231866989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43.6%)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WD_.PX.WYE._.PTC.WD - 44%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2029</v>
      </c>
      <c r="T54" s="273" t="s">
        <v>324</v>
      </c>
    </row>
    <row r="55" spans="2:20">
      <c r="B55" t="s">
        <v>152</v>
      </c>
      <c r="C55" s="267"/>
      <c r="D55" s="102" t="s">
        <v>65</v>
      </c>
      <c r="P55" s="226">
        <v>500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2029$</v>
      </c>
      <c r="C60" s="223">
        <f>IFERROR(INDEX('Table 3 TransCost'!$39:$39,1,MATCH(F60,'Table 3 TransCost'!$4:$4,0)+2),0)</f>
        <v>40.062380297207461</v>
      </c>
      <c r="D60" s="102" t="s">
        <v>137</v>
      </c>
      <c r="F60" s="102" t="s">
        <v>351</v>
      </c>
      <c r="J60" s="102" t="s">
        <v>351</v>
      </c>
      <c r="L60" s="270"/>
      <c r="M60" s="270"/>
      <c r="N60" s="270"/>
      <c r="P60" s="127"/>
    </row>
    <row r="61" spans="2:20">
      <c r="B61" s="250" t="str">
        <f>LEFT(RIGHT(INDEX('Table 3 TransCost'!$39:$39,1,MATCH(F61,'Table 3 TransCost'!$4:$4,0)),6),5)</f>
        <v>2025$</v>
      </c>
      <c r="C61" s="223">
        <f>IFERROR(INDEX('Table 3 TransCost'!$39:$39,1,MATCH(F61,'Table 3 TransCost'!$4:$4,0)+2),0)</f>
        <v>124.93787052448596</v>
      </c>
      <c r="F61" s="102" t="s">
        <v>346</v>
      </c>
      <c r="J61" s="102" t="s">
        <v>346</v>
      </c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0.43620000000025128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81CC-0DB2-4126-83AF-2144B099C923}">
  <sheetPr>
    <tabColor rgb="FFFFC000"/>
    <pageSetUpPr fitToPage="1"/>
  </sheetPr>
  <dimension ref="B1:AC91"/>
  <sheetViews>
    <sheetView topLeftCell="A31" zoomScale="70" zoomScaleNormal="70" workbookViewId="0">
      <selection activeCell="G62" sqref="G62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WD_.PX.PNC._.PTC.WD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37%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WD_.PX.PNC._.PTC.WD - 37%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1566.9239882390707</v>
      </c>
      <c r="S16" s="284">
        <f>T16-R16</f>
        <v>8.3360117609292956</v>
      </c>
      <c r="T16" s="113">
        <v>1575.26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T16*IRP_PTC_ESC!Q59</f>
        <v>2005.4635059999998</v>
      </c>
      <c r="X17" s="277">
        <f t="shared" ref="X17:X26" si="1"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T17*IRP_PTC_ESC!Q60</f>
        <v>2005.4635059999998</v>
      </c>
      <c r="X18" s="277">
        <f t="shared" si="1"/>
        <v>46.949458361730954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277"/>
      <c r="S19" s="277"/>
      <c r="T19" s="102">
        <f>T18*IRP_PTC_ESC!Q61</f>
        <v>2005.4635059999998</v>
      </c>
      <c r="U19" s="284"/>
      <c r="X19" s="277">
        <f t="shared" si="1"/>
        <v>48.015211066753942</v>
      </c>
      <c r="Y19" s="284"/>
    </row>
    <row r="20" spans="2:29">
      <c r="B20" s="109">
        <f t="shared" si="0"/>
        <v>2026</v>
      </c>
      <c r="C20" s="113"/>
      <c r="D20" s="111"/>
      <c r="E20" s="111"/>
      <c r="F20" s="111">
        <f>$C$60</f>
        <v>32.340105412971653</v>
      </c>
      <c r="G20" s="112"/>
      <c r="H20" s="111"/>
      <c r="I20" s="111"/>
      <c r="J20" s="112"/>
      <c r="K20" s="112"/>
      <c r="L20" s="111"/>
      <c r="P20" s="129">
        <f t="shared" ref="P20:P36" si="2">Q20-I20</f>
        <v>0</v>
      </c>
      <c r="Q20" s="112">
        <v>0</v>
      </c>
      <c r="T20" s="102">
        <f>T19*IRP_PTC_ESC!Q62</f>
        <v>2005.4635059999998</v>
      </c>
      <c r="U20" s="284"/>
      <c r="W20" s="129"/>
      <c r="X20" s="277">
        <f t="shared" si="1"/>
        <v>49.105156358185759</v>
      </c>
      <c r="Y20" s="284"/>
    </row>
    <row r="21" spans="2:29">
      <c r="B21" s="109">
        <f t="shared" si="0"/>
        <v>2027</v>
      </c>
      <c r="C21" s="113"/>
      <c r="D21" s="111"/>
      <c r="E21" s="111"/>
      <c r="F21" s="111">
        <f t="shared" ref="F21:F37" si="3">ROUND(F20*(1+IRP23_Infl_Rate),2)</f>
        <v>33.07</v>
      </c>
      <c r="G21" s="112"/>
      <c r="H21" s="111"/>
      <c r="I21" s="111"/>
      <c r="J21" s="112"/>
      <c r="K21" s="112"/>
      <c r="L21" s="111"/>
      <c r="P21" s="129">
        <f t="shared" si="2"/>
        <v>0</v>
      </c>
      <c r="Q21" s="112">
        <v>0</v>
      </c>
      <c r="T21" s="102">
        <f>T20*IRP_PTC_ESC!Q63</f>
        <v>2005.4635059999998</v>
      </c>
      <c r="U21" s="284"/>
      <c r="V21" s="129"/>
      <c r="W21" s="129"/>
      <c r="X21" s="277">
        <f t="shared" si="1"/>
        <v>50.21984340773799</v>
      </c>
      <c r="Y21" s="284"/>
      <c r="Z21" s="129"/>
    </row>
    <row r="22" spans="2:29">
      <c r="B22" s="109">
        <f t="shared" si="0"/>
        <v>2028</v>
      </c>
      <c r="C22" s="113"/>
      <c r="D22" s="111"/>
      <c r="E22" s="111"/>
      <c r="F22" s="111">
        <f t="shared" si="3"/>
        <v>33.82</v>
      </c>
      <c r="G22" s="112"/>
      <c r="H22" s="111"/>
      <c r="I22" s="111"/>
      <c r="J22" s="112"/>
      <c r="K22" s="112"/>
      <c r="L22" s="111"/>
      <c r="P22" s="129">
        <f t="shared" si="2"/>
        <v>0</v>
      </c>
      <c r="Q22" s="112">
        <v>0</v>
      </c>
      <c r="T22" s="102">
        <f>T21*IRP_PTC_ESC!Q64</f>
        <v>2005.4635059999998</v>
      </c>
      <c r="U22" s="284"/>
      <c r="V22" s="129"/>
      <c r="W22" s="129"/>
      <c r="X22" s="277">
        <f t="shared" si="1"/>
        <v>51.359833853320083</v>
      </c>
      <c r="Y22" s="284"/>
      <c r="Z22" s="129"/>
      <c r="AA22" s="129"/>
    </row>
    <row r="23" spans="2:29">
      <c r="B23" s="109">
        <f t="shared" si="0"/>
        <v>2029</v>
      </c>
      <c r="C23" s="113"/>
      <c r="D23" s="111"/>
      <c r="E23" s="111"/>
      <c r="F23" s="111">
        <f t="shared" si="3"/>
        <v>34.590000000000003</v>
      </c>
      <c r="G23" s="112"/>
      <c r="H23" s="111"/>
      <c r="I23" s="111"/>
      <c r="J23" s="112"/>
      <c r="K23" s="112"/>
      <c r="L23" s="111"/>
      <c r="P23" s="129">
        <f t="shared" si="2"/>
        <v>0</v>
      </c>
      <c r="Q23" s="112">
        <v>0</v>
      </c>
      <c r="T23" s="102">
        <f>T22*IRP_PTC_ESC!Q65</f>
        <v>1861.0701335679998</v>
      </c>
      <c r="U23" s="284"/>
      <c r="V23" s="129"/>
      <c r="W23" s="129"/>
      <c r="X23" s="277">
        <f t="shared" si="1"/>
        <v>52.525702082022029</v>
      </c>
      <c r="Y23" s="284"/>
      <c r="Z23" s="129"/>
      <c r="AA23" s="129"/>
    </row>
    <row r="24" spans="2:29">
      <c r="B24" s="109">
        <f t="shared" si="0"/>
        <v>2030</v>
      </c>
      <c r="C24" s="113"/>
      <c r="D24" s="111"/>
      <c r="E24" s="111"/>
      <c r="F24" s="111">
        <f t="shared" si="3"/>
        <v>35.380000000000003</v>
      </c>
      <c r="G24" s="112"/>
      <c r="H24" s="111"/>
      <c r="I24" s="111"/>
      <c r="J24" s="112"/>
      <c r="K24" s="112"/>
      <c r="L24" s="111"/>
      <c r="P24" s="129">
        <f t="shared" si="2"/>
        <v>0</v>
      </c>
      <c r="Q24" s="112">
        <v>0</v>
      </c>
      <c r="T24" s="102">
        <f>T23*IRP_PTC_ESC!Q66</f>
        <v>1715.9066637797998</v>
      </c>
      <c r="U24" s="284"/>
      <c r="V24" s="129"/>
      <c r="W24" s="129"/>
      <c r="X24" s="277">
        <f t="shared" si="1"/>
        <v>53.718035519520768</v>
      </c>
      <c r="Y24" s="284"/>
      <c r="Z24" s="129"/>
      <c r="AA24" s="129"/>
    </row>
    <row r="25" spans="2:29">
      <c r="B25" s="109">
        <f t="shared" si="0"/>
        <v>2031</v>
      </c>
      <c r="C25" s="113"/>
      <c r="D25" s="111"/>
      <c r="E25" s="111"/>
      <c r="F25" s="111">
        <f t="shared" si="3"/>
        <v>36.18</v>
      </c>
      <c r="G25" s="112"/>
      <c r="H25" s="111"/>
      <c r="I25" s="111"/>
      <c r="J25" s="112"/>
      <c r="K25" s="112"/>
      <c r="L25" s="111"/>
      <c r="P25" s="129">
        <f t="shared" si="2"/>
        <v>0</v>
      </c>
      <c r="Q25" s="112">
        <v>0</v>
      </c>
      <c r="T25" s="102">
        <f>T24*IRP_PTC_ESC!Q67</f>
        <v>1571.7705029511199</v>
      </c>
      <c r="U25" s="284"/>
      <c r="V25" s="129"/>
      <c r="W25" s="129"/>
      <c r="X25" s="277">
        <f t="shared" si="1"/>
        <v>54.937434926056106</v>
      </c>
      <c r="Y25" s="284"/>
      <c r="Z25" s="129"/>
      <c r="AA25" s="129"/>
    </row>
    <row r="26" spans="2:29">
      <c r="B26" s="109">
        <f t="shared" si="0"/>
        <v>2032</v>
      </c>
      <c r="C26" s="274">
        <f>IRP_LTReport!$R$76</f>
        <v>1427.167655016154</v>
      </c>
      <c r="D26" s="111">
        <f>C26*$C$62</f>
        <v>95.00655079442538</v>
      </c>
      <c r="E26" s="281">
        <f>IRP_LTReport!$L$76</f>
        <v>56.337573606164078</v>
      </c>
      <c r="F26" s="111">
        <f t="shared" si="3"/>
        <v>37</v>
      </c>
      <c r="G26" s="112">
        <f t="shared" ref="G26:G37" si="4">(D26+E26+F26)/(8.76*$C$63)</f>
        <v>58.030960523374247</v>
      </c>
      <c r="H26" s="111"/>
      <c r="I26" s="111">
        <v>-41.11</v>
      </c>
      <c r="J26" s="112">
        <f t="shared" ref="J26:J37" si="5">(G26+H26+I26)</f>
        <v>16.920960523374248</v>
      </c>
      <c r="K26" s="112">
        <f t="shared" ref="K26:K37" si="6">ROUND(J26*$C$63*8.76,2)</f>
        <v>54.92</v>
      </c>
      <c r="L26" s="111">
        <f t="shared" ref="L26:L37" si="7">(D26+E26+F26)</f>
        <v>188.34412440058946</v>
      </c>
      <c r="P26" s="129">
        <f t="shared" si="2"/>
        <v>-6.1034344867039181E-7</v>
      </c>
      <c r="Q26" s="112">
        <v>-41.110000610343448</v>
      </c>
      <c r="T26" s="102">
        <f>T25*IRP_PTC_ESC!Q68</f>
        <v>1427.1676177885997</v>
      </c>
      <c r="U26" s="284">
        <f t="shared" ref="U26" si="8">T26-C26</f>
        <v>-3.7227554230412352E-5</v>
      </c>
      <c r="V26" s="129"/>
      <c r="W26" s="129"/>
      <c r="X26" s="277">
        <f t="shared" si="1"/>
        <v>56.184514699125295</v>
      </c>
      <c r="Y26" s="284">
        <f t="shared" ref="Y26" si="9">X26-E26</f>
        <v>-0.15305890703878333</v>
      </c>
      <c r="Z26" s="129"/>
      <c r="AA26" s="129"/>
    </row>
    <row r="27" spans="2:29">
      <c r="B27" s="109">
        <f t="shared" si="0"/>
        <v>2033</v>
      </c>
      <c r="C27" s="113"/>
      <c r="D27" s="111">
        <f t="shared" ref="D27:E37" si="10">ROUND(D26*(1+IRP23_Infl_Rate),2)</f>
        <v>97.16</v>
      </c>
      <c r="E27" s="111">
        <f t="shared" si="10"/>
        <v>57.62</v>
      </c>
      <c r="F27" s="111">
        <f t="shared" si="3"/>
        <v>37.840000000000003</v>
      </c>
      <c r="G27" s="112">
        <f t="shared" si="4"/>
        <v>59.348406283373095</v>
      </c>
      <c r="H27" s="111"/>
      <c r="I27" s="111">
        <v>-42.43</v>
      </c>
      <c r="J27" s="112">
        <f t="shared" si="5"/>
        <v>16.918406283373095</v>
      </c>
      <c r="K27" s="112">
        <f t="shared" si="6"/>
        <v>54.91</v>
      </c>
      <c r="L27" s="111">
        <f t="shared" si="7"/>
        <v>192.62</v>
      </c>
      <c r="P27" s="129">
        <f t="shared" si="2"/>
        <v>-3.0516663684920786E-7</v>
      </c>
      <c r="Q27" s="112">
        <v>-42.430000305166637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10"/>
        <v>99.37</v>
      </c>
      <c r="E28" s="111">
        <f t="shared" si="10"/>
        <v>58.93</v>
      </c>
      <c r="F28" s="111">
        <f t="shared" si="3"/>
        <v>38.700000000000003</v>
      </c>
      <c r="G28" s="112">
        <f t="shared" si="4"/>
        <v>60.69793395194943</v>
      </c>
      <c r="H28" s="111"/>
      <c r="I28" s="111">
        <v>-43.76</v>
      </c>
      <c r="J28" s="112">
        <f t="shared" si="5"/>
        <v>16.937933951949432</v>
      </c>
      <c r="K28" s="112">
        <f t="shared" si="6"/>
        <v>54.97</v>
      </c>
      <c r="L28" s="111">
        <f t="shared" si="7"/>
        <v>197</v>
      </c>
      <c r="P28" s="129">
        <f t="shared" si="2"/>
        <v>9.4857455223973375E-12</v>
      </c>
      <c r="Q28" s="112">
        <v>-43.759999999990512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10"/>
        <v>101.63</v>
      </c>
      <c r="E29" s="111">
        <f t="shared" si="10"/>
        <v>60.27</v>
      </c>
      <c r="F29" s="111">
        <f t="shared" si="3"/>
        <v>39.58</v>
      </c>
      <c r="G29" s="112">
        <f t="shared" si="4"/>
        <v>62.078272754511538</v>
      </c>
      <c r="H29" s="111"/>
      <c r="I29" s="111">
        <v>-43.76</v>
      </c>
      <c r="J29" s="112">
        <f t="shared" si="5"/>
        <v>18.31827275451154</v>
      </c>
      <c r="K29" s="112">
        <f t="shared" si="6"/>
        <v>59.45</v>
      </c>
      <c r="L29" s="111">
        <f t="shared" si="7"/>
        <v>201.48000000000002</v>
      </c>
      <c r="P29" s="129">
        <f t="shared" si="2"/>
        <v>1.6784762877364301E-6</v>
      </c>
      <c r="Q29" s="112">
        <v>-43.75999832152371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10"/>
        <v>103.94</v>
      </c>
      <c r="E30" s="111">
        <f t="shared" si="10"/>
        <v>61.64</v>
      </c>
      <c r="F30" s="111">
        <f t="shared" si="3"/>
        <v>40.479999999999997</v>
      </c>
      <c r="G30" s="112">
        <f t="shared" si="4"/>
        <v>63.489422691059382</v>
      </c>
      <c r="H30" s="111"/>
      <c r="I30" s="111">
        <v>-45.09</v>
      </c>
      <c r="J30" s="112">
        <f t="shared" si="5"/>
        <v>18.399422691059378</v>
      </c>
      <c r="K30" s="112">
        <f t="shared" si="6"/>
        <v>59.72</v>
      </c>
      <c r="L30" s="111">
        <f t="shared" si="7"/>
        <v>206.05999999999997</v>
      </c>
      <c r="P30" s="129">
        <f t="shared" si="2"/>
        <v>9.9981689544108576E-3</v>
      </c>
      <c r="Q30" s="112">
        <v>-45.080001831045593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10"/>
        <v>106.3</v>
      </c>
      <c r="E31" s="111">
        <f t="shared" si="10"/>
        <v>63.04</v>
      </c>
      <c r="F31" s="111">
        <f t="shared" si="3"/>
        <v>41.4</v>
      </c>
      <c r="G31" s="112">
        <f t="shared" si="4"/>
        <v>64.931383761593011</v>
      </c>
      <c r="H31" s="111"/>
      <c r="I31" s="111">
        <v>-46.41</v>
      </c>
      <c r="J31" s="112">
        <f t="shared" si="5"/>
        <v>18.521383761593015</v>
      </c>
      <c r="K31" s="112">
        <f t="shared" si="6"/>
        <v>60.11</v>
      </c>
      <c r="L31" s="111">
        <f t="shared" si="7"/>
        <v>210.74</v>
      </c>
      <c r="P31" s="129">
        <f t="shared" si="2"/>
        <v>1.0324185950594256E-11</v>
      </c>
      <c r="Q31" s="112">
        <v>-46.409999999989672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10"/>
        <v>108.71</v>
      </c>
      <c r="E32" s="111">
        <f t="shared" si="10"/>
        <v>64.47</v>
      </c>
      <c r="F32" s="111">
        <f t="shared" si="3"/>
        <v>42.34</v>
      </c>
      <c r="G32" s="112">
        <f t="shared" si="4"/>
        <v>66.404155966112398</v>
      </c>
      <c r="H32" s="111"/>
      <c r="I32" s="111">
        <v>-46.41</v>
      </c>
      <c r="J32" s="112">
        <f t="shared" si="5"/>
        <v>19.994155966112402</v>
      </c>
      <c r="K32" s="112">
        <f t="shared" si="6"/>
        <v>64.89</v>
      </c>
      <c r="L32" s="111">
        <f t="shared" si="7"/>
        <v>215.52</v>
      </c>
      <c r="P32" s="129">
        <f t="shared" si="2"/>
        <v>1.5259803376466152E-7</v>
      </c>
      <c r="Q32" s="112">
        <v>-46.409999847401963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10"/>
        <v>111.18</v>
      </c>
      <c r="E33" s="111">
        <f t="shared" si="10"/>
        <v>65.930000000000007</v>
      </c>
      <c r="F33" s="111">
        <f t="shared" si="3"/>
        <v>43.3</v>
      </c>
      <c r="G33" s="112">
        <f t="shared" si="4"/>
        <v>67.910820418016129</v>
      </c>
      <c r="H33" s="111"/>
      <c r="I33" s="111">
        <v>-47.74</v>
      </c>
      <c r="J33" s="112">
        <f t="shared" si="5"/>
        <v>20.170820418016127</v>
      </c>
      <c r="K33" s="112">
        <f t="shared" si="6"/>
        <v>65.47</v>
      </c>
      <c r="L33" s="111">
        <f t="shared" si="7"/>
        <v>220.41000000000003</v>
      </c>
      <c r="P33" s="129">
        <f t="shared" si="2"/>
        <v>-1.6784564706995297E-6</v>
      </c>
      <c r="Q33" s="112">
        <v>-47.740001678456473</v>
      </c>
    </row>
    <row r="34" spans="2:17">
      <c r="B34" s="109">
        <f t="shared" si="0"/>
        <v>2040</v>
      </c>
      <c r="C34" s="113"/>
      <c r="D34" s="111">
        <f t="shared" si="10"/>
        <v>113.7</v>
      </c>
      <c r="E34" s="111">
        <f t="shared" si="10"/>
        <v>67.430000000000007</v>
      </c>
      <c r="F34" s="111">
        <f t="shared" si="3"/>
        <v>44.28</v>
      </c>
      <c r="G34" s="112">
        <f t="shared" si="4"/>
        <v>69.451377117304176</v>
      </c>
      <c r="H34" s="111"/>
      <c r="I34" s="111">
        <v>-49.06</v>
      </c>
      <c r="J34" s="112">
        <f t="shared" si="5"/>
        <v>20.391377117304174</v>
      </c>
      <c r="K34" s="112">
        <f t="shared" si="6"/>
        <v>66.180000000000007</v>
      </c>
      <c r="L34" s="111">
        <f t="shared" si="7"/>
        <v>225.41</v>
      </c>
      <c r="P34" s="129">
        <f t="shared" si="2"/>
        <v>-1.3732813570754843E-6</v>
      </c>
      <c r="Q34" s="112">
        <v>-49.060001373281359</v>
      </c>
    </row>
    <row r="35" spans="2:17">
      <c r="B35" s="109">
        <f t="shared" si="0"/>
        <v>2041</v>
      </c>
      <c r="C35" s="113"/>
      <c r="D35" s="111">
        <f t="shared" si="10"/>
        <v>116.28</v>
      </c>
      <c r="E35" s="111">
        <f t="shared" si="10"/>
        <v>68.959999999999994</v>
      </c>
      <c r="F35" s="111">
        <f t="shared" si="3"/>
        <v>45.29</v>
      </c>
      <c r="G35" s="112">
        <f t="shared" si="4"/>
        <v>71.028907177375146</v>
      </c>
      <c r="H35" s="111"/>
      <c r="I35" s="111">
        <v>-50.39</v>
      </c>
      <c r="J35" s="112">
        <f t="shared" si="5"/>
        <v>20.638907177375145</v>
      </c>
      <c r="K35" s="112">
        <f t="shared" si="6"/>
        <v>66.989999999999995</v>
      </c>
      <c r="L35" s="111">
        <f t="shared" si="7"/>
        <v>230.53</v>
      </c>
      <c r="P35" s="129">
        <f t="shared" si="2"/>
        <v>1.0885514711844735E-11</v>
      </c>
      <c r="Q35" s="112">
        <v>-50.389999999989115</v>
      </c>
    </row>
    <row r="36" spans="2:17">
      <c r="B36" s="109">
        <f t="shared" si="0"/>
        <v>2042</v>
      </c>
      <c r="C36" s="113"/>
      <c r="D36" s="111">
        <f t="shared" si="10"/>
        <v>118.92</v>
      </c>
      <c r="E36" s="111">
        <f t="shared" si="10"/>
        <v>70.53</v>
      </c>
      <c r="F36" s="111">
        <f t="shared" si="3"/>
        <v>46.32</v>
      </c>
      <c r="G36" s="112">
        <f t="shared" si="4"/>
        <v>72.643410598229025</v>
      </c>
      <c r="H36" s="111"/>
      <c r="I36" s="111"/>
      <c r="J36" s="112">
        <f t="shared" si="5"/>
        <v>72.643410598229025</v>
      </c>
      <c r="K36" s="112">
        <f t="shared" si="6"/>
        <v>235.77</v>
      </c>
      <c r="L36" s="111">
        <f t="shared" si="7"/>
        <v>235.76999999999998</v>
      </c>
      <c r="P36" s="129">
        <f t="shared" si="2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10"/>
        <v>121.62</v>
      </c>
      <c r="E37" s="111">
        <f t="shared" si="10"/>
        <v>72.13</v>
      </c>
      <c r="F37" s="111">
        <f t="shared" si="3"/>
        <v>47.37</v>
      </c>
      <c r="G37" s="112">
        <f t="shared" si="4"/>
        <v>74.291806266467248</v>
      </c>
      <c r="H37" s="111"/>
      <c r="I37" s="111"/>
      <c r="J37" s="112">
        <f t="shared" si="5"/>
        <v>74.291806266467248</v>
      </c>
      <c r="K37" s="112">
        <f t="shared" si="6"/>
        <v>241.12</v>
      </c>
      <c r="L37" s="111">
        <f t="shared" si="7"/>
        <v>241.12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-PMT(Discount_Rate,COUNT(J23:J37),NPV(Discount_Rate,J23:J37))</f>
        <v>24.905417847421901</v>
      </c>
      <c r="K39" s="287">
        <f>-PMT(Discount_Rate,COUNT(K23:K37),NPV(Discount_Rate,K23:K37))</f>
        <v>80.832373117460932</v>
      </c>
      <c r="L39" s="287">
        <f>-PMT(Discount_Rate,COUNT(L23:L37),NPV(Discount_Rate,L23:L37))</f>
        <v>210.05885346250435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37.0%)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WD_.PX.PNC._.PTC.WD - 37%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2032</v>
      </c>
      <c r="T54" s="273" t="s">
        <v>441</v>
      </c>
    </row>
    <row r="55" spans="2:20">
      <c r="B55" t="s">
        <v>152</v>
      </c>
      <c r="C55" s="267"/>
      <c r="D55" s="102" t="s">
        <v>65</v>
      </c>
      <c r="P55" s="226">
        <v>130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2032$</v>
      </c>
      <c r="C60" s="223">
        <f>IFERROR(INDEX('Table 3 TransCost'!$39:$39,1,MATCH(F60,'Table 3 TransCost'!$4:$4,0)+2),0)</f>
        <v>32.340105412971653</v>
      </c>
      <c r="D60" s="102" t="s">
        <v>137</v>
      </c>
      <c r="F60" s="102" t="s">
        <v>360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0.37049999910521797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6890E-50D3-45AC-A2B2-1B5FBE39F9AE}">
  <sheetPr>
    <tabColor rgb="FFFFC000"/>
    <pageSetUpPr fitToPage="1"/>
  </sheetPr>
  <dimension ref="B1:AC91"/>
  <sheetViews>
    <sheetView topLeftCell="A31" zoomScale="70" zoomScaleNormal="70" workbookViewId="0">
      <selection activeCell="J63" sqref="J63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WD_.PX.SOR._.PTC.WD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37%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WD_.PX.SOR._.PTC.WD - 37%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1566.9239882390707</v>
      </c>
      <c r="S16" s="284">
        <f>T16-R16</f>
        <v>8.3360117609292956</v>
      </c>
      <c r="T16" s="113">
        <v>1575.26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T16*IRP_PTC_ESC!Q59</f>
        <v>2005.4635059999998</v>
      </c>
      <c r="X17" s="277">
        <f t="shared" ref="X17:X26" si="1"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T17*IRP_PTC_ESC!Q60</f>
        <v>2005.4635059999998</v>
      </c>
      <c r="X18" s="277">
        <f t="shared" si="1"/>
        <v>46.949458361730954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277"/>
      <c r="S19" s="277"/>
      <c r="T19" s="102">
        <f>T18*IRP_PTC_ESC!Q61</f>
        <v>2005.4635059999998</v>
      </c>
      <c r="U19" s="284"/>
      <c r="X19" s="277">
        <f t="shared" si="1"/>
        <v>48.015211066753942</v>
      </c>
      <c r="Y19" s="284"/>
    </row>
    <row r="20" spans="2:29">
      <c r="B20" s="109">
        <f t="shared" si="0"/>
        <v>2026</v>
      </c>
      <c r="C20" s="113"/>
      <c r="D20" s="111"/>
      <c r="E20" s="111"/>
      <c r="F20" s="111">
        <f>$C$60</f>
        <v>0</v>
      </c>
      <c r="G20" s="112"/>
      <c r="H20" s="111"/>
      <c r="I20" s="111"/>
      <c r="J20" s="112"/>
      <c r="K20" s="112"/>
      <c r="L20" s="111"/>
      <c r="P20" s="129">
        <f t="shared" ref="P20:P36" si="2">Q20-I20</f>
        <v>0</v>
      </c>
      <c r="Q20" s="112">
        <v>0</v>
      </c>
      <c r="T20" s="102">
        <f>T19*IRP_PTC_ESC!Q62</f>
        <v>2005.4635059999998</v>
      </c>
      <c r="U20" s="284"/>
      <c r="W20" s="129"/>
      <c r="X20" s="277">
        <f t="shared" si="1"/>
        <v>49.105156358185759</v>
      </c>
      <c r="Y20" s="284"/>
    </row>
    <row r="21" spans="2:29">
      <c r="B21" s="109">
        <f t="shared" si="0"/>
        <v>2027</v>
      </c>
      <c r="C21" s="113"/>
      <c r="D21" s="111"/>
      <c r="E21" s="111"/>
      <c r="F21" s="111">
        <f t="shared" ref="F21:F37" si="3">ROUND(F20*(1+IRP23_Infl_Rate),2)</f>
        <v>0</v>
      </c>
      <c r="G21" s="112"/>
      <c r="H21" s="111"/>
      <c r="I21" s="111"/>
      <c r="J21" s="112"/>
      <c r="K21" s="112"/>
      <c r="L21" s="111"/>
      <c r="P21" s="129">
        <f t="shared" si="2"/>
        <v>0</v>
      </c>
      <c r="Q21" s="112">
        <v>0</v>
      </c>
      <c r="T21" s="102">
        <f>T20*IRP_PTC_ESC!Q63</f>
        <v>2005.4635059999998</v>
      </c>
      <c r="U21" s="284"/>
      <c r="V21" s="129"/>
      <c r="W21" s="129"/>
      <c r="X21" s="277">
        <f t="shared" si="1"/>
        <v>50.21984340773799</v>
      </c>
      <c r="Y21" s="284"/>
      <c r="Z21" s="129"/>
    </row>
    <row r="22" spans="2:29">
      <c r="B22" s="109">
        <f t="shared" si="0"/>
        <v>2028</v>
      </c>
      <c r="C22" s="113"/>
      <c r="D22" s="111"/>
      <c r="E22" s="111"/>
      <c r="F22" s="111">
        <f t="shared" si="3"/>
        <v>0</v>
      </c>
      <c r="G22" s="112"/>
      <c r="H22" s="111"/>
      <c r="I22" s="111"/>
      <c r="J22" s="112"/>
      <c r="K22" s="112"/>
      <c r="L22" s="111"/>
      <c r="P22" s="129">
        <f t="shared" si="2"/>
        <v>0</v>
      </c>
      <c r="Q22" s="112">
        <v>0</v>
      </c>
      <c r="T22" s="102">
        <f>T21*IRP_PTC_ESC!Q64</f>
        <v>2005.4635059999998</v>
      </c>
      <c r="U22" s="284"/>
      <c r="V22" s="129"/>
      <c r="W22" s="129"/>
      <c r="X22" s="277">
        <f t="shared" si="1"/>
        <v>51.359833853320083</v>
      </c>
      <c r="Y22" s="284"/>
      <c r="Z22" s="129"/>
      <c r="AA22" s="129"/>
    </row>
    <row r="23" spans="2:29">
      <c r="B23" s="109">
        <f t="shared" si="0"/>
        <v>2029</v>
      </c>
      <c r="C23" s="113"/>
      <c r="D23" s="111"/>
      <c r="E23" s="111"/>
      <c r="F23" s="111">
        <f t="shared" si="3"/>
        <v>0</v>
      </c>
      <c r="G23" s="112"/>
      <c r="H23" s="111"/>
      <c r="I23" s="111"/>
      <c r="J23" s="112"/>
      <c r="K23" s="112"/>
      <c r="L23" s="111"/>
      <c r="P23" s="129">
        <f t="shared" si="2"/>
        <v>0</v>
      </c>
      <c r="Q23" s="112">
        <v>0</v>
      </c>
      <c r="T23" s="102">
        <f>T22*IRP_PTC_ESC!Q65</f>
        <v>1861.0701335679998</v>
      </c>
      <c r="U23" s="284"/>
      <c r="V23" s="129"/>
      <c r="W23" s="129"/>
      <c r="X23" s="277">
        <f t="shared" si="1"/>
        <v>52.525702082022029</v>
      </c>
      <c r="Y23" s="284"/>
      <c r="Z23" s="129"/>
      <c r="AA23" s="129"/>
    </row>
    <row r="24" spans="2:29">
      <c r="B24" s="109">
        <f t="shared" si="0"/>
        <v>2030</v>
      </c>
      <c r="C24" s="113"/>
      <c r="D24" s="111"/>
      <c r="E24" s="111"/>
      <c r="F24" s="111">
        <f t="shared" si="3"/>
        <v>0</v>
      </c>
      <c r="G24" s="112"/>
      <c r="H24" s="111"/>
      <c r="I24" s="111"/>
      <c r="J24" s="112"/>
      <c r="K24" s="112"/>
      <c r="L24" s="111"/>
      <c r="P24" s="129">
        <f t="shared" si="2"/>
        <v>0</v>
      </c>
      <c r="Q24" s="112">
        <v>0</v>
      </c>
      <c r="T24" s="102">
        <f>T23*IRP_PTC_ESC!Q66</f>
        <v>1715.9066637797998</v>
      </c>
      <c r="U24" s="284"/>
      <c r="V24" s="129"/>
      <c r="W24" s="129"/>
      <c r="X24" s="277">
        <f t="shared" si="1"/>
        <v>53.718035519520768</v>
      </c>
      <c r="Y24" s="284"/>
      <c r="Z24" s="129"/>
      <c r="AA24" s="129"/>
    </row>
    <row r="25" spans="2:29">
      <c r="B25" s="109">
        <f t="shared" si="0"/>
        <v>2031</v>
      </c>
      <c r="C25" s="113"/>
      <c r="D25" s="111"/>
      <c r="E25" s="111"/>
      <c r="F25" s="111">
        <f t="shared" si="3"/>
        <v>0</v>
      </c>
      <c r="G25" s="112"/>
      <c r="H25" s="111"/>
      <c r="I25" s="111"/>
      <c r="J25" s="112"/>
      <c r="K25" s="112"/>
      <c r="L25" s="111"/>
      <c r="P25" s="129">
        <f t="shared" si="2"/>
        <v>0</v>
      </c>
      <c r="Q25" s="112">
        <v>0</v>
      </c>
      <c r="T25" s="102">
        <f>T24*IRP_PTC_ESC!Q67</f>
        <v>1571.7705029511199</v>
      </c>
      <c r="U25" s="284"/>
      <c r="V25" s="129"/>
      <c r="W25" s="129"/>
      <c r="X25" s="277">
        <f t="shared" si="1"/>
        <v>54.937434926056106</v>
      </c>
      <c r="Y25" s="284"/>
      <c r="Z25" s="129"/>
      <c r="AA25" s="129"/>
    </row>
    <row r="26" spans="2:29">
      <c r="B26" s="109">
        <f t="shared" si="0"/>
        <v>2032</v>
      </c>
      <c r="C26" s="274">
        <f>IRP_LTReport!$R$78</f>
        <v>1427.1676550161999</v>
      </c>
      <c r="D26" s="111">
        <f>C26*$C$62</f>
        <v>95.006550794428435</v>
      </c>
      <c r="E26" s="281">
        <f>IRP_LTReport!$L$78</f>
        <v>56.337573606144304</v>
      </c>
      <c r="F26" s="111">
        <f t="shared" si="3"/>
        <v>0</v>
      </c>
      <c r="G26" s="112">
        <f t="shared" ref="G26:G37" si="4">(D26+E26+F26)/(8.76*$C$63)</f>
        <v>46.630840948637477</v>
      </c>
      <c r="H26" s="111"/>
      <c r="I26" s="111">
        <v>-41.11</v>
      </c>
      <c r="J26" s="112">
        <f t="shared" ref="J26:J37" si="5">(G26+H26+I26)</f>
        <v>5.5208409486374777</v>
      </c>
      <c r="K26" s="112">
        <f t="shared" ref="K26:K37" si="6">ROUND(J26*$C$63*8.76,2)</f>
        <v>17.920000000000002</v>
      </c>
      <c r="L26" s="111">
        <f t="shared" ref="L26:L37" si="7">(D26+E26+F26)</f>
        <v>151.34412440057275</v>
      </c>
      <c r="P26" s="129">
        <f t="shared" si="2"/>
        <v>-6.1034530318693214E-7</v>
      </c>
      <c r="Q26" s="112">
        <v>-41.110000610345303</v>
      </c>
      <c r="T26" s="102">
        <f>T25*IRP_PTC_ESC!Q68</f>
        <v>1427.1676177885997</v>
      </c>
      <c r="U26" s="284">
        <f t="shared" ref="U26" si="8">T26-C26</f>
        <v>-3.7227600159894791E-5</v>
      </c>
      <c r="V26" s="129"/>
      <c r="W26" s="129"/>
      <c r="X26" s="277">
        <f t="shared" si="1"/>
        <v>56.184514699125295</v>
      </c>
      <c r="Y26" s="284">
        <f t="shared" ref="Y26" si="9">X26-E26</f>
        <v>-0.15305890701900893</v>
      </c>
      <c r="Z26" s="129"/>
      <c r="AA26" s="129"/>
    </row>
    <row r="27" spans="2:29">
      <c r="B27" s="109">
        <f t="shared" si="0"/>
        <v>2033</v>
      </c>
      <c r="C27" s="113"/>
      <c r="D27" s="111">
        <f t="shared" ref="D27:E37" si="10">ROUND(D26*(1+IRP23_Infl_Rate),2)</f>
        <v>97.16</v>
      </c>
      <c r="E27" s="111">
        <f t="shared" si="10"/>
        <v>57.62</v>
      </c>
      <c r="F27" s="111">
        <f t="shared" si="3"/>
        <v>0</v>
      </c>
      <c r="G27" s="112">
        <f t="shared" si="4"/>
        <v>47.689473183161084</v>
      </c>
      <c r="H27" s="111"/>
      <c r="I27" s="111">
        <v>-42.43</v>
      </c>
      <c r="J27" s="112">
        <f t="shared" si="5"/>
        <v>5.2594731831610844</v>
      </c>
      <c r="K27" s="112">
        <f t="shared" si="6"/>
        <v>17.07</v>
      </c>
      <c r="L27" s="111">
        <f t="shared" si="7"/>
        <v>154.78</v>
      </c>
      <c r="P27" s="129">
        <f t="shared" si="2"/>
        <v>-3.0517502835891719E-7</v>
      </c>
      <c r="Q27" s="112">
        <v>-42.430000305175028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10"/>
        <v>99.37</v>
      </c>
      <c r="E28" s="111">
        <f t="shared" si="10"/>
        <v>58.93</v>
      </c>
      <c r="F28" s="111">
        <f t="shared" si="3"/>
        <v>0</v>
      </c>
      <c r="G28" s="112">
        <f t="shared" si="4"/>
        <v>48.774025099459877</v>
      </c>
      <c r="H28" s="111"/>
      <c r="I28" s="111">
        <v>-43.76</v>
      </c>
      <c r="J28" s="112">
        <f t="shared" si="5"/>
        <v>5.0140250994598787</v>
      </c>
      <c r="K28" s="112">
        <f t="shared" si="6"/>
        <v>16.27</v>
      </c>
      <c r="L28" s="111">
        <f t="shared" si="7"/>
        <v>158.30000000000001</v>
      </c>
      <c r="P28" s="129">
        <f t="shared" si="2"/>
        <v>7.531752999057062E-13</v>
      </c>
      <c r="Q28" s="112">
        <v>-43.759999999999245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10"/>
        <v>101.63</v>
      </c>
      <c r="E29" s="111">
        <f t="shared" si="10"/>
        <v>60.27</v>
      </c>
      <c r="F29" s="111">
        <f t="shared" si="3"/>
        <v>0</v>
      </c>
      <c r="G29" s="112">
        <f t="shared" si="4"/>
        <v>49.883225922947275</v>
      </c>
      <c r="H29" s="111"/>
      <c r="I29" s="111">
        <v>-43.76</v>
      </c>
      <c r="J29" s="112">
        <f t="shared" si="5"/>
        <v>6.1232259229472774</v>
      </c>
      <c r="K29" s="112">
        <f t="shared" si="6"/>
        <v>19.87</v>
      </c>
      <c r="L29" s="111">
        <f t="shared" si="7"/>
        <v>161.9</v>
      </c>
      <c r="P29" s="129">
        <f t="shared" si="2"/>
        <v>1.6784676120096265E-6</v>
      </c>
      <c r="Q29" s="112">
        <v>-43.759998321532386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10"/>
        <v>103.94</v>
      </c>
      <c r="E30" s="111">
        <f t="shared" si="10"/>
        <v>61.64</v>
      </c>
      <c r="F30" s="111">
        <f t="shared" si="3"/>
        <v>0</v>
      </c>
      <c r="G30" s="112">
        <f t="shared" si="4"/>
        <v>51.01707565362328</v>
      </c>
      <c r="H30" s="111"/>
      <c r="I30" s="111">
        <v>-45.09</v>
      </c>
      <c r="J30" s="112">
        <f t="shared" si="5"/>
        <v>5.9270756536232767</v>
      </c>
      <c r="K30" s="112">
        <f t="shared" si="6"/>
        <v>19.239999999999998</v>
      </c>
      <c r="L30" s="111">
        <f t="shared" si="7"/>
        <v>165.57999999999998</v>
      </c>
      <c r="P30" s="129">
        <f t="shared" si="2"/>
        <v>9.9981689461756673E-3</v>
      </c>
      <c r="Q30" s="112">
        <v>-45.080001831053828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10"/>
        <v>106.3</v>
      </c>
      <c r="E31" s="111">
        <f t="shared" si="10"/>
        <v>63.04</v>
      </c>
      <c r="F31" s="111">
        <f t="shared" si="3"/>
        <v>0</v>
      </c>
      <c r="G31" s="112">
        <f t="shared" si="4"/>
        <v>52.175574291487905</v>
      </c>
      <c r="H31" s="111"/>
      <c r="I31" s="111">
        <v>-46.41</v>
      </c>
      <c r="J31" s="112">
        <f t="shared" si="5"/>
        <v>5.7655742914879085</v>
      </c>
      <c r="K31" s="112">
        <f t="shared" si="6"/>
        <v>18.71</v>
      </c>
      <c r="L31" s="111">
        <f t="shared" si="7"/>
        <v>169.34</v>
      </c>
      <c r="P31" s="129">
        <f t="shared" si="2"/>
        <v>8.6686213762732223E-13</v>
      </c>
      <c r="Q31" s="112">
        <v>-46.40999999999913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10"/>
        <v>108.71</v>
      </c>
      <c r="E32" s="111">
        <f t="shared" si="10"/>
        <v>64.47</v>
      </c>
      <c r="F32" s="111">
        <f t="shared" si="3"/>
        <v>0</v>
      </c>
      <c r="G32" s="112">
        <f t="shared" si="4"/>
        <v>53.358721836541136</v>
      </c>
      <c r="H32" s="111"/>
      <c r="I32" s="111">
        <v>-46.41</v>
      </c>
      <c r="J32" s="112">
        <f t="shared" si="5"/>
        <v>6.9487218365411394</v>
      </c>
      <c r="K32" s="112">
        <f t="shared" si="6"/>
        <v>22.55</v>
      </c>
      <c r="L32" s="111">
        <f t="shared" si="7"/>
        <v>173.18</v>
      </c>
      <c r="P32" s="129">
        <f t="shared" si="2"/>
        <v>1.5258878249824193E-7</v>
      </c>
      <c r="Q32" s="112">
        <v>-46.409999847411214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10"/>
        <v>111.18</v>
      </c>
      <c r="E33" s="111">
        <f t="shared" si="10"/>
        <v>65.930000000000007</v>
      </c>
      <c r="F33" s="111">
        <f t="shared" si="3"/>
        <v>0</v>
      </c>
      <c r="G33" s="112">
        <f t="shared" si="4"/>
        <v>54.569599402181545</v>
      </c>
      <c r="H33" s="111"/>
      <c r="I33" s="111">
        <v>-47.74</v>
      </c>
      <c r="J33" s="112">
        <f t="shared" si="5"/>
        <v>6.8295994021815432</v>
      </c>
      <c r="K33" s="112">
        <f t="shared" si="6"/>
        <v>22.17</v>
      </c>
      <c r="L33" s="111">
        <f t="shared" si="7"/>
        <v>177.11</v>
      </c>
      <c r="P33" s="129">
        <f t="shared" si="2"/>
        <v>-1.6784659280233427E-6</v>
      </c>
      <c r="Q33" s="112">
        <v>-47.74000167846593</v>
      </c>
    </row>
    <row r="34" spans="2:17">
      <c r="B34" s="109">
        <f t="shared" si="0"/>
        <v>2040</v>
      </c>
      <c r="C34" s="113"/>
      <c r="D34" s="111">
        <f t="shared" si="10"/>
        <v>113.7</v>
      </c>
      <c r="E34" s="111">
        <f t="shared" si="10"/>
        <v>67.430000000000007</v>
      </c>
      <c r="F34" s="111">
        <f t="shared" si="3"/>
        <v>0</v>
      </c>
      <c r="G34" s="112">
        <f t="shared" si="4"/>
        <v>55.80820698840914</v>
      </c>
      <c r="H34" s="111"/>
      <c r="I34" s="111">
        <v>-49.06</v>
      </c>
      <c r="J34" s="112">
        <f t="shared" si="5"/>
        <v>6.7482069884091374</v>
      </c>
      <c r="K34" s="112">
        <f t="shared" si="6"/>
        <v>21.9</v>
      </c>
      <c r="L34" s="111">
        <f t="shared" si="7"/>
        <v>181.13</v>
      </c>
      <c r="P34" s="129">
        <f t="shared" si="2"/>
        <v>-1.373290153594553E-6</v>
      </c>
      <c r="Q34" s="112">
        <v>-49.060001373290156</v>
      </c>
    </row>
    <row r="35" spans="2:17">
      <c r="B35" s="109">
        <f t="shared" si="0"/>
        <v>2041</v>
      </c>
      <c r="C35" s="113"/>
      <c r="D35" s="111">
        <f t="shared" si="10"/>
        <v>116.28</v>
      </c>
      <c r="E35" s="111">
        <f t="shared" si="10"/>
        <v>68.959999999999994</v>
      </c>
      <c r="F35" s="111">
        <f t="shared" si="3"/>
        <v>0</v>
      </c>
      <c r="G35" s="112">
        <f t="shared" si="4"/>
        <v>57.074544595223927</v>
      </c>
      <c r="H35" s="111"/>
      <c r="I35" s="111">
        <v>-50.39</v>
      </c>
      <c r="J35" s="112">
        <f t="shared" si="5"/>
        <v>6.684544595223926</v>
      </c>
      <c r="K35" s="112">
        <f t="shared" si="6"/>
        <v>21.7</v>
      </c>
      <c r="L35" s="111">
        <f t="shared" si="7"/>
        <v>185.24</v>
      </c>
      <c r="P35" s="129">
        <f t="shared" si="2"/>
        <v>9.8054897534893826E-13</v>
      </c>
      <c r="Q35" s="112">
        <v>-50.38999999999902</v>
      </c>
    </row>
    <row r="36" spans="2:17">
      <c r="B36" s="109">
        <f t="shared" si="0"/>
        <v>2042</v>
      </c>
      <c r="C36" s="113"/>
      <c r="D36" s="111">
        <f t="shared" si="10"/>
        <v>118.92</v>
      </c>
      <c r="E36" s="111">
        <f t="shared" si="10"/>
        <v>70.53</v>
      </c>
      <c r="F36" s="111">
        <f t="shared" si="3"/>
        <v>0</v>
      </c>
      <c r="G36" s="112">
        <f t="shared" si="4"/>
        <v>58.371693336024464</v>
      </c>
      <c r="H36" s="111"/>
      <c r="I36" s="111"/>
      <c r="J36" s="112">
        <f t="shared" si="5"/>
        <v>58.371693336024464</v>
      </c>
      <c r="K36" s="112">
        <f t="shared" si="6"/>
        <v>189.45</v>
      </c>
      <c r="L36" s="111">
        <f t="shared" si="7"/>
        <v>189.45</v>
      </c>
      <c r="P36" s="129">
        <f t="shared" si="2"/>
        <v>-50.389999389647116</v>
      </c>
      <c r="Q36" s="112">
        <v>-50.389999389647116</v>
      </c>
    </row>
    <row r="37" spans="2:17">
      <c r="B37" s="109">
        <f t="shared" si="0"/>
        <v>2043</v>
      </c>
      <c r="C37" s="113"/>
      <c r="D37" s="111">
        <f t="shared" si="10"/>
        <v>121.62</v>
      </c>
      <c r="E37" s="111">
        <f t="shared" si="10"/>
        <v>72.13</v>
      </c>
      <c r="F37" s="111">
        <f t="shared" si="3"/>
        <v>0</v>
      </c>
      <c r="G37" s="112">
        <f t="shared" si="4"/>
        <v>59.696572097412194</v>
      </c>
      <c r="H37" s="111"/>
      <c r="I37" s="111"/>
      <c r="J37" s="112">
        <f t="shared" si="5"/>
        <v>59.696572097412194</v>
      </c>
      <c r="K37" s="112">
        <f t="shared" si="6"/>
        <v>193.75</v>
      </c>
      <c r="L37" s="111">
        <f t="shared" si="7"/>
        <v>193.75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-PMT(Discount_Rate,COUNT(J23:J37),NPV(Discount_Rate,J23:J37))</f>
        <v>12.19080661085529</v>
      </c>
      <c r="K39" s="287">
        <f>-PMT(Discount_Rate,COUNT(K23:K37),NPV(Discount_Rate,K23:K37))</f>
        <v>39.566085279947842</v>
      </c>
      <c r="L39" s="287">
        <f>-PMT(Discount_Rate,COUNT(L23:L37),NPV(Discount_Rate,L23:L37))</f>
        <v>168.79256562498929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37.0%)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WD_.PX.SOR._.PTC.WD - 37%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2032</v>
      </c>
      <c r="T54" s="273" t="s">
        <v>443</v>
      </c>
    </row>
    <row r="55" spans="2:20">
      <c r="B55" t="s">
        <v>152</v>
      </c>
      <c r="C55" s="267"/>
      <c r="D55" s="102" t="s">
        <v>65</v>
      </c>
      <c r="P55" s="226">
        <v>100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F60" s="102" t="s">
        <v>449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0.37049999910521797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1"/>
  <sheetViews>
    <sheetView topLeftCell="A2" workbookViewId="0"/>
  </sheetViews>
  <sheetFormatPr defaultColWidth="9.33203125" defaultRowHeight="12.75"/>
  <cols>
    <col min="1" max="1" width="2.83203125" style="3" customWidth="1"/>
    <col min="2" max="2" width="7" style="3" customWidth="1"/>
    <col min="3" max="15" width="10.1640625" style="3" customWidth="1"/>
    <col min="16" max="16" width="1.6640625" style="3" customWidth="1"/>
    <col min="17" max="16384" width="9.33203125" style="3"/>
  </cols>
  <sheetData>
    <row r="1" spans="2:16" s="181" customFormat="1" ht="15.75" hidden="1">
      <c r="B1" s="1" t="s">
        <v>35</v>
      </c>
      <c r="C1" s="1"/>
      <c r="D1" s="1"/>
      <c r="E1" s="1"/>
      <c r="F1" s="1"/>
      <c r="G1" s="179"/>
      <c r="H1" s="1"/>
      <c r="I1" s="1"/>
      <c r="J1" s="1"/>
      <c r="K1" s="1"/>
      <c r="L1" s="180"/>
      <c r="M1" s="1"/>
      <c r="N1" s="1"/>
      <c r="O1" s="1"/>
      <c r="P1" s="1"/>
    </row>
    <row r="2" spans="2:16" s="181" customFormat="1" ht="5.25" customHeight="1">
      <c r="B2" s="1"/>
      <c r="C2" s="1"/>
      <c r="D2" s="1"/>
      <c r="E2" s="1"/>
      <c r="F2" s="1"/>
      <c r="G2" s="179"/>
      <c r="H2" s="1"/>
      <c r="I2" s="1"/>
      <c r="J2" s="1"/>
      <c r="K2" s="1"/>
      <c r="L2" s="180"/>
      <c r="M2" s="1"/>
      <c r="N2" s="1"/>
      <c r="O2" s="1"/>
      <c r="P2" s="1"/>
    </row>
    <row r="3" spans="2:16" s="181" customFormat="1" ht="15.75">
      <c r="B3" s="1" t="s">
        <v>93</v>
      </c>
      <c r="C3" s="1"/>
      <c r="D3" s="1"/>
      <c r="E3" s="1"/>
      <c r="F3" s="1"/>
      <c r="G3" s="179"/>
      <c r="H3" s="1"/>
      <c r="I3" s="1"/>
      <c r="J3" s="1"/>
      <c r="K3" s="1"/>
      <c r="L3" s="180"/>
      <c r="M3" s="1"/>
      <c r="N3" s="1"/>
      <c r="O3" s="1"/>
      <c r="P3" s="1"/>
    </row>
    <row r="4" spans="2:16" s="182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s="182" customFormat="1" ht="15">
      <c r="B5" s="4" t="str">
        <f ca="1">'Table 1'!B5</f>
        <v>Tesoro Non Firm - 25.0 MW and 85.0%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182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>
      <c r="D7" s="183"/>
      <c r="E7" s="183"/>
      <c r="F7" s="183"/>
      <c r="G7" s="184"/>
      <c r="H7" s="184"/>
      <c r="I7" s="184"/>
      <c r="J7" s="184"/>
      <c r="K7" s="184"/>
      <c r="L7" s="184"/>
      <c r="M7" s="185"/>
    </row>
    <row r="8" spans="2:16">
      <c r="B8" s="186"/>
      <c r="C8" s="186"/>
      <c r="D8" s="187" t="s">
        <v>95</v>
      </c>
      <c r="E8" s="188"/>
      <c r="F8" s="188"/>
      <c r="G8" s="187"/>
      <c r="H8" s="187"/>
      <c r="I8" s="189" t="s">
        <v>96</v>
      </c>
      <c r="J8" s="190"/>
      <c r="K8" s="190"/>
      <c r="L8" s="191"/>
      <c r="M8" s="192" t="s">
        <v>95</v>
      </c>
      <c r="N8" s="193"/>
      <c r="O8" s="194"/>
    </row>
    <row r="9" spans="2:16">
      <c r="B9" s="195" t="str">
        <f>'[8]Avoided Costs'!B4</f>
        <v>Year</v>
      </c>
      <c r="C9" s="195" t="str">
        <f>'[8]Avoided Costs'!C4</f>
        <v>Annual</v>
      </c>
      <c r="D9" s="196" t="str">
        <f>'[8]Avoided Costs'!D4</f>
        <v>Jan</v>
      </c>
      <c r="E9" s="197" t="str">
        <f>'[8]Avoided Costs'!E4</f>
        <v>Feb</v>
      </c>
      <c r="F9" s="197" t="str">
        <f>'[8]Avoided Costs'!F4</f>
        <v>Mar</v>
      </c>
      <c r="G9" s="197" t="str">
        <f>'[8]Avoided Costs'!G4</f>
        <v>Apr</v>
      </c>
      <c r="H9" s="198" t="str">
        <f>'[8]Avoided Costs'!H4</f>
        <v>May</v>
      </c>
      <c r="I9" s="141" t="str">
        <f>'[8]Avoided Costs'!I4</f>
        <v>Jun</v>
      </c>
      <c r="J9" s="141" t="str">
        <f>'[8]Avoided Costs'!J4</f>
        <v>Jul</v>
      </c>
      <c r="K9" s="141" t="str">
        <f>'[8]Avoided Costs'!K4</f>
        <v>Aug</v>
      </c>
      <c r="L9" s="141" t="str">
        <f>'[8]Avoided Costs'!L4</f>
        <v>Sep</v>
      </c>
      <c r="M9" s="196" t="str">
        <f>'[8]Avoided Costs'!M4</f>
        <v>Oct</v>
      </c>
      <c r="N9" s="197" t="str">
        <f>'[8]Avoided Costs'!N4</f>
        <v>Nov</v>
      </c>
      <c r="O9" s="198" t="str">
        <f>'[8]Avoided Costs'!O4</f>
        <v>Dec</v>
      </c>
    </row>
    <row r="10" spans="2:16" ht="12.75" customHeight="1">
      <c r="B10" s="5"/>
      <c r="C10" s="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6" ht="12.75" customHeight="1">
      <c r="B11" s="139" t="s">
        <v>97</v>
      </c>
      <c r="C11" s="139"/>
      <c r="E11" s="183"/>
      <c r="F11" s="183"/>
      <c r="G11" s="183"/>
      <c r="H11" s="183"/>
      <c r="I11" s="183"/>
      <c r="J11" s="183"/>
      <c r="K11" s="183"/>
      <c r="L11" s="183"/>
      <c r="M11" s="183"/>
      <c r="N11" s="183"/>
    </row>
    <row r="12" spans="2:16" ht="12.75" hidden="1" customHeight="1">
      <c r="B12" s="199"/>
      <c r="C12" s="200"/>
      <c r="D12" s="7"/>
      <c r="E12" s="7"/>
      <c r="F12" s="7"/>
      <c r="G12" s="7"/>
      <c r="H12" s="11"/>
      <c r="I12" s="201"/>
      <c r="J12" s="202"/>
      <c r="K12" s="202"/>
      <c r="L12" s="203"/>
      <c r="M12" s="201"/>
      <c r="N12" s="202"/>
      <c r="O12" s="203"/>
    </row>
    <row r="13" spans="2:16" ht="12.75" customHeight="1">
      <c r="B13" s="204">
        <f>'[8]Avoided Costs'!B7</f>
        <v>2024</v>
      </c>
      <c r="C13" s="205">
        <f>'[8]Avoided Costs'!C7</f>
        <v>46.187980847598581</v>
      </c>
      <c r="D13" s="206">
        <f>'[8]Avoided Costs'!D7</f>
        <v>52.620771655521388</v>
      </c>
      <c r="E13" s="206">
        <f>'[8]Avoided Costs'!E7</f>
        <v>46.886085092185155</v>
      </c>
      <c r="F13" s="206">
        <f>'[8]Avoided Costs'!F7</f>
        <v>35.502714651412106</v>
      </c>
      <c r="G13" s="206">
        <f>'[8]Avoided Costs'!G7</f>
        <v>24.909014847228924</v>
      </c>
      <c r="H13" s="207">
        <f>'[8]Avoided Costs'!H7</f>
        <v>23.936959047809687</v>
      </c>
      <c r="I13" s="208">
        <f>'[8]Avoided Costs'!I7</f>
        <v>33.39455483350099</v>
      </c>
      <c r="J13" s="206">
        <f>'[8]Avoided Costs'!J7</f>
        <v>81.164302287402975</v>
      </c>
      <c r="K13" s="206">
        <f>'[8]Avoided Costs'!K7</f>
        <v>71.405268834786725</v>
      </c>
      <c r="L13" s="207">
        <f>'[8]Avoided Costs'!L7</f>
        <v>45.843528817004824</v>
      </c>
      <c r="M13" s="208">
        <f>'[8]Avoided Costs'!M7</f>
        <v>37.675037352824646</v>
      </c>
      <c r="N13" s="206">
        <f>'[8]Avoided Costs'!N7</f>
        <v>38.612235549869489</v>
      </c>
      <c r="O13" s="207">
        <f>'[8]Avoided Costs'!O7</f>
        <v>60.995736528909482</v>
      </c>
    </row>
    <row r="14" spans="2:16" ht="12.75" customHeight="1">
      <c r="B14" s="221">
        <f>'[8]Avoided Costs'!B8</f>
        <v>2025</v>
      </c>
      <c r="C14" s="209">
        <f>'[8]Avoided Costs'!C8</f>
        <v>0</v>
      </c>
      <c r="D14" s="210">
        <f>'[8]Avoided Costs'!D8</f>
        <v>0</v>
      </c>
      <c r="E14" s="210">
        <f>'[8]Avoided Costs'!E8</f>
        <v>0</v>
      </c>
      <c r="F14" s="210">
        <f>'[8]Avoided Costs'!F8</f>
        <v>0</v>
      </c>
      <c r="G14" s="210">
        <f>'[8]Avoided Costs'!G8</f>
        <v>0</v>
      </c>
      <c r="H14" s="211">
        <f>'[8]Avoided Costs'!H8</f>
        <v>0</v>
      </c>
      <c r="I14" s="212">
        <f>'[8]Avoided Costs'!I8</f>
        <v>0</v>
      </c>
      <c r="J14" s="210">
        <f>'[8]Avoided Costs'!J8</f>
        <v>0</v>
      </c>
      <c r="K14" s="210">
        <f>'[8]Avoided Costs'!K8</f>
        <v>0</v>
      </c>
      <c r="L14" s="211">
        <f>'[8]Avoided Costs'!L8</f>
        <v>0</v>
      </c>
      <c r="M14" s="212">
        <f>'[8]Avoided Costs'!M8</f>
        <v>0</v>
      </c>
      <c r="N14" s="210">
        <f>'[8]Avoided Costs'!N8</f>
        <v>0</v>
      </c>
      <c r="O14" s="211">
        <f>'[8]Avoided Costs'!O8</f>
        <v>0</v>
      </c>
    </row>
    <row r="15" spans="2:16" ht="12.75" customHeight="1">
      <c r="B15" s="221">
        <f>'[8]Avoided Costs'!B9</f>
        <v>2026</v>
      </c>
      <c r="C15" s="209">
        <f>'[8]Avoided Costs'!C9</f>
        <v>0</v>
      </c>
      <c r="D15" s="210">
        <f>'[8]Avoided Costs'!D9</f>
        <v>0</v>
      </c>
      <c r="E15" s="210">
        <f>'[8]Avoided Costs'!E9</f>
        <v>0</v>
      </c>
      <c r="F15" s="210">
        <f>'[8]Avoided Costs'!F9</f>
        <v>0</v>
      </c>
      <c r="G15" s="210">
        <f>'[8]Avoided Costs'!G9</f>
        <v>0</v>
      </c>
      <c r="H15" s="211">
        <f>'[8]Avoided Costs'!H9</f>
        <v>0</v>
      </c>
      <c r="I15" s="212">
        <f>'[8]Avoided Costs'!I9</f>
        <v>0</v>
      </c>
      <c r="J15" s="210">
        <f>'[8]Avoided Costs'!J9</f>
        <v>0</v>
      </c>
      <c r="K15" s="210">
        <f>'[8]Avoided Costs'!K9</f>
        <v>0</v>
      </c>
      <c r="L15" s="211">
        <f>'[8]Avoided Costs'!L9</f>
        <v>0</v>
      </c>
      <c r="M15" s="212">
        <f>'[8]Avoided Costs'!M9</f>
        <v>0</v>
      </c>
      <c r="N15" s="210">
        <f>'[8]Avoided Costs'!N9</f>
        <v>0</v>
      </c>
      <c r="O15" s="211">
        <f>'[8]Avoided Costs'!O9</f>
        <v>0</v>
      </c>
    </row>
    <row r="16" spans="2:16" ht="12.75" customHeight="1">
      <c r="B16" s="221">
        <f>'[8]Avoided Costs'!B10</f>
        <v>2027</v>
      </c>
      <c r="C16" s="209">
        <f>'[8]Avoided Costs'!C10</f>
        <v>0</v>
      </c>
      <c r="D16" s="210">
        <f>'[8]Avoided Costs'!D10</f>
        <v>0</v>
      </c>
      <c r="E16" s="210">
        <f>'[8]Avoided Costs'!E10</f>
        <v>0</v>
      </c>
      <c r="F16" s="210">
        <f>'[8]Avoided Costs'!F10</f>
        <v>0</v>
      </c>
      <c r="G16" s="210">
        <f>'[8]Avoided Costs'!G10</f>
        <v>0</v>
      </c>
      <c r="H16" s="211">
        <f>'[8]Avoided Costs'!H10</f>
        <v>0</v>
      </c>
      <c r="I16" s="212">
        <f>'[8]Avoided Costs'!I10</f>
        <v>0</v>
      </c>
      <c r="J16" s="210">
        <f>'[8]Avoided Costs'!J10</f>
        <v>0</v>
      </c>
      <c r="K16" s="210">
        <f>'[8]Avoided Costs'!K10</f>
        <v>0</v>
      </c>
      <c r="L16" s="211">
        <f>'[8]Avoided Costs'!L10</f>
        <v>0</v>
      </c>
      <c r="M16" s="212">
        <f>'[8]Avoided Costs'!M10</f>
        <v>0</v>
      </c>
      <c r="N16" s="210">
        <f>'[8]Avoided Costs'!N10</f>
        <v>0</v>
      </c>
      <c r="O16" s="211">
        <f>'[8]Avoided Costs'!O10</f>
        <v>0</v>
      </c>
    </row>
    <row r="17" spans="2:15" ht="12.75" customHeight="1">
      <c r="B17" s="221">
        <f>'[8]Avoided Costs'!B11</f>
        <v>2028</v>
      </c>
      <c r="C17" s="209">
        <f>'[8]Avoided Costs'!C11</f>
        <v>0</v>
      </c>
      <c r="D17" s="210">
        <f>'[8]Avoided Costs'!D11</f>
        <v>0</v>
      </c>
      <c r="E17" s="210">
        <f>'[8]Avoided Costs'!E11</f>
        <v>0</v>
      </c>
      <c r="F17" s="210">
        <f>'[8]Avoided Costs'!F11</f>
        <v>0</v>
      </c>
      <c r="G17" s="210">
        <f>'[8]Avoided Costs'!G11</f>
        <v>0</v>
      </c>
      <c r="H17" s="211">
        <f>'[8]Avoided Costs'!H11</f>
        <v>0</v>
      </c>
      <c r="I17" s="212">
        <f>'[8]Avoided Costs'!I11</f>
        <v>0</v>
      </c>
      <c r="J17" s="210">
        <f>'[8]Avoided Costs'!J11</f>
        <v>0</v>
      </c>
      <c r="K17" s="210">
        <f>'[8]Avoided Costs'!K11</f>
        <v>0</v>
      </c>
      <c r="L17" s="211">
        <f>'[8]Avoided Costs'!L11</f>
        <v>0</v>
      </c>
      <c r="M17" s="212">
        <f>'[8]Avoided Costs'!M11</f>
        <v>0</v>
      </c>
      <c r="N17" s="210">
        <f>'[8]Avoided Costs'!N11</f>
        <v>0</v>
      </c>
      <c r="O17" s="211">
        <f>'[8]Avoided Costs'!O11</f>
        <v>0</v>
      </c>
    </row>
    <row r="18" spans="2:15" ht="12.75" customHeight="1">
      <c r="B18" s="221">
        <f>'[8]Avoided Costs'!B12</f>
        <v>2029</v>
      </c>
      <c r="C18" s="209">
        <f>'[8]Avoided Costs'!C12</f>
        <v>0</v>
      </c>
      <c r="D18" s="210">
        <f>'[8]Avoided Costs'!D12</f>
        <v>0</v>
      </c>
      <c r="E18" s="210">
        <f>'[8]Avoided Costs'!E12</f>
        <v>0</v>
      </c>
      <c r="F18" s="210">
        <f>'[8]Avoided Costs'!F12</f>
        <v>0</v>
      </c>
      <c r="G18" s="210">
        <f>'[8]Avoided Costs'!G12</f>
        <v>0</v>
      </c>
      <c r="H18" s="211">
        <f>'[8]Avoided Costs'!H12</f>
        <v>0</v>
      </c>
      <c r="I18" s="212">
        <f>'[8]Avoided Costs'!I12</f>
        <v>0</v>
      </c>
      <c r="J18" s="210">
        <f>'[8]Avoided Costs'!J12</f>
        <v>0</v>
      </c>
      <c r="K18" s="210">
        <f>'[8]Avoided Costs'!K12</f>
        <v>0</v>
      </c>
      <c r="L18" s="211">
        <f>'[8]Avoided Costs'!L12</f>
        <v>0</v>
      </c>
      <c r="M18" s="212">
        <f>'[8]Avoided Costs'!M12</f>
        <v>0</v>
      </c>
      <c r="N18" s="210">
        <f>'[8]Avoided Costs'!N12</f>
        <v>0</v>
      </c>
      <c r="O18" s="211">
        <f>'[8]Avoided Costs'!O12</f>
        <v>0</v>
      </c>
    </row>
    <row r="19" spans="2:15" ht="12.75" customHeight="1">
      <c r="B19" s="221">
        <f>'[8]Avoided Costs'!B13</f>
        <v>2030</v>
      </c>
      <c r="C19" s="209">
        <f>'[8]Avoided Costs'!C13</f>
        <v>0</v>
      </c>
      <c r="D19" s="210">
        <f>'[8]Avoided Costs'!D13</f>
        <v>0</v>
      </c>
      <c r="E19" s="210">
        <f>'[8]Avoided Costs'!E13</f>
        <v>0</v>
      </c>
      <c r="F19" s="210">
        <f>'[8]Avoided Costs'!F13</f>
        <v>0</v>
      </c>
      <c r="G19" s="210">
        <f>'[8]Avoided Costs'!G13</f>
        <v>0</v>
      </c>
      <c r="H19" s="211">
        <f>'[8]Avoided Costs'!H13</f>
        <v>0</v>
      </c>
      <c r="I19" s="212">
        <f>'[8]Avoided Costs'!I13</f>
        <v>0</v>
      </c>
      <c r="J19" s="210">
        <f>'[8]Avoided Costs'!J13</f>
        <v>0</v>
      </c>
      <c r="K19" s="210">
        <f>'[8]Avoided Costs'!K13</f>
        <v>0</v>
      </c>
      <c r="L19" s="211">
        <f>'[8]Avoided Costs'!L13</f>
        <v>0</v>
      </c>
      <c r="M19" s="212">
        <f>'[8]Avoided Costs'!M13</f>
        <v>0</v>
      </c>
      <c r="N19" s="210">
        <f>'[8]Avoided Costs'!N13</f>
        <v>0</v>
      </c>
      <c r="O19" s="211">
        <f>'[8]Avoided Costs'!O13</f>
        <v>0</v>
      </c>
    </row>
    <row r="20" spans="2:15" ht="12.75" customHeight="1">
      <c r="B20" s="221">
        <f>'[8]Avoided Costs'!B14</f>
        <v>2031</v>
      </c>
      <c r="C20" s="209">
        <f>'[8]Avoided Costs'!C14</f>
        <v>0</v>
      </c>
      <c r="D20" s="210">
        <f>'[8]Avoided Costs'!D14</f>
        <v>0</v>
      </c>
      <c r="E20" s="210">
        <f>'[8]Avoided Costs'!E14</f>
        <v>0</v>
      </c>
      <c r="F20" s="210">
        <f>'[8]Avoided Costs'!F14</f>
        <v>0</v>
      </c>
      <c r="G20" s="210">
        <f>'[8]Avoided Costs'!G14</f>
        <v>0</v>
      </c>
      <c r="H20" s="211">
        <f>'[8]Avoided Costs'!H14</f>
        <v>0</v>
      </c>
      <c r="I20" s="212">
        <f>'[8]Avoided Costs'!I14</f>
        <v>0</v>
      </c>
      <c r="J20" s="210">
        <f>'[8]Avoided Costs'!J14</f>
        <v>0</v>
      </c>
      <c r="K20" s="210">
        <f>'[8]Avoided Costs'!K14</f>
        <v>0</v>
      </c>
      <c r="L20" s="211">
        <f>'[8]Avoided Costs'!L14</f>
        <v>0</v>
      </c>
      <c r="M20" s="212">
        <f>'[8]Avoided Costs'!M14</f>
        <v>0</v>
      </c>
      <c r="N20" s="210">
        <f>'[8]Avoided Costs'!N14</f>
        <v>0</v>
      </c>
      <c r="O20" s="211">
        <f>'[8]Avoided Costs'!O14</f>
        <v>0</v>
      </c>
    </row>
    <row r="21" spans="2:15" ht="12.75" customHeight="1">
      <c r="B21" s="221">
        <f>'[8]Avoided Costs'!B15</f>
        <v>2032</v>
      </c>
      <c r="C21" s="209">
        <f>'[8]Avoided Costs'!C15</f>
        <v>0</v>
      </c>
      <c r="D21" s="210">
        <f>'[8]Avoided Costs'!D15</f>
        <v>0</v>
      </c>
      <c r="E21" s="210">
        <f>'[8]Avoided Costs'!E15</f>
        <v>0</v>
      </c>
      <c r="F21" s="210">
        <f>'[8]Avoided Costs'!F15</f>
        <v>0</v>
      </c>
      <c r="G21" s="210">
        <f>'[8]Avoided Costs'!G15</f>
        <v>0</v>
      </c>
      <c r="H21" s="211">
        <f>'[8]Avoided Costs'!H15</f>
        <v>0</v>
      </c>
      <c r="I21" s="212">
        <f>'[8]Avoided Costs'!I15</f>
        <v>0</v>
      </c>
      <c r="J21" s="210">
        <f>'[8]Avoided Costs'!J15</f>
        <v>0</v>
      </c>
      <c r="K21" s="210">
        <f>'[8]Avoided Costs'!K15</f>
        <v>0</v>
      </c>
      <c r="L21" s="211">
        <f>'[8]Avoided Costs'!L15</f>
        <v>0</v>
      </c>
      <c r="M21" s="212">
        <f>'[8]Avoided Costs'!M15</f>
        <v>0</v>
      </c>
      <c r="N21" s="210">
        <f>'[8]Avoided Costs'!N15</f>
        <v>0</v>
      </c>
      <c r="O21" s="211">
        <f>'[8]Avoided Costs'!O15</f>
        <v>0</v>
      </c>
    </row>
    <row r="22" spans="2:15" ht="12.75" customHeight="1">
      <c r="B22" s="221">
        <f>'[8]Avoided Costs'!B16</f>
        <v>2033</v>
      </c>
      <c r="C22" s="209">
        <f>'[8]Avoided Costs'!C16</f>
        <v>0</v>
      </c>
      <c r="D22" s="210">
        <f>'[8]Avoided Costs'!D16</f>
        <v>0</v>
      </c>
      <c r="E22" s="210">
        <f>'[8]Avoided Costs'!E16</f>
        <v>0</v>
      </c>
      <c r="F22" s="210">
        <f>'[8]Avoided Costs'!F16</f>
        <v>0</v>
      </c>
      <c r="G22" s="210">
        <f>'[8]Avoided Costs'!G16</f>
        <v>0</v>
      </c>
      <c r="H22" s="211">
        <f>'[8]Avoided Costs'!H16</f>
        <v>0</v>
      </c>
      <c r="I22" s="212">
        <f>'[8]Avoided Costs'!I16</f>
        <v>0</v>
      </c>
      <c r="J22" s="210">
        <f>'[8]Avoided Costs'!J16</f>
        <v>0</v>
      </c>
      <c r="K22" s="210">
        <f>'[8]Avoided Costs'!K16</f>
        <v>0</v>
      </c>
      <c r="L22" s="211">
        <f>'[8]Avoided Costs'!L16</f>
        <v>0</v>
      </c>
      <c r="M22" s="212">
        <f>'[8]Avoided Costs'!M16</f>
        <v>0</v>
      </c>
      <c r="N22" s="210">
        <f>'[8]Avoided Costs'!N16</f>
        <v>0</v>
      </c>
      <c r="O22" s="211">
        <f>'[8]Avoided Costs'!O16</f>
        <v>0</v>
      </c>
    </row>
    <row r="23" spans="2:15" ht="12.75" customHeight="1">
      <c r="B23" s="221">
        <f>'[8]Avoided Costs'!B17</f>
        <v>0</v>
      </c>
      <c r="C23" s="209">
        <f>'[8]Avoided Costs'!C17</f>
        <v>0</v>
      </c>
      <c r="D23" s="210">
        <f>'[8]Avoided Costs'!D17</f>
        <v>0</v>
      </c>
      <c r="E23" s="210">
        <f>'[8]Avoided Costs'!E17</f>
        <v>0</v>
      </c>
      <c r="F23" s="210">
        <f>'[8]Avoided Costs'!F17</f>
        <v>0</v>
      </c>
      <c r="G23" s="210">
        <f>'[8]Avoided Costs'!G17</f>
        <v>0</v>
      </c>
      <c r="H23" s="211">
        <f>'[8]Avoided Costs'!H17</f>
        <v>0</v>
      </c>
      <c r="I23" s="212">
        <f>'[8]Avoided Costs'!I17</f>
        <v>0</v>
      </c>
      <c r="J23" s="210">
        <f>'[8]Avoided Costs'!J17</f>
        <v>0</v>
      </c>
      <c r="K23" s="210">
        <f>'[8]Avoided Costs'!K17</f>
        <v>0</v>
      </c>
      <c r="L23" s="211">
        <f>'[8]Avoided Costs'!L17</f>
        <v>0</v>
      </c>
      <c r="M23" s="212">
        <f>'[8]Avoided Costs'!M17</f>
        <v>0</v>
      </c>
      <c r="N23" s="210">
        <f>'[8]Avoided Costs'!N17</f>
        <v>0</v>
      </c>
      <c r="O23" s="211">
        <f>'[8]Avoided Costs'!O17</f>
        <v>0</v>
      </c>
    </row>
    <row r="24" spans="2:15" ht="12.75" customHeight="1">
      <c r="B24" s="221">
        <f>'[8]Avoided Costs'!B18</f>
        <v>0</v>
      </c>
      <c r="C24" s="209">
        <f>'[8]Avoided Costs'!C18</f>
        <v>0</v>
      </c>
      <c r="D24" s="210">
        <f>'[8]Avoided Costs'!D18</f>
        <v>0</v>
      </c>
      <c r="E24" s="210">
        <f>'[8]Avoided Costs'!E18</f>
        <v>0</v>
      </c>
      <c r="F24" s="210">
        <f>'[8]Avoided Costs'!F18</f>
        <v>0</v>
      </c>
      <c r="G24" s="210">
        <f>'[8]Avoided Costs'!G18</f>
        <v>0</v>
      </c>
      <c r="H24" s="211">
        <f>'[8]Avoided Costs'!H18</f>
        <v>0</v>
      </c>
      <c r="I24" s="212">
        <f>'[8]Avoided Costs'!I18</f>
        <v>0</v>
      </c>
      <c r="J24" s="210">
        <f>'[8]Avoided Costs'!J18</f>
        <v>0</v>
      </c>
      <c r="K24" s="210">
        <f>'[8]Avoided Costs'!K18</f>
        <v>0</v>
      </c>
      <c r="L24" s="211">
        <f>'[8]Avoided Costs'!L18</f>
        <v>0</v>
      </c>
      <c r="M24" s="212">
        <f>'[8]Avoided Costs'!M18</f>
        <v>0</v>
      </c>
      <c r="N24" s="210">
        <f>'[8]Avoided Costs'!N18</f>
        <v>0</v>
      </c>
      <c r="O24" s="211">
        <f>'[8]Avoided Costs'!O18</f>
        <v>0</v>
      </c>
    </row>
    <row r="25" spans="2:15" ht="12.75" customHeight="1">
      <c r="B25" s="221">
        <f>'[8]Avoided Costs'!B19</f>
        <v>0</v>
      </c>
      <c r="C25" s="209">
        <f>'[8]Avoided Costs'!C19</f>
        <v>0</v>
      </c>
      <c r="D25" s="210">
        <f>'[8]Avoided Costs'!D19</f>
        <v>0</v>
      </c>
      <c r="E25" s="210">
        <f>'[8]Avoided Costs'!E19</f>
        <v>0</v>
      </c>
      <c r="F25" s="210">
        <f>'[8]Avoided Costs'!F19</f>
        <v>0</v>
      </c>
      <c r="G25" s="210">
        <f>'[8]Avoided Costs'!G19</f>
        <v>0</v>
      </c>
      <c r="H25" s="211">
        <f>'[8]Avoided Costs'!H19</f>
        <v>0</v>
      </c>
      <c r="I25" s="212">
        <f>'[8]Avoided Costs'!I19</f>
        <v>0</v>
      </c>
      <c r="J25" s="210">
        <f>'[8]Avoided Costs'!J19</f>
        <v>0</v>
      </c>
      <c r="K25" s="210">
        <f>'[8]Avoided Costs'!K19</f>
        <v>0</v>
      </c>
      <c r="L25" s="211">
        <f>'[8]Avoided Costs'!L19</f>
        <v>0</v>
      </c>
      <c r="M25" s="212">
        <f>'[8]Avoided Costs'!M19</f>
        <v>0</v>
      </c>
      <c r="N25" s="210">
        <f>'[8]Avoided Costs'!N19</f>
        <v>0</v>
      </c>
      <c r="O25" s="211">
        <f>'[8]Avoided Costs'!O19</f>
        <v>0</v>
      </c>
    </row>
    <row r="26" spans="2:15" ht="12.75" customHeight="1">
      <c r="B26" s="221">
        <f>'[8]Avoided Costs'!B20</f>
        <v>0</v>
      </c>
      <c r="C26" s="209">
        <f>'[8]Avoided Costs'!C20</f>
        <v>0</v>
      </c>
      <c r="D26" s="210">
        <f>'[8]Avoided Costs'!D20</f>
        <v>0</v>
      </c>
      <c r="E26" s="210">
        <f>'[8]Avoided Costs'!E20</f>
        <v>0</v>
      </c>
      <c r="F26" s="210">
        <f>'[8]Avoided Costs'!F20</f>
        <v>0</v>
      </c>
      <c r="G26" s="210">
        <f>'[8]Avoided Costs'!G20</f>
        <v>0</v>
      </c>
      <c r="H26" s="211">
        <f>'[8]Avoided Costs'!H20</f>
        <v>0</v>
      </c>
      <c r="I26" s="212">
        <f>'[8]Avoided Costs'!I20</f>
        <v>0</v>
      </c>
      <c r="J26" s="210">
        <f>'[8]Avoided Costs'!J20</f>
        <v>0</v>
      </c>
      <c r="K26" s="210">
        <f>'[8]Avoided Costs'!K20</f>
        <v>0</v>
      </c>
      <c r="L26" s="211">
        <f>'[8]Avoided Costs'!L20</f>
        <v>0</v>
      </c>
      <c r="M26" s="212">
        <f>'[8]Avoided Costs'!M20</f>
        <v>0</v>
      </c>
      <c r="N26" s="210">
        <f>'[8]Avoided Costs'!N20</f>
        <v>0</v>
      </c>
      <c r="O26" s="211">
        <f>'[8]Avoided Costs'!O20</f>
        <v>0</v>
      </c>
    </row>
    <row r="27" spans="2:15" ht="12.75" customHeight="1">
      <c r="B27" s="221">
        <f>'[8]Avoided Costs'!B21</f>
        <v>0</v>
      </c>
      <c r="C27" s="209">
        <f>'[8]Avoided Costs'!C21</f>
        <v>0</v>
      </c>
      <c r="D27" s="210">
        <f>'[8]Avoided Costs'!D21</f>
        <v>0</v>
      </c>
      <c r="E27" s="210">
        <f>'[8]Avoided Costs'!E21</f>
        <v>0</v>
      </c>
      <c r="F27" s="210">
        <f>'[8]Avoided Costs'!F21</f>
        <v>0</v>
      </c>
      <c r="G27" s="210">
        <f>'[8]Avoided Costs'!G21</f>
        <v>0</v>
      </c>
      <c r="H27" s="211">
        <f>'[8]Avoided Costs'!H21</f>
        <v>0</v>
      </c>
      <c r="I27" s="212">
        <f>'[8]Avoided Costs'!I21</f>
        <v>0</v>
      </c>
      <c r="J27" s="210">
        <f>'[8]Avoided Costs'!J21</f>
        <v>0</v>
      </c>
      <c r="K27" s="210">
        <f>'[8]Avoided Costs'!K21</f>
        <v>0</v>
      </c>
      <c r="L27" s="211">
        <f>'[8]Avoided Costs'!L21</f>
        <v>0</v>
      </c>
      <c r="M27" s="212">
        <f>'[8]Avoided Costs'!M21</f>
        <v>0</v>
      </c>
      <c r="N27" s="210">
        <f>'[8]Avoided Costs'!N21</f>
        <v>0</v>
      </c>
      <c r="O27" s="211">
        <f>'[8]Avoided Costs'!O21</f>
        <v>0</v>
      </c>
    </row>
    <row r="28" spans="2:15" ht="12.75" customHeight="1">
      <c r="B28" s="221">
        <f>'[8]Avoided Costs'!B22</f>
        <v>0</v>
      </c>
      <c r="C28" s="209">
        <f>'[8]Avoided Costs'!C22</f>
        <v>0</v>
      </c>
      <c r="D28" s="210">
        <f>'[8]Avoided Costs'!D22</f>
        <v>0</v>
      </c>
      <c r="E28" s="210">
        <f>'[8]Avoided Costs'!E22</f>
        <v>0</v>
      </c>
      <c r="F28" s="210">
        <f>'[8]Avoided Costs'!F22</f>
        <v>0</v>
      </c>
      <c r="G28" s="210">
        <f>'[8]Avoided Costs'!G22</f>
        <v>0</v>
      </c>
      <c r="H28" s="211">
        <f>'[8]Avoided Costs'!H22</f>
        <v>0</v>
      </c>
      <c r="I28" s="212">
        <f>'[8]Avoided Costs'!I22</f>
        <v>0</v>
      </c>
      <c r="J28" s="210">
        <f>'[8]Avoided Costs'!J22</f>
        <v>0</v>
      </c>
      <c r="K28" s="210">
        <f>'[8]Avoided Costs'!K22</f>
        <v>0</v>
      </c>
      <c r="L28" s="211">
        <f>'[8]Avoided Costs'!L22</f>
        <v>0</v>
      </c>
      <c r="M28" s="212">
        <f>'[8]Avoided Costs'!M22</f>
        <v>0</v>
      </c>
      <c r="N28" s="210">
        <f>'[8]Avoided Costs'!N22</f>
        <v>0</v>
      </c>
      <c r="O28" s="211">
        <f>'[8]Avoided Costs'!O22</f>
        <v>0</v>
      </c>
    </row>
    <row r="29" spans="2:15" ht="12.75" customHeight="1">
      <c r="B29" s="221">
        <f>'[8]Avoided Costs'!B23</f>
        <v>0</v>
      </c>
      <c r="C29" s="209">
        <f>'[8]Avoided Costs'!C23</f>
        <v>0</v>
      </c>
      <c r="D29" s="210">
        <f>'[8]Avoided Costs'!D23</f>
        <v>0</v>
      </c>
      <c r="E29" s="210">
        <f>'[8]Avoided Costs'!E23</f>
        <v>0</v>
      </c>
      <c r="F29" s="210">
        <f>'[8]Avoided Costs'!F23</f>
        <v>0</v>
      </c>
      <c r="G29" s="210">
        <f>'[8]Avoided Costs'!G23</f>
        <v>0</v>
      </c>
      <c r="H29" s="211">
        <f>'[8]Avoided Costs'!H23</f>
        <v>0</v>
      </c>
      <c r="I29" s="212">
        <f>'[8]Avoided Costs'!I23</f>
        <v>0</v>
      </c>
      <c r="J29" s="210">
        <f>'[8]Avoided Costs'!J23</f>
        <v>0</v>
      </c>
      <c r="K29" s="210">
        <f>'[8]Avoided Costs'!K23</f>
        <v>0</v>
      </c>
      <c r="L29" s="211">
        <f>'[8]Avoided Costs'!L23</f>
        <v>0</v>
      </c>
      <c r="M29" s="212">
        <f>'[8]Avoided Costs'!M23</f>
        <v>0</v>
      </c>
      <c r="N29" s="210">
        <f>'[8]Avoided Costs'!N23</f>
        <v>0</v>
      </c>
      <c r="O29" s="211">
        <f>'[8]Avoided Costs'!O23</f>
        <v>0</v>
      </c>
    </row>
    <row r="30" spans="2:15" ht="12.75" customHeight="1">
      <c r="B30" s="222">
        <f>'[8]Avoided Costs'!B24</f>
        <v>0</v>
      </c>
      <c r="C30" s="214">
        <f>'[8]Avoided Costs'!C24</f>
        <v>0</v>
      </c>
      <c r="D30" s="215">
        <f>'[8]Avoided Costs'!D24</f>
        <v>0</v>
      </c>
      <c r="E30" s="215">
        <f>'[8]Avoided Costs'!E24</f>
        <v>0</v>
      </c>
      <c r="F30" s="215">
        <f>'[8]Avoided Costs'!F24</f>
        <v>0</v>
      </c>
      <c r="G30" s="215">
        <f>'[8]Avoided Costs'!G24</f>
        <v>0</v>
      </c>
      <c r="H30" s="216">
        <f>'[8]Avoided Costs'!H24</f>
        <v>0</v>
      </c>
      <c r="I30" s="217">
        <f>'[8]Avoided Costs'!I24</f>
        <v>0</v>
      </c>
      <c r="J30" s="215">
        <f>'[8]Avoided Costs'!J24</f>
        <v>0</v>
      </c>
      <c r="K30" s="215">
        <f>'[8]Avoided Costs'!K24</f>
        <v>0</v>
      </c>
      <c r="L30" s="216">
        <f>'[8]Avoided Costs'!L24</f>
        <v>0</v>
      </c>
      <c r="M30" s="217">
        <f>'[8]Avoided Costs'!M24</f>
        <v>0</v>
      </c>
      <c r="N30" s="215">
        <f>'[8]Avoided Costs'!N24</f>
        <v>0</v>
      </c>
      <c r="O30" s="216">
        <f>'[8]Avoided Costs'!O24</f>
        <v>0</v>
      </c>
    </row>
    <row r="31" spans="2:15" ht="12.75" hidden="1" customHeight="1">
      <c r="B31" s="13"/>
      <c r="C31" s="209"/>
      <c r="D31" s="210"/>
      <c r="E31" s="210"/>
      <c r="F31" s="210"/>
      <c r="G31" s="210"/>
      <c r="H31" s="211"/>
      <c r="I31" s="212"/>
      <c r="J31" s="210"/>
      <c r="K31" s="210"/>
      <c r="L31" s="211"/>
      <c r="M31" s="212"/>
      <c r="N31" s="210"/>
      <c r="O31" s="211"/>
    </row>
    <row r="32" spans="2:15" ht="12.75" hidden="1" customHeight="1">
      <c r="B32" s="213"/>
      <c r="C32" s="214"/>
      <c r="D32" s="215"/>
      <c r="E32" s="215"/>
      <c r="F32" s="215"/>
      <c r="G32" s="215"/>
      <c r="H32" s="216"/>
      <c r="I32" s="217"/>
      <c r="J32" s="215"/>
      <c r="K32" s="215"/>
      <c r="L32" s="216"/>
      <c r="M32" s="217"/>
      <c r="N32" s="215"/>
      <c r="O32" s="216"/>
    </row>
    <row r="33" spans="2:16" ht="12.75" customHeight="1">
      <c r="D33" s="9"/>
      <c r="E33" s="9"/>
      <c r="F33" s="9"/>
      <c r="M33" s="218"/>
    </row>
    <row r="34" spans="2:16">
      <c r="B34" s="219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</row>
    <row r="38" spans="2:16" hidden="1">
      <c r="C38" s="220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20"/>
    </row>
    <row r="40" spans="2:16">
      <c r="C40" s="220"/>
    </row>
    <row r="41" spans="2:16">
      <c r="C41" s="220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1FB7-A757-436B-8D94-010283D19AF5}">
  <sheetPr>
    <tabColor rgb="FFFFC000"/>
    <pageSetUpPr fitToPage="1"/>
  </sheetPr>
  <dimension ref="B1:AC91"/>
  <sheetViews>
    <sheetView topLeftCell="A56" zoomScale="80" zoomScaleNormal="80" zoomScaleSheetLayoutView="70" workbookViewId="0">
      <selection activeCell="D70" sqref="D70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WD_.PX.WWA._.PTC.WD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37%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291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WD_.PX.WWA._.PTC.WD - 37%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1660.3374057392646</v>
      </c>
      <c r="S16" s="284">
        <f>T16-R16</f>
        <v>8.3325942607355046</v>
      </c>
      <c r="T16" s="113">
        <v>1668.67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T16*IRP_PTC_ESC!Q59</f>
        <v>2124.383777</v>
      </c>
      <c r="X17" s="277">
        <f t="shared" ref="X17:X26" si="1"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T17*IRP_PTC_ESC!Q60</f>
        <v>2124.383777</v>
      </c>
      <c r="X18" s="277">
        <f t="shared" si="1"/>
        <v>46.949458361730954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277"/>
      <c r="S19" s="277"/>
      <c r="T19" s="102">
        <f>T18*IRP_PTC_ESC!Q61</f>
        <v>2124.383777</v>
      </c>
      <c r="U19" s="284"/>
      <c r="X19" s="277">
        <f t="shared" si="1"/>
        <v>48.015211066753942</v>
      </c>
      <c r="Y19" s="284"/>
    </row>
    <row r="20" spans="2:29">
      <c r="B20" s="109">
        <f t="shared" si="0"/>
        <v>2026</v>
      </c>
      <c r="C20" s="113"/>
      <c r="D20" s="111"/>
      <c r="E20" s="111"/>
      <c r="F20" s="111"/>
      <c r="G20" s="112"/>
      <c r="H20" s="111"/>
      <c r="I20" s="111"/>
      <c r="J20" s="112"/>
      <c r="K20" s="112"/>
      <c r="L20" s="111"/>
      <c r="P20" s="129">
        <f t="shared" ref="P20:P36" si="2">Q20-I20</f>
        <v>0</v>
      </c>
      <c r="Q20" s="112">
        <v>0</v>
      </c>
      <c r="T20" s="102">
        <f>T19*IRP_PTC_ESC!Q62</f>
        <v>2124.383777</v>
      </c>
      <c r="U20" s="284"/>
      <c r="W20" s="129"/>
      <c r="X20" s="277">
        <f t="shared" si="1"/>
        <v>49.105156358185759</v>
      </c>
      <c r="Y20" s="284"/>
    </row>
    <row r="21" spans="2:29">
      <c r="B21" s="109">
        <f t="shared" si="0"/>
        <v>2027</v>
      </c>
      <c r="C21" s="113"/>
      <c r="D21" s="111"/>
      <c r="E21" s="111"/>
      <c r="F21" s="111"/>
      <c r="G21" s="112"/>
      <c r="H21" s="111"/>
      <c r="I21" s="111"/>
      <c r="J21" s="112"/>
      <c r="K21" s="112"/>
      <c r="L21" s="111"/>
      <c r="P21" s="129">
        <f t="shared" si="2"/>
        <v>0</v>
      </c>
      <c r="Q21" s="112">
        <v>0</v>
      </c>
      <c r="T21" s="102">
        <f>T20*IRP_PTC_ESC!Q63</f>
        <v>2124.383777</v>
      </c>
      <c r="U21" s="284"/>
      <c r="V21" s="129"/>
      <c r="W21" s="129"/>
      <c r="X21" s="277">
        <f t="shared" si="1"/>
        <v>50.21984340773799</v>
      </c>
      <c r="Y21" s="284"/>
      <c r="Z21" s="129"/>
    </row>
    <row r="22" spans="2:29">
      <c r="B22" s="109">
        <f t="shared" si="0"/>
        <v>2028</v>
      </c>
      <c r="C22" s="113"/>
      <c r="D22" s="111"/>
      <c r="E22" s="111"/>
      <c r="F22" s="111"/>
      <c r="G22" s="112"/>
      <c r="H22" s="111"/>
      <c r="I22" s="111"/>
      <c r="J22" s="112"/>
      <c r="K22" s="112"/>
      <c r="L22" s="111"/>
      <c r="P22" s="129">
        <f t="shared" si="2"/>
        <v>0</v>
      </c>
      <c r="Q22" s="112">
        <v>0</v>
      </c>
      <c r="T22" s="102">
        <f>T21*IRP_PTC_ESC!Q64</f>
        <v>2124.383777</v>
      </c>
      <c r="U22" s="284"/>
      <c r="V22" s="129"/>
      <c r="W22" s="129"/>
      <c r="X22" s="277">
        <f t="shared" si="1"/>
        <v>51.359833853320083</v>
      </c>
      <c r="Y22" s="284"/>
      <c r="Z22" s="129"/>
      <c r="AA22" s="129"/>
    </row>
    <row r="23" spans="2:29">
      <c r="B23" s="109">
        <f t="shared" si="0"/>
        <v>2029</v>
      </c>
      <c r="C23" s="113"/>
      <c r="D23" s="111"/>
      <c r="E23" s="111"/>
      <c r="F23" s="111"/>
      <c r="G23" s="112"/>
      <c r="H23" s="111"/>
      <c r="I23" s="111"/>
      <c r="J23" s="112"/>
      <c r="K23" s="112"/>
      <c r="L23" s="111"/>
      <c r="P23" s="129">
        <f t="shared" si="2"/>
        <v>0</v>
      </c>
      <c r="Q23" s="112">
        <v>0</v>
      </c>
      <c r="T23" s="102">
        <f>T22*IRP_PTC_ESC!Q65</f>
        <v>1971.4281450560002</v>
      </c>
      <c r="U23" s="284"/>
      <c r="V23" s="129"/>
      <c r="W23" s="129"/>
      <c r="X23" s="277">
        <f t="shared" si="1"/>
        <v>52.525702082022029</v>
      </c>
      <c r="Y23" s="284"/>
      <c r="Z23" s="129"/>
      <c r="AA23" s="129"/>
    </row>
    <row r="24" spans="2:29">
      <c r="B24" s="109">
        <f t="shared" si="0"/>
        <v>2030</v>
      </c>
      <c r="C24" s="113"/>
      <c r="D24" s="111"/>
      <c r="E24" s="111"/>
      <c r="F24" s="111"/>
      <c r="G24" s="112"/>
      <c r="H24" s="111"/>
      <c r="I24" s="111"/>
      <c r="J24" s="112"/>
      <c r="K24" s="112"/>
      <c r="L24" s="111"/>
      <c r="P24" s="129">
        <f t="shared" si="2"/>
        <v>0</v>
      </c>
      <c r="Q24" s="112">
        <v>0</v>
      </c>
      <c r="T24" s="102">
        <f>T23*IRP_PTC_ESC!Q66</f>
        <v>1817.6567504091001</v>
      </c>
      <c r="U24" s="284"/>
      <c r="V24" s="129"/>
      <c r="W24" s="129"/>
      <c r="X24" s="277">
        <f t="shared" si="1"/>
        <v>53.718035519520768</v>
      </c>
      <c r="Y24" s="284"/>
      <c r="Z24" s="129"/>
      <c r="AA24" s="129"/>
    </row>
    <row r="25" spans="2:29">
      <c r="B25" s="109">
        <f t="shared" si="0"/>
        <v>2031</v>
      </c>
      <c r="C25" s="113"/>
      <c r="D25" s="111"/>
      <c r="E25" s="111"/>
      <c r="F25" s="111"/>
      <c r="G25" s="112"/>
      <c r="H25" s="111"/>
      <c r="I25" s="111"/>
      <c r="J25" s="112"/>
      <c r="K25" s="112"/>
      <c r="L25" s="111"/>
      <c r="P25" s="129">
        <f t="shared" si="2"/>
        <v>0</v>
      </c>
      <c r="Q25" s="112">
        <v>0</v>
      </c>
      <c r="T25" s="102">
        <f>T24*IRP_PTC_ESC!Q67</f>
        <v>1664.9735822400403</v>
      </c>
      <c r="U25" s="284"/>
      <c r="V25" s="129"/>
      <c r="W25" s="129"/>
      <c r="X25" s="277">
        <f t="shared" si="1"/>
        <v>54.937434926056106</v>
      </c>
      <c r="Y25" s="284"/>
      <c r="Z25" s="129"/>
      <c r="AA25" s="129"/>
    </row>
    <row r="26" spans="2:29">
      <c r="B26" s="109">
        <f t="shared" si="0"/>
        <v>2032</v>
      </c>
      <c r="C26" s="274">
        <f>IRP_LTReport!R84</f>
        <v>1511.796053283824</v>
      </c>
      <c r="D26" s="111">
        <f>C26*$C$62</f>
        <v>100.64026326710417</v>
      </c>
      <c r="E26" s="281">
        <f>IRP_LTReport!L84</f>
        <v>56.337573606160873</v>
      </c>
      <c r="F26" s="111">
        <f>$C$60</f>
        <v>9.9589850579713239</v>
      </c>
      <c r="G26" s="112">
        <f t="shared" ref="G26:G37" si="3">(D26+E26+F26)/(8.76*$C$63)</f>
        <v>51.43512775538148</v>
      </c>
      <c r="H26" s="111"/>
      <c r="I26" s="111">
        <v>-41.11</v>
      </c>
      <c r="J26" s="112">
        <f t="shared" ref="J26:J37" si="4">(G26+H26+I26)</f>
        <v>10.32512775538148</v>
      </c>
      <c r="K26" s="112">
        <f t="shared" ref="K26:K37" si="5">ROUND(J26*$C$63*8.76,2)</f>
        <v>33.51</v>
      </c>
      <c r="L26" s="111">
        <f t="shared" ref="L26:L37" si="6">(D26+E26+F26)</f>
        <v>166.93682193123638</v>
      </c>
      <c r="P26" s="129">
        <f t="shared" si="2"/>
        <v>-6.1035126464048517E-7</v>
      </c>
      <c r="Q26" s="112">
        <v>-41.110000610351264</v>
      </c>
      <c r="T26" s="102">
        <f>T25*IRP_PTC_ESC!Q68</f>
        <v>1511.7960138487001</v>
      </c>
      <c r="U26" s="284">
        <f t="shared" ref="U26" si="7">T26-C26</f>
        <v>-3.9435123881048639E-5</v>
      </c>
      <c r="V26" s="129"/>
      <c r="W26" s="129"/>
      <c r="X26" s="277">
        <f t="shared" si="1"/>
        <v>56.184514699125295</v>
      </c>
      <c r="Y26" s="284">
        <f t="shared" ref="Y26" si="8">X26-E26</f>
        <v>-0.15305890703557878</v>
      </c>
      <c r="Z26" s="129"/>
      <c r="AA26" s="129"/>
    </row>
    <row r="27" spans="2:29">
      <c r="B27" s="109">
        <f t="shared" si="0"/>
        <v>2033</v>
      </c>
      <c r="C27" s="113"/>
      <c r="D27" s="111">
        <f t="shared" ref="D27:F37" si="9">ROUND(D26*(1+IRP23_Infl_Rate),2)</f>
        <v>102.92</v>
      </c>
      <c r="E27" s="111">
        <f t="shared" si="9"/>
        <v>57.62</v>
      </c>
      <c r="F27" s="111">
        <f t="shared" si="9"/>
        <v>10.19</v>
      </c>
      <c r="G27" s="112">
        <f t="shared" si="3"/>
        <v>52.603848929707731</v>
      </c>
      <c r="H27" s="111"/>
      <c r="I27" s="111">
        <v>-42.43</v>
      </c>
      <c r="J27" s="112">
        <f t="shared" si="4"/>
        <v>10.173848929707731</v>
      </c>
      <c r="K27" s="112">
        <f t="shared" si="5"/>
        <v>33.020000000000003</v>
      </c>
      <c r="L27" s="111">
        <f t="shared" si="6"/>
        <v>170.73</v>
      </c>
      <c r="P27" s="129">
        <f t="shared" si="2"/>
        <v>-3.0517541915742186E-7</v>
      </c>
      <c r="Q27" s="112">
        <v>-42.430000305175419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9"/>
        <v>105.26</v>
      </c>
      <c r="E28" s="111">
        <f t="shared" si="9"/>
        <v>58.93</v>
      </c>
      <c r="F28" s="111">
        <f t="shared" si="9"/>
        <v>10.42</v>
      </c>
      <c r="G28" s="112">
        <f t="shared" si="3"/>
        <v>53.799320925533102</v>
      </c>
      <c r="H28" s="111"/>
      <c r="I28" s="111">
        <v>-43.76</v>
      </c>
      <c r="J28" s="112">
        <f t="shared" si="4"/>
        <v>10.039320925533104</v>
      </c>
      <c r="K28" s="112">
        <f t="shared" si="5"/>
        <v>32.58</v>
      </c>
      <c r="L28" s="111">
        <f t="shared" si="6"/>
        <v>174.60999999999999</v>
      </c>
      <c r="P28" s="129">
        <f t="shared" si="2"/>
        <v>3.1263880373444408E-13</v>
      </c>
      <c r="Q28" s="112">
        <v>-43.759999999999685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9"/>
        <v>107.65</v>
      </c>
      <c r="E29" s="111">
        <f t="shared" si="9"/>
        <v>60.27</v>
      </c>
      <c r="F29" s="111">
        <f t="shared" si="9"/>
        <v>10.66</v>
      </c>
      <c r="G29" s="112">
        <f t="shared" si="3"/>
        <v>55.022522941880212</v>
      </c>
      <c r="H29" s="111"/>
      <c r="I29" s="111">
        <v>-43.76</v>
      </c>
      <c r="J29" s="112">
        <f t="shared" si="4"/>
        <v>11.262522941880214</v>
      </c>
      <c r="K29" s="112">
        <f t="shared" si="5"/>
        <v>36.549999999999997</v>
      </c>
      <c r="L29" s="111">
        <f t="shared" si="6"/>
        <v>178.58</v>
      </c>
      <c r="P29" s="129">
        <f t="shared" si="2"/>
        <v>1.6784671217351388E-6</v>
      </c>
      <c r="Q29" s="112">
        <v>-43.759998321532876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9"/>
        <v>110.09</v>
      </c>
      <c r="E30" s="111">
        <f t="shared" si="9"/>
        <v>61.64</v>
      </c>
      <c r="F30" s="111">
        <f t="shared" si="9"/>
        <v>10.9</v>
      </c>
      <c r="G30" s="112">
        <f t="shared" si="3"/>
        <v>56.270373865357726</v>
      </c>
      <c r="H30" s="111"/>
      <c r="I30" s="111">
        <v>-45.09</v>
      </c>
      <c r="J30" s="112">
        <f t="shared" si="4"/>
        <v>11.180373865357723</v>
      </c>
      <c r="K30" s="112">
        <f t="shared" si="5"/>
        <v>36.29</v>
      </c>
      <c r="L30" s="111">
        <f t="shared" si="6"/>
        <v>182.63000000000002</v>
      </c>
      <c r="P30" s="129">
        <f t="shared" si="2"/>
        <v>9.9981689454295974E-3</v>
      </c>
      <c r="Q30" s="112">
        <v>-45.080001831054574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9"/>
        <v>112.59</v>
      </c>
      <c r="E31" s="111">
        <f t="shared" si="9"/>
        <v>63.04</v>
      </c>
      <c r="F31" s="111">
        <f t="shared" si="9"/>
        <v>11.15</v>
      </c>
      <c r="G31" s="112">
        <f t="shared" si="3"/>
        <v>57.54903592274826</v>
      </c>
      <c r="H31" s="111"/>
      <c r="I31" s="111">
        <v>-46.41</v>
      </c>
      <c r="J31" s="112">
        <f t="shared" si="4"/>
        <v>11.139035922748263</v>
      </c>
      <c r="K31" s="112">
        <f t="shared" si="5"/>
        <v>36.15</v>
      </c>
      <c r="L31" s="111">
        <f t="shared" si="6"/>
        <v>186.78</v>
      </c>
      <c r="P31" s="129">
        <f t="shared" si="2"/>
        <v>3.907985046680551E-13</v>
      </c>
      <c r="Q31" s="112">
        <v>-46.409999999999606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9"/>
        <v>115.15</v>
      </c>
      <c r="E32" s="111">
        <f t="shared" si="9"/>
        <v>64.47</v>
      </c>
      <c r="F32" s="111">
        <f t="shared" si="9"/>
        <v>11.4</v>
      </c>
      <c r="G32" s="112">
        <f t="shared" si="3"/>
        <v>58.855428000660531</v>
      </c>
      <c r="H32" s="111"/>
      <c r="I32" s="111">
        <v>-46.41</v>
      </c>
      <c r="J32" s="112">
        <f t="shared" si="4"/>
        <v>12.445428000660534</v>
      </c>
      <c r="K32" s="112">
        <f t="shared" si="5"/>
        <v>40.39</v>
      </c>
      <c r="L32" s="111">
        <f t="shared" si="6"/>
        <v>191.02</v>
      </c>
      <c r="P32" s="129">
        <f t="shared" si="2"/>
        <v>1.525883348563184E-7</v>
      </c>
      <c r="Q32" s="112">
        <v>-46.409999847411662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9"/>
        <v>117.76</v>
      </c>
      <c r="E33" s="111">
        <f t="shared" si="9"/>
        <v>65.930000000000007</v>
      </c>
      <c r="F33" s="111">
        <f t="shared" si="9"/>
        <v>11.66</v>
      </c>
      <c r="G33" s="112">
        <f t="shared" si="3"/>
        <v>60.189550099094511</v>
      </c>
      <c r="H33" s="111"/>
      <c r="I33" s="111">
        <v>-47.74</v>
      </c>
      <c r="J33" s="112">
        <f t="shared" si="4"/>
        <v>12.449550099094509</v>
      </c>
      <c r="K33" s="112">
        <f t="shared" si="5"/>
        <v>40.409999999999997</v>
      </c>
      <c r="L33" s="111">
        <f t="shared" si="6"/>
        <v>195.35</v>
      </c>
      <c r="P33" s="129">
        <f t="shared" si="2"/>
        <v>-1.6784663827706936E-6</v>
      </c>
      <c r="Q33" s="112">
        <v>-47.740001678466385</v>
      </c>
    </row>
    <row r="34" spans="2:17">
      <c r="B34" s="109">
        <f t="shared" si="0"/>
        <v>2040</v>
      </c>
      <c r="C34" s="113"/>
      <c r="D34" s="111">
        <f t="shared" si="9"/>
        <v>120.43</v>
      </c>
      <c r="E34" s="111">
        <f t="shared" si="9"/>
        <v>67.430000000000007</v>
      </c>
      <c r="F34" s="111">
        <f t="shared" si="9"/>
        <v>11.92</v>
      </c>
      <c r="G34" s="112">
        <f t="shared" si="3"/>
        <v>61.554483331441524</v>
      </c>
      <c r="H34" s="111"/>
      <c r="I34" s="111">
        <v>-49.06</v>
      </c>
      <c r="J34" s="112">
        <f t="shared" si="4"/>
        <v>12.494483331441522</v>
      </c>
      <c r="K34" s="112">
        <f t="shared" si="5"/>
        <v>40.549999999999997</v>
      </c>
      <c r="L34" s="111">
        <f t="shared" si="6"/>
        <v>199.78</v>
      </c>
      <c r="P34" s="129">
        <f t="shared" si="2"/>
        <v>-1.3732907291341689E-6</v>
      </c>
      <c r="Q34" s="112">
        <v>-49.060001373290731</v>
      </c>
    </row>
    <row r="35" spans="2:17">
      <c r="B35" s="109">
        <f t="shared" si="0"/>
        <v>2041</v>
      </c>
      <c r="C35" s="113"/>
      <c r="D35" s="111">
        <f t="shared" si="9"/>
        <v>123.16</v>
      </c>
      <c r="E35" s="111">
        <f t="shared" si="9"/>
        <v>68.959999999999994</v>
      </c>
      <c r="F35" s="111">
        <f t="shared" si="9"/>
        <v>12.19</v>
      </c>
      <c r="G35" s="112">
        <f t="shared" si="3"/>
        <v>62.950227697701564</v>
      </c>
      <c r="H35" s="111"/>
      <c r="I35" s="111">
        <v>-50.39</v>
      </c>
      <c r="J35" s="112">
        <f t="shared" si="4"/>
        <v>12.560227697701563</v>
      </c>
      <c r="K35" s="112">
        <f t="shared" si="5"/>
        <v>40.770000000000003</v>
      </c>
      <c r="L35" s="111">
        <f t="shared" si="6"/>
        <v>204.31</v>
      </c>
      <c r="P35" s="129">
        <f t="shared" si="2"/>
        <v>4.8316906031686813E-13</v>
      </c>
      <c r="Q35" s="112">
        <v>-50.389999999999517</v>
      </c>
    </row>
    <row r="36" spans="2:17">
      <c r="B36" s="109">
        <f t="shared" si="0"/>
        <v>2042</v>
      </c>
      <c r="C36" s="113"/>
      <c r="D36" s="111">
        <f t="shared" si="9"/>
        <v>125.96</v>
      </c>
      <c r="E36" s="111">
        <f t="shared" si="9"/>
        <v>70.53</v>
      </c>
      <c r="F36" s="111">
        <f t="shared" si="9"/>
        <v>12.47</v>
      </c>
      <c r="G36" s="112">
        <f t="shared" si="3"/>
        <v>64.382945424657223</v>
      </c>
      <c r="H36" s="111"/>
      <c r="I36" s="111"/>
      <c r="J36" s="112">
        <f t="shared" si="4"/>
        <v>64.382945424657223</v>
      </c>
      <c r="K36" s="112">
        <f t="shared" si="5"/>
        <v>208.96</v>
      </c>
      <c r="L36" s="111">
        <f t="shared" si="6"/>
        <v>208.96</v>
      </c>
      <c r="P36" s="129">
        <f t="shared" si="2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9"/>
        <v>128.82</v>
      </c>
      <c r="E37" s="111">
        <f t="shared" si="9"/>
        <v>72.13</v>
      </c>
      <c r="F37" s="111">
        <f t="shared" si="9"/>
        <v>12.75</v>
      </c>
      <c r="G37" s="112">
        <f t="shared" si="3"/>
        <v>65.843393172134611</v>
      </c>
      <c r="H37" s="111"/>
      <c r="I37" s="111"/>
      <c r="J37" s="112">
        <f t="shared" si="4"/>
        <v>65.843393172134611</v>
      </c>
      <c r="K37" s="112">
        <f t="shared" si="5"/>
        <v>213.7</v>
      </c>
      <c r="L37" s="111">
        <f t="shared" si="6"/>
        <v>213.7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-PMT(Discount_Rate,COUNT(J21:J37),NPV(Discount_Rate,J21:J37))</f>
        <v>17.547537759051274</v>
      </c>
      <c r="K39" s="287">
        <f>-PMT(Discount_Rate,COUNT(K21:K37),NPV(Discount_Rate,K21:K37))</f>
        <v>56.951470955442389</v>
      </c>
      <c r="L39" s="287">
        <f>-PMT(Discount_Rate,COUNT(L21:L37),NPV(Discount_Rate,L21:L37))</f>
        <v>186.17826550247585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37.0%)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WD_.PX.WWA._.PTC.WD - 37%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2032</v>
      </c>
      <c r="T54" s="273" t="s">
        <v>447</v>
      </c>
    </row>
    <row r="55" spans="2:20">
      <c r="B55" t="s">
        <v>152</v>
      </c>
      <c r="C55" s="267"/>
      <c r="D55" s="102" t="s">
        <v>65</v>
      </c>
      <c r="P55" s="226">
        <v>337.75560000000002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2025$</v>
      </c>
      <c r="C60" s="223">
        <f>IFERROR(INDEX('Table 3 TransCost'!$39:$39,1,MATCH(F60,'Table 3 TransCost'!$4:$4,0)+2),0)+IFERROR(INDEX('Table 3 TransCost'!$39:$39,1,MATCH(F61,'Table 3 TransCost'!$4:$4,0)+2),0)</f>
        <v>9.9589850579713239</v>
      </c>
      <c r="D60" s="102" t="s">
        <v>137</v>
      </c>
      <c r="F60" s="102" t="s">
        <v>352</v>
      </c>
      <c r="L60" s="270"/>
      <c r="M60" s="270"/>
      <c r="N60" s="270"/>
      <c r="P60" s="127"/>
    </row>
    <row r="61" spans="2:20">
      <c r="B61" s="250"/>
      <c r="C61" s="223"/>
      <c r="F61" s="102" t="s">
        <v>450</v>
      </c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0.37049999997985972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FCA0-26DB-401B-9FDD-E9C5CB3C60F4}">
  <sheetPr>
    <tabColor rgb="FFFFC000"/>
    <pageSetUpPr fitToPage="1"/>
  </sheetPr>
  <dimension ref="B1:AC91"/>
  <sheetViews>
    <sheetView topLeftCell="A52" zoomScale="80" zoomScaleNormal="80" zoomScaleSheetLayoutView="70" workbookViewId="0">
      <selection activeCell="B52" sqref="B52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WD_.PX.YAK._.PTC.WD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37%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291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WD_.PX.YAK._.PTC.WD - 37%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1660.3374057392646</v>
      </c>
      <c r="S16" s="284">
        <f>T16-R16</f>
        <v>8.3325942607355046</v>
      </c>
      <c r="T16" s="113">
        <v>1668.67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T16*IRP_PTC_ESC!Q59</f>
        <v>2124.383777</v>
      </c>
      <c r="X17" s="277">
        <f t="shared" ref="X17:X26" si="1"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T17*IRP_PTC_ESC!Q60</f>
        <v>2124.383777</v>
      </c>
      <c r="X18" s="277">
        <f t="shared" si="1"/>
        <v>46.949458361730954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277"/>
      <c r="S19" s="277"/>
      <c r="T19" s="102">
        <f>T18*IRP_PTC_ESC!Q61</f>
        <v>2124.383777</v>
      </c>
      <c r="U19" s="284"/>
      <c r="X19" s="277">
        <f t="shared" si="1"/>
        <v>48.015211066753942</v>
      </c>
      <c r="Y19" s="284"/>
    </row>
    <row r="20" spans="2:29">
      <c r="B20" s="109">
        <f t="shared" si="0"/>
        <v>2026</v>
      </c>
      <c r="C20" s="113"/>
      <c r="D20" s="111"/>
      <c r="E20" s="111"/>
      <c r="F20" s="111"/>
      <c r="G20" s="112"/>
      <c r="H20" s="111"/>
      <c r="I20" s="111"/>
      <c r="J20" s="112"/>
      <c r="K20" s="112"/>
      <c r="L20" s="111"/>
      <c r="P20" s="129">
        <f t="shared" ref="P20:P36" si="2">Q20-I20</f>
        <v>0</v>
      </c>
      <c r="Q20" s="112">
        <v>0</v>
      </c>
      <c r="T20" s="102">
        <f>T19*IRP_PTC_ESC!Q62</f>
        <v>2124.383777</v>
      </c>
      <c r="U20" s="284"/>
      <c r="W20" s="129"/>
      <c r="X20" s="277">
        <f t="shared" si="1"/>
        <v>49.105156358185759</v>
      </c>
      <c r="Y20" s="284"/>
    </row>
    <row r="21" spans="2:29">
      <c r="B21" s="109">
        <f t="shared" si="0"/>
        <v>2027</v>
      </c>
      <c r="C21" s="113"/>
      <c r="D21" s="111"/>
      <c r="E21" s="111"/>
      <c r="F21" s="111"/>
      <c r="G21" s="112"/>
      <c r="H21" s="111"/>
      <c r="I21" s="111"/>
      <c r="J21" s="112"/>
      <c r="K21" s="112"/>
      <c r="L21" s="111"/>
      <c r="P21" s="129">
        <f t="shared" si="2"/>
        <v>0</v>
      </c>
      <c r="Q21" s="112">
        <v>0</v>
      </c>
      <c r="T21" s="102">
        <f>T20*IRP_PTC_ESC!Q63</f>
        <v>2124.383777</v>
      </c>
      <c r="U21" s="284"/>
      <c r="V21" s="129"/>
      <c r="W21" s="129"/>
      <c r="X21" s="277">
        <f t="shared" si="1"/>
        <v>50.21984340773799</v>
      </c>
      <c r="Y21" s="284"/>
      <c r="Z21" s="129"/>
    </row>
    <row r="22" spans="2:29">
      <c r="B22" s="109">
        <f t="shared" si="0"/>
        <v>2028</v>
      </c>
      <c r="C22" s="113"/>
      <c r="D22" s="111"/>
      <c r="E22" s="111"/>
      <c r="F22" s="111"/>
      <c r="G22" s="112"/>
      <c r="H22" s="111"/>
      <c r="I22" s="111"/>
      <c r="J22" s="112"/>
      <c r="K22" s="112"/>
      <c r="L22" s="111"/>
      <c r="P22" s="129">
        <f t="shared" si="2"/>
        <v>0</v>
      </c>
      <c r="Q22" s="112">
        <v>0</v>
      </c>
      <c r="T22" s="102">
        <f>T21*IRP_PTC_ESC!Q64</f>
        <v>2124.383777</v>
      </c>
      <c r="U22" s="284"/>
      <c r="V22" s="129"/>
      <c r="W22" s="129"/>
      <c r="X22" s="277">
        <f t="shared" si="1"/>
        <v>51.359833853320083</v>
      </c>
      <c r="Y22" s="284"/>
      <c r="Z22" s="129"/>
      <c r="AA22" s="129"/>
    </row>
    <row r="23" spans="2:29">
      <c r="B23" s="109">
        <f t="shared" si="0"/>
        <v>2029</v>
      </c>
      <c r="C23" s="113"/>
      <c r="D23" s="111"/>
      <c r="E23" s="111"/>
      <c r="F23" s="111"/>
      <c r="G23" s="112"/>
      <c r="H23" s="111"/>
      <c r="I23" s="111"/>
      <c r="J23" s="112"/>
      <c r="K23" s="112"/>
      <c r="L23" s="111"/>
      <c r="P23" s="129">
        <f t="shared" si="2"/>
        <v>0</v>
      </c>
      <c r="Q23" s="112">
        <v>0</v>
      </c>
      <c r="T23" s="102">
        <f>T22*IRP_PTC_ESC!Q65</f>
        <v>1971.4281450560002</v>
      </c>
      <c r="U23" s="284"/>
      <c r="V23" s="129"/>
      <c r="W23" s="129"/>
      <c r="X23" s="277">
        <f t="shared" si="1"/>
        <v>52.525702082022029</v>
      </c>
      <c r="Y23" s="284"/>
      <c r="Z23" s="129"/>
      <c r="AA23" s="129"/>
    </row>
    <row r="24" spans="2:29">
      <c r="B24" s="109">
        <f t="shared" si="0"/>
        <v>2030</v>
      </c>
      <c r="C24" s="113"/>
      <c r="D24" s="111"/>
      <c r="E24" s="111"/>
      <c r="F24" s="111"/>
      <c r="G24" s="112"/>
      <c r="H24" s="111"/>
      <c r="I24" s="111"/>
      <c r="J24" s="112"/>
      <c r="K24" s="112"/>
      <c r="L24" s="111"/>
      <c r="P24" s="129">
        <f t="shared" si="2"/>
        <v>0</v>
      </c>
      <c r="Q24" s="112">
        <v>0</v>
      </c>
      <c r="T24" s="102">
        <f>T23*IRP_PTC_ESC!Q66</f>
        <v>1817.6567504091001</v>
      </c>
      <c r="U24" s="284"/>
      <c r="V24" s="129"/>
      <c r="W24" s="129"/>
      <c r="X24" s="277">
        <f t="shared" si="1"/>
        <v>53.718035519520768</v>
      </c>
      <c r="Y24" s="284"/>
      <c r="Z24" s="129"/>
      <c r="AA24" s="129"/>
    </row>
    <row r="25" spans="2:29">
      <c r="B25" s="109">
        <f t="shared" si="0"/>
        <v>2031</v>
      </c>
      <c r="C25" s="113"/>
      <c r="D25" s="111"/>
      <c r="E25" s="111"/>
      <c r="F25" s="111"/>
      <c r="G25" s="112"/>
      <c r="H25" s="111"/>
      <c r="I25" s="111"/>
      <c r="J25" s="112"/>
      <c r="K25" s="112"/>
      <c r="L25" s="111"/>
      <c r="P25" s="129">
        <f t="shared" si="2"/>
        <v>0</v>
      </c>
      <c r="Q25" s="112">
        <v>0</v>
      </c>
      <c r="T25" s="102">
        <f>T24*IRP_PTC_ESC!Q67</f>
        <v>1664.9735822400403</v>
      </c>
      <c r="U25" s="284"/>
      <c r="V25" s="129"/>
      <c r="W25" s="129"/>
      <c r="X25" s="277">
        <f t="shared" si="1"/>
        <v>54.937434926056106</v>
      </c>
      <c r="Y25" s="284"/>
      <c r="Z25" s="129"/>
      <c r="AA25" s="129"/>
    </row>
    <row r="26" spans="2:29">
      <c r="B26" s="109">
        <f t="shared" si="0"/>
        <v>2032</v>
      </c>
      <c r="C26" s="274">
        <f>IRP_LTReport!R80</f>
        <v>1511.7960532838156</v>
      </c>
      <c r="D26" s="111">
        <f>C26*$C$62</f>
        <v>100.64026326710361</v>
      </c>
      <c r="E26" s="281">
        <f>IRP_LTReport!L80</f>
        <v>56.337573606161222</v>
      </c>
      <c r="F26" s="111">
        <f>$C$60</f>
        <v>56.01992637654066</v>
      </c>
      <c r="G26" s="112">
        <f t="shared" ref="G26:G37" si="3">(D26+E26+F26)/(8.76*$C$63)</f>
        <v>65.627026066645712</v>
      </c>
      <c r="H26" s="111"/>
      <c r="I26" s="111">
        <v>-41.11</v>
      </c>
      <c r="J26" s="112">
        <f t="shared" ref="J26:J37" si="4">(G26+H26+I26)</f>
        <v>24.517026066645712</v>
      </c>
      <c r="K26" s="112">
        <f t="shared" ref="K26:K37" si="5">ROUND(J26*$C$63*8.76,2)</f>
        <v>79.569999999999993</v>
      </c>
      <c r="L26" s="111">
        <f t="shared" ref="L26:L37" si="6">(D26+E26+F26)</f>
        <v>212.9977632498055</v>
      </c>
      <c r="P26" s="129">
        <f t="shared" si="2"/>
        <v>-6.1035217413518694E-7</v>
      </c>
      <c r="Q26" s="112">
        <v>-41.110000610352174</v>
      </c>
      <c r="T26" s="102">
        <f>T25*IRP_PTC_ESC!Q68</f>
        <v>1511.7960138487001</v>
      </c>
      <c r="U26" s="284">
        <f t="shared" ref="U26" si="7">T26-C26</f>
        <v>-3.9435115468222648E-5</v>
      </c>
      <c r="V26" s="129"/>
      <c r="W26" s="129"/>
      <c r="X26" s="277">
        <f t="shared" si="1"/>
        <v>56.184514699125295</v>
      </c>
      <c r="Y26" s="284">
        <f t="shared" ref="Y26" si="8">X26-E26</f>
        <v>-0.15305890703592695</v>
      </c>
      <c r="Z26" s="129"/>
      <c r="AA26" s="129"/>
    </row>
    <row r="27" spans="2:29">
      <c r="B27" s="109">
        <f t="shared" si="0"/>
        <v>2033</v>
      </c>
      <c r="C27" s="113"/>
      <c r="D27" s="111">
        <f t="shared" ref="D27:F37" si="9">ROUND(D26*(1+IRP23_Infl_Rate),2)</f>
        <v>102.92</v>
      </c>
      <c r="E27" s="111">
        <f t="shared" si="9"/>
        <v>57.62</v>
      </c>
      <c r="F27" s="111">
        <f t="shared" si="9"/>
        <v>57.29</v>
      </c>
      <c r="G27" s="112">
        <f t="shared" si="3"/>
        <v>67.115893002742553</v>
      </c>
      <c r="H27" s="111"/>
      <c r="I27" s="111">
        <v>-42.43</v>
      </c>
      <c r="J27" s="112">
        <f t="shared" si="4"/>
        <v>24.685893002742553</v>
      </c>
      <c r="K27" s="112">
        <f t="shared" si="5"/>
        <v>80.12</v>
      </c>
      <c r="L27" s="111">
        <f t="shared" si="6"/>
        <v>217.82999999999998</v>
      </c>
      <c r="P27" s="129">
        <f t="shared" si="2"/>
        <v>-3.051764849715255E-7</v>
      </c>
      <c r="Q27" s="112">
        <v>-42.430000305176485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9"/>
        <v>105.26</v>
      </c>
      <c r="E28" s="111">
        <f t="shared" si="9"/>
        <v>58.93</v>
      </c>
      <c r="F28" s="111">
        <f t="shared" si="9"/>
        <v>58.59</v>
      </c>
      <c r="G28" s="112">
        <f t="shared" si="3"/>
        <v>68.641044131437297</v>
      </c>
      <c r="H28" s="111"/>
      <c r="I28" s="111">
        <v>-43.76</v>
      </c>
      <c r="J28" s="112">
        <f t="shared" si="4"/>
        <v>24.881044131437299</v>
      </c>
      <c r="K28" s="112">
        <f t="shared" si="5"/>
        <v>80.75</v>
      </c>
      <c r="L28" s="111">
        <f t="shared" si="6"/>
        <v>222.78</v>
      </c>
      <c r="P28" s="129">
        <f t="shared" si="2"/>
        <v>-8.9528384705772623E-13</v>
      </c>
      <c r="Q28" s="112">
        <v>-43.760000000000893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9"/>
        <v>107.65</v>
      </c>
      <c r="E29" s="111">
        <f t="shared" si="9"/>
        <v>60.27</v>
      </c>
      <c r="F29" s="111">
        <f t="shared" si="9"/>
        <v>59.92</v>
      </c>
      <c r="G29" s="112">
        <f t="shared" si="3"/>
        <v>70.200087507436379</v>
      </c>
      <c r="H29" s="111"/>
      <c r="I29" s="111">
        <v>-43.76</v>
      </c>
      <c r="J29" s="112">
        <f t="shared" si="4"/>
        <v>26.440087507436381</v>
      </c>
      <c r="K29" s="112">
        <f t="shared" si="5"/>
        <v>85.81</v>
      </c>
      <c r="L29" s="111">
        <f t="shared" si="6"/>
        <v>227.84000000000003</v>
      </c>
      <c r="P29" s="129">
        <f t="shared" si="2"/>
        <v>1.6784659990776163E-6</v>
      </c>
      <c r="Q29" s="112">
        <v>-43.759998321533999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9"/>
        <v>110.09</v>
      </c>
      <c r="E30" s="111">
        <f t="shared" si="9"/>
        <v>61.64</v>
      </c>
      <c r="F30" s="111">
        <f t="shared" si="9"/>
        <v>61.28</v>
      </c>
      <c r="G30" s="112">
        <f t="shared" si="3"/>
        <v>71.793023130739769</v>
      </c>
      <c r="H30" s="111"/>
      <c r="I30" s="111">
        <v>-45.09</v>
      </c>
      <c r="J30" s="112">
        <f t="shared" si="4"/>
        <v>26.703023130739766</v>
      </c>
      <c r="K30" s="112">
        <f t="shared" si="5"/>
        <v>86.67</v>
      </c>
      <c r="L30" s="111">
        <f t="shared" si="6"/>
        <v>233.01000000000002</v>
      </c>
      <c r="P30" s="129">
        <f t="shared" si="2"/>
        <v>9.9981689445272082E-3</v>
      </c>
      <c r="Q30" s="112">
        <v>-45.080001831055476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9"/>
        <v>112.59</v>
      </c>
      <c r="E31" s="111">
        <f t="shared" si="9"/>
        <v>63.04</v>
      </c>
      <c r="F31" s="111">
        <f t="shared" si="9"/>
        <v>62.67</v>
      </c>
      <c r="G31" s="112">
        <f t="shared" si="3"/>
        <v>73.422932114738785</v>
      </c>
      <c r="H31" s="111"/>
      <c r="I31" s="111">
        <v>-46.41</v>
      </c>
      <c r="J31" s="112">
        <f t="shared" si="4"/>
        <v>27.012932114738788</v>
      </c>
      <c r="K31" s="112">
        <f t="shared" si="5"/>
        <v>87.67</v>
      </c>
      <c r="L31" s="111">
        <f t="shared" si="6"/>
        <v>238.3</v>
      </c>
      <c r="P31" s="129">
        <f t="shared" si="2"/>
        <v>-8.3844042819691822E-13</v>
      </c>
      <c r="Q31" s="112">
        <v>-46.410000000000835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9"/>
        <v>115.15</v>
      </c>
      <c r="E32" s="111">
        <f t="shared" si="9"/>
        <v>64.47</v>
      </c>
      <c r="F32" s="111">
        <f t="shared" si="9"/>
        <v>64.09</v>
      </c>
      <c r="G32" s="112">
        <f t="shared" si="3"/>
        <v>75.089814459433441</v>
      </c>
      <c r="H32" s="111"/>
      <c r="I32" s="111">
        <v>-46.41</v>
      </c>
      <c r="J32" s="112">
        <f t="shared" si="4"/>
        <v>28.679814459433445</v>
      </c>
      <c r="K32" s="112">
        <f t="shared" si="5"/>
        <v>93.08</v>
      </c>
      <c r="L32" s="111">
        <f t="shared" si="6"/>
        <v>243.71</v>
      </c>
      <c r="P32" s="129">
        <f t="shared" si="2"/>
        <v>1.5258704877396667E-7</v>
      </c>
      <c r="Q32" s="112">
        <v>-46.409999847412948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9"/>
        <v>117.76</v>
      </c>
      <c r="E33" s="111">
        <f t="shared" si="9"/>
        <v>65.930000000000007</v>
      </c>
      <c r="F33" s="111">
        <f t="shared" si="9"/>
        <v>65.540000000000006</v>
      </c>
      <c r="G33" s="112">
        <f t="shared" si="3"/>
        <v>76.790589051432434</v>
      </c>
      <c r="H33" s="111"/>
      <c r="I33" s="111">
        <v>-47.74</v>
      </c>
      <c r="J33" s="112">
        <f t="shared" si="4"/>
        <v>29.050589051432432</v>
      </c>
      <c r="K33" s="112">
        <f t="shared" si="5"/>
        <v>94.29</v>
      </c>
      <c r="L33" s="111">
        <f t="shared" si="6"/>
        <v>249.23000000000002</v>
      </c>
      <c r="P33" s="129">
        <f t="shared" si="2"/>
        <v>-1.6784676759584727E-6</v>
      </c>
      <c r="Q33" s="112">
        <v>-47.740001678467678</v>
      </c>
    </row>
    <row r="34" spans="2:17">
      <c r="B34" s="109">
        <f t="shared" si="0"/>
        <v>2040</v>
      </c>
      <c r="C34" s="113"/>
      <c r="D34" s="111">
        <f t="shared" si="9"/>
        <v>120.43</v>
      </c>
      <c r="E34" s="111">
        <f t="shared" si="9"/>
        <v>67.430000000000007</v>
      </c>
      <c r="F34" s="111">
        <f t="shared" si="9"/>
        <v>67.03</v>
      </c>
      <c r="G34" s="112">
        <f t="shared" si="3"/>
        <v>78.53449923090966</v>
      </c>
      <c r="H34" s="111"/>
      <c r="I34" s="111">
        <v>-49.06</v>
      </c>
      <c r="J34" s="112">
        <f t="shared" si="4"/>
        <v>29.474499230909657</v>
      </c>
      <c r="K34" s="112">
        <f t="shared" si="5"/>
        <v>95.66</v>
      </c>
      <c r="L34" s="111">
        <f t="shared" si="6"/>
        <v>254.89000000000001</v>
      </c>
      <c r="P34" s="129">
        <f t="shared" si="2"/>
        <v>-1.3732917381048537E-6</v>
      </c>
      <c r="Q34" s="112">
        <v>-49.06000137329174</v>
      </c>
    </row>
    <row r="35" spans="2:17">
      <c r="B35" s="109">
        <f t="shared" si="0"/>
        <v>2041</v>
      </c>
      <c r="C35" s="113"/>
      <c r="D35" s="111">
        <f t="shared" si="9"/>
        <v>123.16</v>
      </c>
      <c r="E35" s="111">
        <f t="shared" si="9"/>
        <v>68.959999999999994</v>
      </c>
      <c r="F35" s="111">
        <f t="shared" si="9"/>
        <v>68.55</v>
      </c>
      <c r="G35" s="112">
        <f t="shared" si="3"/>
        <v>80.315382771082511</v>
      </c>
      <c r="H35" s="111"/>
      <c r="I35" s="111">
        <v>-50.39</v>
      </c>
      <c r="J35" s="112">
        <f t="shared" si="4"/>
        <v>29.925382771082511</v>
      </c>
      <c r="K35" s="112">
        <f t="shared" si="5"/>
        <v>97.13</v>
      </c>
      <c r="L35" s="111">
        <f t="shared" si="6"/>
        <v>260.67</v>
      </c>
      <c r="P35" s="129">
        <f t="shared" si="2"/>
        <v>-8.5265128291212022E-13</v>
      </c>
      <c r="Q35" s="112">
        <v>-50.390000000000853</v>
      </c>
    </row>
    <row r="36" spans="2:17">
      <c r="B36" s="109">
        <f t="shared" si="0"/>
        <v>2042</v>
      </c>
      <c r="C36" s="113"/>
      <c r="D36" s="111">
        <f t="shared" si="9"/>
        <v>125.96</v>
      </c>
      <c r="E36" s="111">
        <f t="shared" si="9"/>
        <v>70.53</v>
      </c>
      <c r="F36" s="111">
        <f t="shared" si="9"/>
        <v>70.11</v>
      </c>
      <c r="G36" s="112">
        <f t="shared" si="3"/>
        <v>82.142483012124899</v>
      </c>
      <c r="H36" s="111"/>
      <c r="I36" s="111"/>
      <c r="J36" s="112">
        <f t="shared" si="4"/>
        <v>82.142483012124899</v>
      </c>
      <c r="K36" s="112">
        <f t="shared" si="5"/>
        <v>266.60000000000002</v>
      </c>
      <c r="L36" s="111">
        <f t="shared" si="6"/>
        <v>266.60000000000002</v>
      </c>
      <c r="P36" s="129">
        <f t="shared" si="2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9"/>
        <v>128.82</v>
      </c>
      <c r="E37" s="111">
        <f t="shared" si="9"/>
        <v>72.13</v>
      </c>
      <c r="F37" s="111">
        <f t="shared" si="9"/>
        <v>71.7</v>
      </c>
      <c r="G37" s="112">
        <f t="shared" si="3"/>
        <v>84.006556613862898</v>
      </c>
      <c r="H37" s="111"/>
      <c r="I37" s="111"/>
      <c r="J37" s="112">
        <f t="shared" si="4"/>
        <v>84.006556613862898</v>
      </c>
      <c r="K37" s="112">
        <f t="shared" si="5"/>
        <v>272.64999999999998</v>
      </c>
      <c r="L37" s="111">
        <f t="shared" si="6"/>
        <v>272.64999999999998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-PMT(Discount_Rate,COUNT(J21:J37),NPV(Discount_Rate,J21:J37))</f>
        <v>33.371670929580169</v>
      </c>
      <c r="K39" s="287">
        <f>-PMT(Discount_Rate,COUNT(K21:K37),NPV(Discount_Rate,K21:K37))</f>
        <v>108.30985144569502</v>
      </c>
      <c r="L39" s="287">
        <f>-PMT(Discount_Rate,COUNT(L21:L37),NPV(Discount_Rate,L21:L37))</f>
        <v>237.53675563528913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37.0%)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WD_.PX.YAK._.PTC.WD - 37%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2032</v>
      </c>
      <c r="T54" s="273" t="s">
        <v>445</v>
      </c>
    </row>
    <row r="55" spans="2:20">
      <c r="B55" t="s">
        <v>152</v>
      </c>
      <c r="C55" s="267"/>
      <c r="D55" s="102" t="s">
        <v>65</v>
      </c>
      <c r="P55" s="226">
        <v>500.899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2028$</v>
      </c>
      <c r="C60" s="223">
        <f>IFERROR(INDEX('Table 3 TransCost'!$39:$39,1,MATCH(F60,'Table 3 TransCost'!$4:$4,0)+2),0)+IFERROR(INDEX('Table 3 TransCost'!$39:$39,1,MATCH(F61,'Table 3 TransCost'!$4:$4,0)+2),0)++IFERROR(INDEX('Table 3 TransCost'!$39:$39,1,MATCH(F62,'Table 3 TransCost'!$4:$4,0)+2),0)+IFERROR(INDEX('Table 3 TransCost'!$39:$39,1,MATCH(F63,'Table 3 TransCost'!$4:$4,0)+2),0)</f>
        <v>56.01992637654066</v>
      </c>
      <c r="D60" s="102" t="s">
        <v>137</v>
      </c>
      <c r="F60" s="102" t="s">
        <v>370</v>
      </c>
      <c r="L60" s="270"/>
      <c r="M60" s="270"/>
      <c r="N60" s="270"/>
      <c r="P60" s="127"/>
    </row>
    <row r="61" spans="2:20">
      <c r="B61"/>
      <c r="C61" s="166"/>
      <c r="F61" s="102" t="s">
        <v>369</v>
      </c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0.37049999997985972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2BA8E-BB5F-4C0F-B1B1-E74CF27B84C8}">
  <sheetPr>
    <tabColor rgb="FFFFC000"/>
    <pageSetUpPr fitToPage="1"/>
  </sheetPr>
  <dimension ref="B1:AC91"/>
  <sheetViews>
    <sheetView view="pageBreakPreview" topLeftCell="A31" zoomScale="70" zoomScaleNormal="100" zoomScaleSheetLayoutView="70" workbookViewId="0">
      <selection activeCell="T54" sqref="T5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WD_.PX.WYE._.PTC.Djohns.WD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44%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WD_.PX.WYE._.PTC.Djohns.WD - 44%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1567.5293165999776</v>
      </c>
      <c r="S16" s="284">
        <f>T16-R16</f>
        <v>8.3306834000222807</v>
      </c>
      <c r="T16" s="113">
        <v>1575.86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P17" s="114"/>
      <c r="R17" s="277"/>
      <c r="S17" s="277"/>
      <c r="T17" s="102">
        <f>T16*IRP_PTC_ESC!Q59</f>
        <v>2006.2273659999996</v>
      </c>
      <c r="X17" s="277">
        <f t="shared" ref="X17:X26" si="1"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T17*IRP_PTC_ESC!Q60</f>
        <v>2006.2273659999996</v>
      </c>
      <c r="X18" s="277">
        <f t="shared" si="1"/>
        <v>46.949458361730954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277"/>
      <c r="S19" s="277"/>
      <c r="T19" s="102">
        <f>T18*IRP_PTC_ESC!Q61</f>
        <v>2006.2273659999996</v>
      </c>
      <c r="U19" s="284"/>
      <c r="X19" s="277">
        <f t="shared" si="1"/>
        <v>48.015211066753942</v>
      </c>
      <c r="Y19" s="284"/>
    </row>
    <row r="20" spans="2:29">
      <c r="B20" s="109">
        <f t="shared" si="0"/>
        <v>2026</v>
      </c>
      <c r="C20" s="113"/>
      <c r="D20" s="111"/>
      <c r="E20" s="111"/>
      <c r="F20" s="165"/>
      <c r="G20" s="112"/>
      <c r="H20" s="111"/>
      <c r="I20" s="111"/>
      <c r="J20" s="112"/>
      <c r="K20" s="112"/>
      <c r="L20" s="111"/>
      <c r="P20" s="129">
        <f t="shared" ref="P20:P36" si="2">Q20-I20</f>
        <v>0</v>
      </c>
      <c r="Q20" s="112">
        <v>0</v>
      </c>
      <c r="T20" s="102">
        <f>T19*IRP_PTC_ESC!Q62</f>
        <v>2006.2273659999996</v>
      </c>
      <c r="U20" s="284"/>
      <c r="W20" s="129"/>
      <c r="X20" s="277">
        <f t="shared" si="1"/>
        <v>49.105156358185759</v>
      </c>
      <c r="Y20" s="284"/>
    </row>
    <row r="21" spans="2:29">
      <c r="B21" s="109">
        <f t="shared" si="0"/>
        <v>2027</v>
      </c>
      <c r="C21" s="113"/>
      <c r="D21" s="111"/>
      <c r="E21" s="281"/>
      <c r="F21" s="111"/>
      <c r="G21" s="112"/>
      <c r="H21" s="111"/>
      <c r="I21" s="111"/>
      <c r="J21" s="112"/>
      <c r="K21" s="112"/>
      <c r="L21" s="111"/>
      <c r="P21" s="129">
        <f t="shared" si="2"/>
        <v>0</v>
      </c>
      <c r="Q21" s="112">
        <v>0</v>
      </c>
      <c r="T21" s="102">
        <f>T20*IRP_PTC_ESC!Q63</f>
        <v>2006.2273659999996</v>
      </c>
      <c r="U21" s="284"/>
      <c r="V21" s="129"/>
      <c r="W21" s="129"/>
      <c r="X21" s="277">
        <f t="shared" si="1"/>
        <v>50.21984340773799</v>
      </c>
      <c r="Y21" s="284"/>
      <c r="Z21" s="129"/>
    </row>
    <row r="22" spans="2:29">
      <c r="B22" s="109">
        <f t="shared" si="0"/>
        <v>2028</v>
      </c>
      <c r="C22" s="113"/>
      <c r="D22" s="111"/>
      <c r="E22" s="111"/>
      <c r="F22" s="111"/>
      <c r="G22" s="112"/>
      <c r="H22" s="111"/>
      <c r="I22" s="111"/>
      <c r="J22" s="112"/>
      <c r="K22" s="112"/>
      <c r="L22" s="111"/>
      <c r="P22" s="129">
        <f t="shared" si="2"/>
        <v>0</v>
      </c>
      <c r="Q22" s="112">
        <v>0</v>
      </c>
      <c r="T22" s="102">
        <f>T21*IRP_PTC_ESC!Q64</f>
        <v>2006.2273659999996</v>
      </c>
      <c r="U22" s="284"/>
      <c r="V22" s="129"/>
      <c r="W22" s="129"/>
      <c r="X22" s="277">
        <f t="shared" si="1"/>
        <v>51.359833853320083</v>
      </c>
      <c r="Y22" s="284"/>
      <c r="Z22" s="129"/>
      <c r="AA22" s="129"/>
    </row>
    <row r="23" spans="2:29">
      <c r="B23" s="109">
        <f t="shared" si="0"/>
        <v>2029</v>
      </c>
      <c r="C23" s="113"/>
      <c r="D23" s="111"/>
      <c r="E23" s="111"/>
      <c r="F23" s="111"/>
      <c r="G23" s="112"/>
      <c r="H23" s="111"/>
      <c r="I23" s="111"/>
      <c r="J23" s="112"/>
      <c r="K23" s="112"/>
      <c r="L23" s="111"/>
      <c r="P23" s="129">
        <f t="shared" si="2"/>
        <v>0</v>
      </c>
      <c r="Q23" s="112">
        <v>0</v>
      </c>
      <c r="T23" s="102">
        <f>T22*IRP_PTC_ESC!Q65</f>
        <v>1861.7789956479996</v>
      </c>
      <c r="U23" s="284"/>
      <c r="V23" s="129"/>
      <c r="W23" s="129"/>
      <c r="X23" s="277">
        <f t="shared" si="1"/>
        <v>52.525702082022029</v>
      </c>
      <c r="Y23" s="284"/>
      <c r="Z23" s="129"/>
      <c r="AA23" s="129"/>
    </row>
    <row r="24" spans="2:29">
      <c r="B24" s="109">
        <f t="shared" si="0"/>
        <v>2030</v>
      </c>
      <c r="C24" s="113"/>
      <c r="D24" s="111"/>
      <c r="E24" s="111"/>
      <c r="F24" s="111"/>
      <c r="G24" s="112"/>
      <c r="H24" s="111"/>
      <c r="I24" s="111"/>
      <c r="J24" s="112"/>
      <c r="K24" s="112"/>
      <c r="L24" s="111"/>
      <c r="P24" s="129">
        <f t="shared" si="2"/>
        <v>0</v>
      </c>
      <c r="Q24" s="112">
        <v>0</v>
      </c>
      <c r="T24" s="102">
        <f>T23*IRP_PTC_ESC!Q66</f>
        <v>1716.5602346177996</v>
      </c>
      <c r="U24" s="284"/>
      <c r="V24" s="129"/>
      <c r="W24" s="129"/>
      <c r="X24" s="277">
        <f t="shared" si="1"/>
        <v>53.718035519520768</v>
      </c>
      <c r="Y24" s="284"/>
      <c r="Z24" s="129"/>
      <c r="AA24" s="129"/>
    </row>
    <row r="25" spans="2:29">
      <c r="B25" s="109">
        <f t="shared" si="0"/>
        <v>2031</v>
      </c>
      <c r="C25" s="113"/>
      <c r="D25" s="111"/>
      <c r="E25" s="111"/>
      <c r="F25" s="111"/>
      <c r="G25" s="112"/>
      <c r="H25" s="111"/>
      <c r="I25" s="111"/>
      <c r="J25" s="112"/>
      <c r="K25" s="112"/>
      <c r="L25" s="111"/>
      <c r="P25" s="129">
        <f t="shared" si="2"/>
        <v>0</v>
      </c>
      <c r="Q25" s="112">
        <v>0</v>
      </c>
      <c r="T25" s="102">
        <f>T24*IRP_PTC_ESC!Q67</f>
        <v>1572.3691738383197</v>
      </c>
      <c r="U25" s="284"/>
      <c r="V25" s="129"/>
      <c r="W25" s="129"/>
      <c r="X25" s="277">
        <f t="shared" si="1"/>
        <v>54.937434926056106</v>
      </c>
      <c r="Y25" s="284"/>
      <c r="Z25" s="129"/>
      <c r="AA25" s="129"/>
    </row>
    <row r="26" spans="2:29">
      <c r="B26" s="109">
        <f t="shared" si="0"/>
        <v>2032</v>
      </c>
      <c r="C26" s="274">
        <f>IRP_LTReport!$R$86</f>
        <v>1427.7112481963691</v>
      </c>
      <c r="D26" s="111">
        <f>C26*$C$62</f>
        <v>95.042737792432291</v>
      </c>
      <c r="E26" s="281">
        <f>IRP_LTReport!$L$86</f>
        <v>56.337573606164192</v>
      </c>
      <c r="F26" s="111">
        <f t="shared" ref="D26:F37" si="3">ROUND(F25*(1+IRP23_Infl_Rate),2)</f>
        <v>0</v>
      </c>
      <c r="G26" s="112">
        <f t="shared" ref="G26:G37" si="4">(D26+E26+F26)/(8.76*$C$63)</f>
        <v>39.616821333294936</v>
      </c>
      <c r="H26" s="111"/>
      <c r="I26" s="111">
        <v>-41.11</v>
      </c>
      <c r="J26" s="112">
        <f t="shared" ref="J26:J37" si="5">(G26+H26+I26)</f>
        <v>-1.4931786667050631</v>
      </c>
      <c r="K26" s="112">
        <f t="shared" ref="K26:K37" si="6">ROUND(J26*$C$63*8.76,2)</f>
        <v>-5.71</v>
      </c>
      <c r="L26" s="111">
        <f t="shared" ref="L26:L37" si="7">(D26+E26+F26)</f>
        <v>151.38031139859649</v>
      </c>
      <c r="P26" s="129">
        <f t="shared" si="2"/>
        <v>-6.1034804588189218E-7</v>
      </c>
      <c r="Q26" s="112">
        <v>-41.110000610348045</v>
      </c>
      <c r="T26" s="102">
        <f>T25*IRP_PTC_ESC!Q68</f>
        <v>1427.7112109545997</v>
      </c>
      <c r="U26" s="284">
        <f t="shared" ref="U26" si="8">T26-C26</f>
        <v>-3.7241769405227387E-5</v>
      </c>
      <c r="V26" s="129"/>
      <c r="W26" s="129"/>
      <c r="X26" s="277">
        <f t="shared" si="1"/>
        <v>56.184514699125295</v>
      </c>
      <c r="Y26" s="284">
        <f t="shared" ref="Y26" si="9">X26-E26</f>
        <v>-0.15305890703889702</v>
      </c>
      <c r="Z26" s="129"/>
      <c r="AA26" s="129"/>
    </row>
    <row r="27" spans="2:29">
      <c r="B27" s="109">
        <f t="shared" si="0"/>
        <v>2033</v>
      </c>
      <c r="C27" s="113"/>
      <c r="D27" s="111">
        <f t="shared" si="3"/>
        <v>97.2</v>
      </c>
      <c r="E27" s="111">
        <f t="shared" si="3"/>
        <v>57.62</v>
      </c>
      <c r="F27" s="111">
        <f t="shared" si="3"/>
        <v>0</v>
      </c>
      <c r="G27" s="112">
        <f t="shared" si="4"/>
        <v>40.517001333619852</v>
      </c>
      <c r="H27" s="111"/>
      <c r="I27" s="111">
        <v>-42.43</v>
      </c>
      <c r="J27" s="112">
        <f t="shared" si="5"/>
        <v>-1.9129986663801475</v>
      </c>
      <c r="K27" s="112">
        <f t="shared" si="6"/>
        <v>-7.31</v>
      </c>
      <c r="L27" s="111">
        <f t="shared" si="7"/>
        <v>154.82</v>
      </c>
      <c r="P27" s="129">
        <f t="shared" si="2"/>
        <v>-3.0517201565771757E-7</v>
      </c>
      <c r="Q27" s="112">
        <v>-42.430000305172015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3"/>
        <v>99.41</v>
      </c>
      <c r="E28" s="111">
        <f t="shared" si="3"/>
        <v>58.93</v>
      </c>
      <c r="F28" s="111">
        <f t="shared" si="3"/>
        <v>0</v>
      </c>
      <c r="G28" s="112">
        <f t="shared" si="4"/>
        <v>41.438199142005992</v>
      </c>
      <c r="H28" s="111"/>
      <c r="I28" s="111">
        <v>-43.76</v>
      </c>
      <c r="J28" s="112">
        <f t="shared" si="5"/>
        <v>-2.3218008579940062</v>
      </c>
      <c r="K28" s="112">
        <f t="shared" si="6"/>
        <v>-8.8699999999999992</v>
      </c>
      <c r="L28" s="111">
        <f t="shared" si="7"/>
        <v>158.34</v>
      </c>
      <c r="P28" s="129">
        <f t="shared" si="2"/>
        <v>3.872457909892546E-12</v>
      </c>
      <c r="Q28" s="112">
        <v>-43.759999999996126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3"/>
        <v>101.67</v>
      </c>
      <c r="E29" s="111">
        <f t="shared" si="3"/>
        <v>60.27</v>
      </c>
      <c r="F29" s="111">
        <f t="shared" si="3"/>
        <v>0</v>
      </c>
      <c r="G29" s="112">
        <f t="shared" si="4"/>
        <v>42.380333264219082</v>
      </c>
      <c r="H29" s="111"/>
      <c r="I29" s="111">
        <v>-43.76</v>
      </c>
      <c r="J29" s="112">
        <f t="shared" si="5"/>
        <v>-1.3796667357809156</v>
      </c>
      <c r="K29" s="112">
        <f t="shared" si="6"/>
        <v>-5.27</v>
      </c>
      <c r="L29" s="111">
        <f t="shared" si="7"/>
        <v>161.94</v>
      </c>
      <c r="P29" s="129">
        <f t="shared" si="2"/>
        <v>1.6784707099759544E-6</v>
      </c>
      <c r="Q29" s="112">
        <v>-43.759998321529288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3"/>
        <v>103.98</v>
      </c>
      <c r="E30" s="111">
        <f t="shared" si="3"/>
        <v>61.64</v>
      </c>
      <c r="F30" s="111">
        <f t="shared" si="3"/>
        <v>0</v>
      </c>
      <c r="G30" s="112">
        <f t="shared" si="4"/>
        <v>43.343403700259138</v>
      </c>
      <c r="H30" s="111"/>
      <c r="I30" s="111">
        <v>-45.09</v>
      </c>
      <c r="J30" s="112">
        <f t="shared" si="5"/>
        <v>-1.7465962997408653</v>
      </c>
      <c r="K30" s="112">
        <f t="shared" si="6"/>
        <v>-6.67</v>
      </c>
      <c r="L30" s="111">
        <f t="shared" si="7"/>
        <v>165.62</v>
      </c>
      <c r="P30" s="129">
        <f t="shared" si="2"/>
        <v>9.9981689493588988E-3</v>
      </c>
      <c r="Q30" s="112">
        <v>-45.080001831050645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3"/>
        <v>106.34</v>
      </c>
      <c r="E31" s="111">
        <f t="shared" si="3"/>
        <v>63.04</v>
      </c>
      <c r="F31" s="111">
        <f t="shared" si="3"/>
        <v>0</v>
      </c>
      <c r="G31" s="112">
        <f t="shared" si="4"/>
        <v>44.327410450126145</v>
      </c>
      <c r="H31" s="111"/>
      <c r="I31" s="111">
        <v>-46.41</v>
      </c>
      <c r="J31" s="112">
        <f t="shared" si="5"/>
        <v>-2.0825895498738518</v>
      </c>
      <c r="K31" s="112">
        <f t="shared" si="6"/>
        <v>-7.96</v>
      </c>
      <c r="L31" s="111">
        <f t="shared" si="7"/>
        <v>169.38</v>
      </c>
      <c r="P31" s="129">
        <f t="shared" si="2"/>
        <v>4.2135184230573941E-12</v>
      </c>
      <c r="Q31" s="112">
        <v>-46.409999999995783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3"/>
        <v>108.75</v>
      </c>
      <c r="E32" s="111">
        <f t="shared" si="3"/>
        <v>64.47</v>
      </c>
      <c r="F32" s="111">
        <f t="shared" si="3"/>
        <v>0</v>
      </c>
      <c r="G32" s="112">
        <f t="shared" si="4"/>
        <v>45.332353513820117</v>
      </c>
      <c r="H32" s="111"/>
      <c r="I32" s="111">
        <v>-46.41</v>
      </c>
      <c r="J32" s="112">
        <f t="shared" si="5"/>
        <v>-1.07764648617988</v>
      </c>
      <c r="K32" s="112">
        <f t="shared" si="6"/>
        <v>-4.12</v>
      </c>
      <c r="L32" s="111">
        <f t="shared" si="7"/>
        <v>173.22</v>
      </c>
      <c r="P32" s="129">
        <f t="shared" si="2"/>
        <v>1.5259210073281793E-7</v>
      </c>
      <c r="Q32" s="112">
        <v>-46.409999847407896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3"/>
        <v>111.22</v>
      </c>
      <c r="E33" s="111">
        <f t="shared" si="3"/>
        <v>65.930000000000007</v>
      </c>
      <c r="F33" s="111">
        <f t="shared" si="3"/>
        <v>0</v>
      </c>
      <c r="G33" s="112">
        <f t="shared" si="4"/>
        <v>46.360849930569415</v>
      </c>
      <c r="H33" s="111"/>
      <c r="I33" s="111">
        <v>-47.74</v>
      </c>
      <c r="J33" s="112">
        <f t="shared" si="5"/>
        <v>-1.3791500694305867</v>
      </c>
      <c r="K33" s="112">
        <f t="shared" si="6"/>
        <v>-5.27</v>
      </c>
      <c r="L33" s="111">
        <f t="shared" si="7"/>
        <v>177.15</v>
      </c>
      <c r="P33" s="129">
        <f t="shared" si="2"/>
        <v>-1.6784624534693648E-6</v>
      </c>
      <c r="Q33" s="112">
        <v>-47.740001678462455</v>
      </c>
    </row>
    <row r="34" spans="2:17">
      <c r="B34" s="109">
        <f t="shared" si="0"/>
        <v>2040</v>
      </c>
      <c r="C34" s="113"/>
      <c r="D34" s="111">
        <f t="shared" si="3"/>
        <v>113.74</v>
      </c>
      <c r="E34" s="111">
        <f t="shared" si="3"/>
        <v>67.430000000000007</v>
      </c>
      <c r="F34" s="111">
        <f t="shared" si="3"/>
        <v>0</v>
      </c>
      <c r="G34" s="112">
        <f t="shared" si="4"/>
        <v>47.412899700374041</v>
      </c>
      <c r="H34" s="111"/>
      <c r="I34" s="111">
        <v>-49.06</v>
      </c>
      <c r="J34" s="112">
        <f t="shared" si="5"/>
        <v>-1.6471002996259614</v>
      </c>
      <c r="K34" s="112">
        <f t="shared" si="6"/>
        <v>-6.29</v>
      </c>
      <c r="L34" s="111">
        <f t="shared" si="7"/>
        <v>181.17000000000002</v>
      </c>
      <c r="P34" s="129">
        <f t="shared" si="2"/>
        <v>-1.3732866435134383E-6</v>
      </c>
      <c r="Q34" s="112">
        <v>-49.060001373286646</v>
      </c>
    </row>
    <row r="35" spans="2:17">
      <c r="B35" s="109">
        <f t="shared" si="0"/>
        <v>2041</v>
      </c>
      <c r="C35" s="113"/>
      <c r="D35" s="111">
        <f t="shared" si="3"/>
        <v>116.32</v>
      </c>
      <c r="E35" s="111">
        <f t="shared" si="3"/>
        <v>68.959999999999994</v>
      </c>
      <c r="F35" s="111">
        <f t="shared" si="3"/>
        <v>0</v>
      </c>
      <c r="G35" s="112">
        <f t="shared" si="4"/>
        <v>48.488502823233979</v>
      </c>
      <c r="H35" s="111"/>
      <c r="I35" s="111">
        <v>-50.39</v>
      </c>
      <c r="J35" s="112">
        <f t="shared" si="5"/>
        <v>-1.9014971767660214</v>
      </c>
      <c r="K35" s="112">
        <f t="shared" si="6"/>
        <v>-7.27</v>
      </c>
      <c r="L35" s="111">
        <f t="shared" si="7"/>
        <v>185.27999999999997</v>
      </c>
      <c r="P35" s="129">
        <f t="shared" si="2"/>
        <v>4.5616843635798432E-12</v>
      </c>
      <c r="Q35" s="112">
        <v>-50.389999999995439</v>
      </c>
    </row>
    <row r="36" spans="2:17">
      <c r="B36" s="109">
        <f t="shared" si="0"/>
        <v>2042</v>
      </c>
      <c r="C36" s="113"/>
      <c r="D36" s="111">
        <f t="shared" si="3"/>
        <v>118.96</v>
      </c>
      <c r="E36" s="111">
        <f t="shared" si="3"/>
        <v>70.53</v>
      </c>
      <c r="F36" s="111">
        <f t="shared" si="3"/>
        <v>0</v>
      </c>
      <c r="G36" s="112">
        <f t="shared" si="4"/>
        <v>49.590276338377635</v>
      </c>
      <c r="H36" s="111"/>
      <c r="I36" s="111"/>
      <c r="J36" s="112">
        <f t="shared" si="5"/>
        <v>49.590276338377635</v>
      </c>
      <c r="K36" s="112">
        <f t="shared" si="6"/>
        <v>189.49</v>
      </c>
      <c r="L36" s="111">
        <f t="shared" si="7"/>
        <v>189.49</v>
      </c>
      <c r="P36" s="129">
        <f t="shared" si="2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3"/>
        <v>121.66</v>
      </c>
      <c r="E37" s="111">
        <f t="shared" si="3"/>
        <v>72.13</v>
      </c>
      <c r="F37" s="111">
        <f t="shared" si="3"/>
        <v>0</v>
      </c>
      <c r="G37" s="112">
        <f t="shared" si="4"/>
        <v>50.71560320657661</v>
      </c>
      <c r="H37" s="111"/>
      <c r="I37" s="111"/>
      <c r="J37" s="112">
        <f t="shared" si="5"/>
        <v>50.71560320657661</v>
      </c>
      <c r="K37" s="112">
        <f t="shared" si="6"/>
        <v>193.79</v>
      </c>
      <c r="L37" s="111">
        <f t="shared" si="7"/>
        <v>193.79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-PMT(Discount_Rate,COUNT(J23:J37),NPV(Discount_Rate,J23:J37))</f>
        <v>4.3679315544061588</v>
      </c>
      <c r="K39" s="287">
        <f>-PMT(Discount_Rate,COUNT(K23:K37),NPV(Discount_Rate,K23:K37))</f>
        <v>16.690166297566588</v>
      </c>
      <c r="L39" s="287">
        <f>-PMT(Discount_Rate,COUNT(L23:L37),NPV(Discount_Rate,L23:L37))</f>
        <v>168.83212149553691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43.6%)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WD_.PX.WYE._.PTC.Djohns.WD - 44%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2032</v>
      </c>
      <c r="T54" s="273" t="s">
        <v>448</v>
      </c>
    </row>
    <row r="55" spans="2:20">
      <c r="B55" t="s">
        <v>152</v>
      </c>
      <c r="C55" s="267"/>
      <c r="D55" s="102" t="s">
        <v>65</v>
      </c>
      <c r="P55" s="226">
        <v>650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0.43620000000025128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A0A8-6452-4A79-8F5E-6B0515438546}">
  <sheetPr>
    <tabColor rgb="FFFFC000"/>
    <pageSetUpPr fitToPage="1"/>
  </sheetPr>
  <dimension ref="B1:AC91"/>
  <sheetViews>
    <sheetView view="pageBreakPreview" topLeftCell="A9" zoomScale="70" zoomScaleNormal="100" zoomScaleSheetLayoutView="70" workbookViewId="0">
      <selection activeCell="B19" sqref="B19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WD_.PX.WYN._.PTC.WD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44%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WD_.PX.WYN._.PTC.WD - 44%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1567.5293165999776</v>
      </c>
      <c r="S16" s="284">
        <f>T16-R16</f>
        <v>8.3306834000222807</v>
      </c>
      <c r="T16" s="113">
        <v>1575.86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T16*IRP_PTC_ESC!Q59</f>
        <v>2006.2273659999996</v>
      </c>
      <c r="X17" s="277">
        <f t="shared" ref="X17:X26" si="1"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T17*IRP_PTC_ESC!Q60</f>
        <v>2006.2273659999996</v>
      </c>
      <c r="X18" s="277">
        <f t="shared" si="1"/>
        <v>46.949458361730954</v>
      </c>
      <c r="AC18" s="227"/>
    </row>
    <row r="19" spans="2:29">
      <c r="B19" s="109">
        <f t="shared" si="0"/>
        <v>2025</v>
      </c>
      <c r="C19" s="113"/>
      <c r="D19" s="111"/>
      <c r="E19" s="111"/>
      <c r="F19" s="416">
        <f>J63</f>
        <v>124.93787052448596</v>
      </c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277"/>
      <c r="S19" s="277"/>
      <c r="T19" s="102">
        <f>T18*IRP_PTC_ESC!Q61</f>
        <v>2006.2273659999996</v>
      </c>
      <c r="U19" s="284"/>
      <c r="X19" s="277">
        <f t="shared" si="1"/>
        <v>48.015211066753942</v>
      </c>
      <c r="Y19" s="284"/>
    </row>
    <row r="20" spans="2:29">
      <c r="B20" s="109">
        <f t="shared" si="0"/>
        <v>2026</v>
      </c>
      <c r="C20" s="113"/>
      <c r="D20" s="111"/>
      <c r="E20" s="111"/>
      <c r="F20" s="111">
        <f t="shared" ref="F20:F25" si="2">ROUND(F19*(1+IRP23_Infl_Rate),2)</f>
        <v>127.77</v>
      </c>
      <c r="G20" s="112"/>
      <c r="H20" s="111"/>
      <c r="I20" s="111"/>
      <c r="J20" s="112"/>
      <c r="K20" s="112"/>
      <c r="L20" s="111"/>
      <c r="P20" s="129">
        <f t="shared" ref="P20:P36" si="3">Q20-I20</f>
        <v>0</v>
      </c>
      <c r="Q20" s="112">
        <v>0</v>
      </c>
      <c r="T20" s="102">
        <f>T19*IRP_PTC_ESC!Q62</f>
        <v>2006.2273659999996</v>
      </c>
      <c r="U20" s="284"/>
      <c r="W20" s="129"/>
      <c r="X20" s="277">
        <f t="shared" si="1"/>
        <v>49.105156358185759</v>
      </c>
      <c r="Y20" s="284"/>
    </row>
    <row r="21" spans="2:29">
      <c r="B21" s="109">
        <f t="shared" si="0"/>
        <v>2027</v>
      </c>
      <c r="C21" s="113"/>
      <c r="D21" s="111"/>
      <c r="E21" s="111"/>
      <c r="F21" s="111">
        <f t="shared" si="2"/>
        <v>130.66999999999999</v>
      </c>
      <c r="G21" s="112"/>
      <c r="H21" s="111"/>
      <c r="I21" s="111"/>
      <c r="J21" s="112"/>
      <c r="K21" s="112"/>
      <c r="L21" s="111"/>
      <c r="P21" s="129">
        <f t="shared" si="3"/>
        <v>0</v>
      </c>
      <c r="Q21" s="112">
        <v>0</v>
      </c>
      <c r="T21" s="102">
        <f>T20*IRP_PTC_ESC!Q63</f>
        <v>2006.2273659999996</v>
      </c>
      <c r="U21" s="284"/>
      <c r="V21" s="129"/>
      <c r="W21" s="129"/>
      <c r="X21" s="277">
        <f t="shared" si="1"/>
        <v>50.21984340773799</v>
      </c>
      <c r="Y21" s="284"/>
      <c r="Z21" s="129"/>
    </row>
    <row r="22" spans="2:29">
      <c r="B22" s="109">
        <f t="shared" si="0"/>
        <v>2028</v>
      </c>
      <c r="C22" s="113"/>
      <c r="D22" s="111"/>
      <c r="E22" s="111"/>
      <c r="F22" s="111">
        <f t="shared" si="2"/>
        <v>133.63999999999999</v>
      </c>
      <c r="G22" s="112"/>
      <c r="H22" s="111"/>
      <c r="I22" s="111"/>
      <c r="J22" s="112"/>
      <c r="K22" s="112"/>
      <c r="L22" s="111"/>
      <c r="P22" s="129">
        <f t="shared" si="3"/>
        <v>0</v>
      </c>
      <c r="Q22" s="112">
        <v>0</v>
      </c>
      <c r="T22" s="102">
        <f>T21*IRP_PTC_ESC!Q64</f>
        <v>2006.2273659999996</v>
      </c>
      <c r="U22" s="284"/>
      <c r="V22" s="129"/>
      <c r="W22" s="129"/>
      <c r="X22" s="277">
        <f t="shared" si="1"/>
        <v>51.359833853320083</v>
      </c>
      <c r="Y22" s="284"/>
      <c r="Z22" s="129"/>
      <c r="AA22" s="129"/>
    </row>
    <row r="23" spans="2:29">
      <c r="B23" s="109">
        <f t="shared" si="0"/>
        <v>2029</v>
      </c>
      <c r="C23" s="113"/>
      <c r="D23" s="111"/>
      <c r="E23" s="111"/>
      <c r="F23" s="261">
        <f>ROUND(F22*(1+IRP23_Infl_Rate),2)+C60</f>
        <v>176.73238029720744</v>
      </c>
      <c r="G23" s="112"/>
      <c r="H23" s="111"/>
      <c r="I23" s="111"/>
      <c r="J23" s="112"/>
      <c r="K23" s="112"/>
      <c r="L23" s="111"/>
      <c r="P23" s="129">
        <f t="shared" si="3"/>
        <v>0</v>
      </c>
      <c r="Q23" s="112">
        <v>0</v>
      </c>
      <c r="T23" s="102">
        <f>T22*IRP_PTC_ESC!Q65</f>
        <v>1861.7789956479996</v>
      </c>
      <c r="U23" s="284"/>
      <c r="V23" s="129"/>
      <c r="W23" s="129"/>
      <c r="X23" s="277">
        <f t="shared" si="1"/>
        <v>52.525702082022029</v>
      </c>
      <c r="Y23" s="284"/>
      <c r="Z23" s="129"/>
      <c r="AA23" s="129"/>
    </row>
    <row r="24" spans="2:29">
      <c r="B24" s="109">
        <f t="shared" si="0"/>
        <v>2030</v>
      </c>
      <c r="C24" s="113"/>
      <c r="D24" s="111"/>
      <c r="E24" s="111"/>
      <c r="F24" s="111">
        <f t="shared" si="2"/>
        <v>180.74</v>
      </c>
      <c r="G24" s="112"/>
      <c r="H24" s="111"/>
      <c r="I24" s="111"/>
      <c r="J24" s="112"/>
      <c r="K24" s="112"/>
      <c r="L24" s="111"/>
      <c r="P24" s="129">
        <f t="shared" si="3"/>
        <v>0</v>
      </c>
      <c r="Q24" s="112">
        <v>0</v>
      </c>
      <c r="T24" s="102">
        <f>T23*IRP_PTC_ESC!Q66</f>
        <v>1716.5602346177996</v>
      </c>
      <c r="U24" s="284"/>
      <c r="V24" s="129"/>
      <c r="W24" s="129"/>
      <c r="X24" s="277">
        <f t="shared" si="1"/>
        <v>53.718035519520768</v>
      </c>
      <c r="Y24" s="284"/>
      <c r="Z24" s="129"/>
      <c r="AA24" s="129"/>
    </row>
    <row r="25" spans="2:29">
      <c r="B25" s="109">
        <f t="shared" si="0"/>
        <v>2031</v>
      </c>
      <c r="C25" s="113"/>
      <c r="D25" s="111"/>
      <c r="E25" s="111"/>
      <c r="F25" s="111">
        <f t="shared" si="2"/>
        <v>184.84</v>
      </c>
      <c r="G25" s="112"/>
      <c r="H25" s="111"/>
      <c r="I25" s="111"/>
      <c r="J25" s="112"/>
      <c r="K25" s="112"/>
      <c r="L25" s="111"/>
      <c r="P25" s="129">
        <f t="shared" si="3"/>
        <v>0</v>
      </c>
      <c r="Q25" s="112">
        <v>0</v>
      </c>
      <c r="T25" s="102">
        <f>T24*IRP_PTC_ESC!Q67</f>
        <v>1572.3691738383197</v>
      </c>
      <c r="U25" s="284"/>
      <c r="V25" s="129"/>
      <c r="W25" s="129"/>
      <c r="X25" s="277">
        <f t="shared" si="1"/>
        <v>54.937434926056106</v>
      </c>
      <c r="Y25" s="284"/>
      <c r="Z25" s="129"/>
      <c r="AA25" s="129"/>
    </row>
    <row r="26" spans="2:29">
      <c r="B26" s="109">
        <f t="shared" si="0"/>
        <v>2032</v>
      </c>
      <c r="C26" s="274">
        <f>IRP_LTReport!$R$88</f>
        <v>1427.7112481963761</v>
      </c>
      <c r="D26" s="111">
        <f>C26*$C$62</f>
        <v>95.04273779243276</v>
      </c>
      <c r="E26" s="281">
        <f>IRP_LTReport!$L$88</f>
        <v>56.337573606164419</v>
      </c>
      <c r="F26" s="111">
        <f t="shared" ref="D26:F37" si="4">ROUND(F25*(1+IRP23_Infl_Rate),2)</f>
        <v>189.04</v>
      </c>
      <c r="G26" s="112">
        <f t="shared" ref="G26:G37" si="5">(D26+E26+F26)/(8.76*$C$63)</f>
        <v>89.089330906396114</v>
      </c>
      <c r="H26" s="111"/>
      <c r="I26" s="111">
        <v>-41.11</v>
      </c>
      <c r="J26" s="112">
        <f t="shared" ref="J26:J37" si="6">(G26+H26+I26)</f>
        <v>47.979330906396115</v>
      </c>
      <c r="K26" s="112">
        <f t="shared" ref="K26:K37" si="7">ROUND(J26*$C$63*8.76,2)</f>
        <v>183.33</v>
      </c>
      <c r="L26" s="111">
        <f t="shared" ref="L26:L37" si="8">(D26+E26+F26)</f>
        <v>340.42031139859716</v>
      </c>
      <c r="P26" s="129">
        <f t="shared" si="3"/>
        <v>-6.1034608478394148E-7</v>
      </c>
      <c r="Q26" s="112">
        <v>-41.110000610346084</v>
      </c>
      <c r="T26" s="102">
        <f>T25*IRP_PTC_ESC!Q68</f>
        <v>1427.7112109545997</v>
      </c>
      <c r="U26" s="284">
        <f t="shared" ref="U26" si="9">T26-C26</f>
        <v>-3.7241776453811326E-5</v>
      </c>
      <c r="V26" s="129"/>
      <c r="W26" s="129"/>
      <c r="X26" s="277">
        <f t="shared" si="1"/>
        <v>56.184514699125295</v>
      </c>
      <c r="Y26" s="284">
        <f t="shared" ref="Y26" si="10">X26-E26</f>
        <v>-0.15305890703912439</v>
      </c>
      <c r="Z26" s="129"/>
      <c r="AA26" s="129"/>
    </row>
    <row r="27" spans="2:29">
      <c r="B27" s="109">
        <f t="shared" si="0"/>
        <v>2033</v>
      </c>
      <c r="C27" s="113"/>
      <c r="D27" s="111">
        <f t="shared" si="4"/>
        <v>97.2</v>
      </c>
      <c r="E27" s="111">
        <f t="shared" si="4"/>
        <v>57.62</v>
      </c>
      <c r="F27" s="111">
        <f t="shared" si="4"/>
        <v>193.33</v>
      </c>
      <c r="G27" s="112">
        <f t="shared" si="5"/>
        <v>91.112220735691452</v>
      </c>
      <c r="H27" s="111"/>
      <c r="I27" s="111">
        <v>-42.43</v>
      </c>
      <c r="J27" s="112">
        <f t="shared" si="6"/>
        <v>48.682220735691452</v>
      </c>
      <c r="K27" s="112">
        <f t="shared" si="7"/>
        <v>186.02</v>
      </c>
      <c r="L27" s="111">
        <f t="shared" si="8"/>
        <v>348.15</v>
      </c>
      <c r="P27" s="129">
        <f t="shared" si="3"/>
        <v>-3.0517813343067246E-7</v>
      </c>
      <c r="Q27" s="112">
        <v>-42.430000305178133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4"/>
        <v>99.41</v>
      </c>
      <c r="E28" s="111">
        <f t="shared" si="4"/>
        <v>58.93</v>
      </c>
      <c r="F28" s="111">
        <f t="shared" si="4"/>
        <v>197.72</v>
      </c>
      <c r="G28" s="112">
        <f t="shared" si="5"/>
        <v>93.182298765331893</v>
      </c>
      <c r="H28" s="111"/>
      <c r="I28" s="111">
        <v>-43.76</v>
      </c>
      <c r="J28" s="112">
        <f t="shared" si="6"/>
        <v>49.422298765331895</v>
      </c>
      <c r="K28" s="112">
        <f t="shared" si="7"/>
        <v>188.85</v>
      </c>
      <c r="L28" s="111">
        <f t="shared" si="8"/>
        <v>356.06</v>
      </c>
      <c r="P28" s="129">
        <f t="shared" si="3"/>
        <v>-2.5295321393059567E-12</v>
      </c>
      <c r="Q28" s="112">
        <v>-43.760000000002528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4"/>
        <v>101.67</v>
      </c>
      <c r="E29" s="111">
        <f t="shared" si="4"/>
        <v>60.27</v>
      </c>
      <c r="F29" s="111">
        <f t="shared" si="4"/>
        <v>202.21</v>
      </c>
      <c r="G29" s="112">
        <f t="shared" si="5"/>
        <v>95.299483501082989</v>
      </c>
      <c r="H29" s="111"/>
      <c r="I29" s="111">
        <v>-43.76</v>
      </c>
      <c r="J29" s="112">
        <f t="shared" si="6"/>
        <v>51.539483501082991</v>
      </c>
      <c r="K29" s="112">
        <f t="shared" si="7"/>
        <v>196.94</v>
      </c>
      <c r="L29" s="111">
        <f t="shared" si="8"/>
        <v>364.15</v>
      </c>
      <c r="P29" s="129">
        <f t="shared" si="3"/>
        <v>1.6784637253408619E-6</v>
      </c>
      <c r="Q29" s="112">
        <v>-43.759998321536273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4"/>
        <v>103.98</v>
      </c>
      <c r="E30" s="111">
        <f t="shared" si="4"/>
        <v>61.64</v>
      </c>
      <c r="F30" s="111">
        <f t="shared" si="4"/>
        <v>206.8</v>
      </c>
      <c r="G30" s="112">
        <f t="shared" si="5"/>
        <v>97.463774942944738</v>
      </c>
      <c r="H30" s="111"/>
      <c r="I30" s="111">
        <v>-45.09</v>
      </c>
      <c r="J30" s="112">
        <f t="shared" si="6"/>
        <v>52.373774942944735</v>
      </c>
      <c r="K30" s="112">
        <f t="shared" si="7"/>
        <v>200.13</v>
      </c>
      <c r="L30" s="111">
        <f t="shared" si="8"/>
        <v>372.42</v>
      </c>
      <c r="P30" s="129">
        <f t="shared" si="3"/>
        <v>9.99816894239558E-3</v>
      </c>
      <c r="Q30" s="112">
        <v>-45.080001831057608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4"/>
        <v>106.34</v>
      </c>
      <c r="E31" s="111">
        <f t="shared" si="4"/>
        <v>63.04</v>
      </c>
      <c r="F31" s="111">
        <f t="shared" si="4"/>
        <v>211.49</v>
      </c>
      <c r="G31" s="112">
        <f t="shared" si="5"/>
        <v>99.675173090917141</v>
      </c>
      <c r="H31" s="111"/>
      <c r="I31" s="111">
        <v>-46.41</v>
      </c>
      <c r="J31" s="112">
        <f t="shared" si="6"/>
        <v>53.265173090917145</v>
      </c>
      <c r="K31" s="112">
        <f t="shared" si="7"/>
        <v>203.53</v>
      </c>
      <c r="L31" s="111">
        <f t="shared" si="8"/>
        <v>380.87</v>
      </c>
      <c r="P31" s="129">
        <f t="shared" si="3"/>
        <v>-2.9203306439740118E-12</v>
      </c>
      <c r="Q31" s="112">
        <v>-46.410000000002917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4"/>
        <v>108.75</v>
      </c>
      <c r="E32" s="111">
        <f t="shared" si="4"/>
        <v>64.47</v>
      </c>
      <c r="F32" s="111">
        <f t="shared" si="4"/>
        <v>216.29</v>
      </c>
      <c r="G32" s="112">
        <f t="shared" si="5"/>
        <v>101.93629498422857</v>
      </c>
      <c r="H32" s="111"/>
      <c r="I32" s="111">
        <v>-46.41</v>
      </c>
      <c r="J32" s="112">
        <f t="shared" si="6"/>
        <v>55.526294984228571</v>
      </c>
      <c r="K32" s="112">
        <f t="shared" si="7"/>
        <v>212.17</v>
      </c>
      <c r="L32" s="111">
        <f t="shared" si="8"/>
        <v>389.51</v>
      </c>
      <c r="P32" s="129">
        <f t="shared" si="3"/>
        <v>1.5258505214887919E-7</v>
      </c>
      <c r="Q32" s="112">
        <v>-46.409999847414944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4"/>
        <v>111.22</v>
      </c>
      <c r="E33" s="111">
        <f t="shared" si="4"/>
        <v>65.930000000000007</v>
      </c>
      <c r="F33" s="111">
        <f t="shared" si="4"/>
        <v>221.2</v>
      </c>
      <c r="G33" s="112">
        <f t="shared" si="5"/>
        <v>104.2497576621074</v>
      </c>
      <c r="H33" s="111"/>
      <c r="I33" s="111">
        <v>-47.74</v>
      </c>
      <c r="J33" s="112">
        <f t="shared" si="6"/>
        <v>56.509757662107397</v>
      </c>
      <c r="K33" s="112">
        <f t="shared" si="7"/>
        <v>215.93</v>
      </c>
      <c r="L33" s="111">
        <f t="shared" si="8"/>
        <v>398.35</v>
      </c>
      <c r="P33" s="129">
        <f t="shared" si="3"/>
        <v>-1.6784697649541158E-6</v>
      </c>
      <c r="Q33" s="112">
        <v>-47.740001678469767</v>
      </c>
    </row>
    <row r="34" spans="2:17">
      <c r="B34" s="109">
        <f t="shared" si="0"/>
        <v>2040</v>
      </c>
      <c r="C34" s="113"/>
      <c r="D34" s="111">
        <f t="shared" si="4"/>
        <v>113.74</v>
      </c>
      <c r="E34" s="111">
        <f t="shared" si="4"/>
        <v>67.430000000000007</v>
      </c>
      <c r="F34" s="111">
        <f t="shared" si="4"/>
        <v>226.22</v>
      </c>
      <c r="G34" s="112">
        <f t="shared" si="5"/>
        <v>106.61556112455361</v>
      </c>
      <c r="H34" s="111"/>
      <c r="I34" s="111">
        <v>-49.06</v>
      </c>
      <c r="J34" s="112">
        <f t="shared" si="6"/>
        <v>57.555561124553606</v>
      </c>
      <c r="K34" s="112">
        <f t="shared" si="7"/>
        <v>219.93</v>
      </c>
      <c r="L34" s="111">
        <f t="shared" si="8"/>
        <v>407.39</v>
      </c>
      <c r="P34" s="129">
        <f t="shared" si="3"/>
        <v>-1.3732941752664374E-6</v>
      </c>
      <c r="Q34" s="112">
        <v>-49.060001373294178</v>
      </c>
    </row>
    <row r="35" spans="2:17">
      <c r="B35" s="109">
        <f t="shared" si="0"/>
        <v>2041</v>
      </c>
      <c r="C35" s="113"/>
      <c r="D35" s="111">
        <f t="shared" si="4"/>
        <v>116.32</v>
      </c>
      <c r="E35" s="111">
        <f t="shared" si="4"/>
        <v>68.959999999999994</v>
      </c>
      <c r="F35" s="111">
        <f t="shared" si="4"/>
        <v>231.36</v>
      </c>
      <c r="G35" s="112">
        <f t="shared" si="5"/>
        <v>109.03632241079559</v>
      </c>
      <c r="H35" s="111"/>
      <c r="I35" s="111">
        <v>-50.39</v>
      </c>
      <c r="J35" s="112">
        <f t="shared" si="6"/>
        <v>58.646322410795591</v>
      </c>
      <c r="K35" s="112">
        <f t="shared" si="7"/>
        <v>224.09</v>
      </c>
      <c r="L35" s="111">
        <f t="shared" si="8"/>
        <v>416.64</v>
      </c>
      <c r="P35" s="129">
        <f t="shared" si="3"/>
        <v>-3.1690206014900468E-12</v>
      </c>
      <c r="Q35" s="112">
        <v>-50.39000000000317</v>
      </c>
    </row>
    <row r="36" spans="2:17">
      <c r="B36" s="109">
        <f t="shared" si="0"/>
        <v>2042</v>
      </c>
      <c r="C36" s="113"/>
      <c r="D36" s="111">
        <f t="shared" si="4"/>
        <v>118.96</v>
      </c>
      <c r="E36" s="111">
        <f t="shared" si="4"/>
        <v>70.53</v>
      </c>
      <c r="F36" s="111">
        <f t="shared" si="4"/>
        <v>236.61</v>
      </c>
      <c r="G36" s="112">
        <f t="shared" si="5"/>
        <v>111.51204152083335</v>
      </c>
      <c r="H36" s="111"/>
      <c r="I36" s="111"/>
      <c r="J36" s="112">
        <f t="shared" si="6"/>
        <v>111.51204152083335</v>
      </c>
      <c r="K36" s="112">
        <f t="shared" si="7"/>
        <v>426.1</v>
      </c>
      <c r="L36" s="111">
        <f t="shared" si="8"/>
        <v>426.1</v>
      </c>
      <c r="P36" s="129">
        <f t="shared" si="3"/>
        <v>-50.389999389649056</v>
      </c>
      <c r="Q36" s="112">
        <v>-50.389999389649056</v>
      </c>
    </row>
    <row r="37" spans="2:17">
      <c r="B37" s="109">
        <f t="shared" si="0"/>
        <v>2043</v>
      </c>
      <c r="C37" s="113"/>
      <c r="D37" s="111">
        <f t="shared" si="4"/>
        <v>121.66</v>
      </c>
      <c r="E37" s="111">
        <f t="shared" si="4"/>
        <v>72.13</v>
      </c>
      <c r="F37" s="111">
        <f t="shared" si="4"/>
        <v>241.98</v>
      </c>
      <c r="G37" s="112">
        <f t="shared" si="5"/>
        <v>114.04271845466685</v>
      </c>
      <c r="H37" s="111"/>
      <c r="I37" s="111"/>
      <c r="J37" s="112">
        <f t="shared" si="6"/>
        <v>114.04271845466685</v>
      </c>
      <c r="K37" s="112">
        <f t="shared" si="7"/>
        <v>435.77</v>
      </c>
      <c r="L37" s="111">
        <f t="shared" si="8"/>
        <v>435.77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-PMT(Discount_Rate,COUNT(J23:J37),NPV(Discount_Rate,J23:J37))</f>
        <v>59.539779844199003</v>
      </c>
      <c r="K39" s="287">
        <f>-PMT(Discount_Rate,COUNT(K23:K37),NPV(Discount_Rate,K23:K37))</f>
        <v>227.5079778599949</v>
      </c>
      <c r="L39" s="287">
        <f>-PMT(Discount_Rate,COUNT(L23:L37),NPV(Discount_Rate,L23:L37))</f>
        <v>379.64993305796537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43.6%)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WD_.PX.WYN._.PTC.WD - 44%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2032</v>
      </c>
      <c r="T54" s="273" t="s">
        <v>452</v>
      </c>
    </row>
    <row r="55" spans="2:20">
      <c r="B55" t="s">
        <v>152</v>
      </c>
      <c r="C55" s="267"/>
      <c r="D55" s="102" t="s">
        <v>65</v>
      </c>
      <c r="P55" s="226">
        <v>364.64920000000001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TransCost'!$39:$39,1,MATCH(F61,'Table 3 TransCost'!$4:$4,0)),6),5)</f>
        <v>2029$</v>
      </c>
      <c r="C60" s="223">
        <f>J61</f>
        <v>40.062380297207461</v>
      </c>
      <c r="D60" s="102" t="s">
        <v>137</v>
      </c>
      <c r="F60" s="102" t="s">
        <v>453</v>
      </c>
      <c r="J60" s="223">
        <f>IFERROR(INDEX('Table 3 TransCost'!$39:$39,1,MATCH(F60,'Table 3 TransCost'!$4:$4,0)+2),0)</f>
        <v>0</v>
      </c>
      <c r="L60" s="270"/>
      <c r="M60" s="270"/>
      <c r="N60" s="270"/>
      <c r="P60" s="127"/>
    </row>
    <row r="61" spans="2:20">
      <c r="B61"/>
      <c r="C61" s="166"/>
      <c r="F61" s="102" t="s">
        <v>351</v>
      </c>
      <c r="J61" s="223">
        <f>IFERROR(INDEX('Table 3 TransCost'!$39:$39,1,MATCH(F61,'Table 3 TransCost'!$4:$4,0)+2),0)</f>
        <v>40.062380297207461</v>
      </c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F62" s="102" t="s">
        <v>454</v>
      </c>
      <c r="J62" s="223">
        <f>IFERROR(INDEX('Table 3 TransCost'!$39:$39,1,MATCH(F62,'Table 3 TransCost'!$4:$4,0)+2),0)</f>
        <v>0</v>
      </c>
      <c r="L62" s="229"/>
      <c r="M62" s="131"/>
      <c r="N62" s="131"/>
      <c r="P62" s="132"/>
    </row>
    <row r="63" spans="2:20">
      <c r="C63" s="272">
        <v>0.43620000000025128</v>
      </c>
      <c r="D63" s="102" t="s">
        <v>37</v>
      </c>
      <c r="F63" s="102" t="s">
        <v>346</v>
      </c>
      <c r="J63" s="223">
        <f>IFERROR(INDEX('Table 3 TransCost'!$39:$39,1,MATCH(F63,'Table 3 TransCost'!$4:$4,0)+2),0)</f>
        <v>124.93787052448596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53F3C-7CC4-49CD-9EB8-F3A7D2A97CBF}">
  <sheetPr>
    <tabColor rgb="FFFFC000"/>
    <pageSetUpPr fitToPage="1"/>
  </sheetPr>
  <dimension ref="B1:AC91"/>
  <sheetViews>
    <sheetView topLeftCell="A31" zoomScale="70" zoomScaleNormal="70" workbookViewId="0">
      <selection activeCell="H63" sqref="H63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WD_.PX.SOR._.PTC.WD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37%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WD_.PX.SOR._.PTC.WD - 37%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>
        <f t="shared" ref="L13:L37" si="1">(D13+E13+F13)</f>
        <v>0</v>
      </c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>
        <f t="shared" si="1"/>
        <v>0</v>
      </c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>
        <f t="shared" si="1"/>
        <v>0</v>
      </c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>
        <f t="shared" si="1"/>
        <v>0</v>
      </c>
      <c r="R16" s="274">
        <v>1566.9239882390707</v>
      </c>
      <c r="S16" s="284">
        <f>T16-R16</f>
        <v>8.3360117609292956</v>
      </c>
      <c r="T16" s="113">
        <v>1575.26</v>
      </c>
      <c r="X16" s="277">
        <v>44.888394700986694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>
        <f t="shared" si="1"/>
        <v>0</v>
      </c>
      <c r="P17" s="114"/>
      <c r="R17" s="277"/>
      <c r="S17" s="277"/>
      <c r="T17" s="102">
        <f>T16*IRP_PTC_ESC!Q59</f>
        <v>2005.4635059999998</v>
      </c>
      <c r="X17" s="277">
        <f t="shared" ref="X17:X27" si="2">X16*(1+IRP23_Infl_Rate)</f>
        <v>45.907361260901496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>
        <f t="shared" si="1"/>
        <v>0</v>
      </c>
      <c r="Q18" s="263"/>
      <c r="R18" s="277"/>
      <c r="S18" s="277"/>
      <c r="T18" s="102">
        <f>T17*IRP_PTC_ESC!Q60</f>
        <v>2005.4635059999998</v>
      </c>
      <c r="X18" s="277">
        <f t="shared" si="2"/>
        <v>46.949458361730954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>
        <f t="shared" si="1"/>
        <v>0</v>
      </c>
      <c r="P19" s="129">
        <f>Q19-I19</f>
        <v>0</v>
      </c>
      <c r="Q19" s="112">
        <v>0</v>
      </c>
      <c r="R19" s="277"/>
      <c r="S19" s="277"/>
      <c r="T19" s="102">
        <f>T18*IRP_PTC_ESC!Q61</f>
        <v>2005.4635059999998</v>
      </c>
      <c r="U19" s="284"/>
      <c r="X19" s="277">
        <f t="shared" si="2"/>
        <v>48.015211066753942</v>
      </c>
      <c r="Y19" s="284"/>
    </row>
    <row r="20" spans="2:29">
      <c r="B20" s="109">
        <f t="shared" si="0"/>
        <v>2026</v>
      </c>
      <c r="C20" s="113"/>
      <c r="D20" s="111"/>
      <c r="E20" s="111"/>
      <c r="F20" s="111"/>
      <c r="G20" s="112"/>
      <c r="H20" s="111"/>
      <c r="I20" s="111"/>
      <c r="J20" s="112"/>
      <c r="K20" s="112"/>
      <c r="L20" s="111">
        <f t="shared" si="1"/>
        <v>0</v>
      </c>
      <c r="P20" s="129">
        <f t="shared" ref="P20:P36" si="3">Q20-I20</f>
        <v>0</v>
      </c>
      <c r="Q20" s="112">
        <v>0</v>
      </c>
      <c r="T20" s="102">
        <f>T19*IRP_PTC_ESC!Q62</f>
        <v>2005.4635059999998</v>
      </c>
      <c r="U20" s="284"/>
      <c r="W20" s="129"/>
      <c r="X20" s="277">
        <f t="shared" si="2"/>
        <v>49.105156358185759</v>
      </c>
      <c r="Y20" s="284"/>
    </row>
    <row r="21" spans="2:29">
      <c r="B21" s="109">
        <f t="shared" si="0"/>
        <v>2027</v>
      </c>
      <c r="C21" s="113"/>
      <c r="D21" s="111"/>
      <c r="E21" s="111"/>
      <c r="F21" s="111"/>
      <c r="G21" s="112"/>
      <c r="H21" s="111"/>
      <c r="I21" s="111"/>
      <c r="J21" s="112"/>
      <c r="K21" s="112"/>
      <c r="L21" s="111">
        <f t="shared" si="1"/>
        <v>0</v>
      </c>
      <c r="P21" s="129">
        <f t="shared" si="3"/>
        <v>0</v>
      </c>
      <c r="Q21" s="112">
        <v>0</v>
      </c>
      <c r="T21" s="102">
        <f>T20*IRP_PTC_ESC!Q63</f>
        <v>2005.4635059999998</v>
      </c>
      <c r="U21" s="284"/>
      <c r="V21" s="129"/>
      <c r="W21" s="129"/>
      <c r="X21" s="277">
        <f t="shared" si="2"/>
        <v>50.21984340773799</v>
      </c>
      <c r="Y21" s="284"/>
      <c r="Z21" s="129"/>
    </row>
    <row r="22" spans="2:29">
      <c r="B22" s="109">
        <f t="shared" si="0"/>
        <v>2028</v>
      </c>
      <c r="C22" s="113"/>
      <c r="D22" s="111"/>
      <c r="E22" s="111"/>
      <c r="F22" s="111"/>
      <c r="G22" s="112"/>
      <c r="H22" s="111"/>
      <c r="I22" s="111"/>
      <c r="J22" s="112"/>
      <c r="K22" s="112"/>
      <c r="L22" s="111">
        <f t="shared" si="1"/>
        <v>0</v>
      </c>
      <c r="P22" s="129">
        <f t="shared" si="3"/>
        <v>0</v>
      </c>
      <c r="Q22" s="112">
        <v>0</v>
      </c>
      <c r="T22" s="102">
        <f>T21*IRP_PTC_ESC!Q64</f>
        <v>2005.4635059999998</v>
      </c>
      <c r="U22" s="284"/>
      <c r="V22" s="129"/>
      <c r="W22" s="129"/>
      <c r="X22" s="277">
        <f t="shared" si="2"/>
        <v>51.359833853320083</v>
      </c>
      <c r="Y22" s="284"/>
      <c r="Z22" s="129"/>
      <c r="AA22" s="129"/>
    </row>
    <row r="23" spans="2:29">
      <c r="B23" s="109">
        <f t="shared" si="0"/>
        <v>2029</v>
      </c>
      <c r="C23" s="113"/>
      <c r="D23" s="111"/>
      <c r="E23" s="111"/>
      <c r="F23" s="111"/>
      <c r="G23" s="112"/>
      <c r="H23" s="111"/>
      <c r="I23" s="111"/>
      <c r="J23" s="112"/>
      <c r="K23" s="112"/>
      <c r="L23" s="111">
        <f t="shared" si="1"/>
        <v>0</v>
      </c>
      <c r="P23" s="129">
        <f t="shared" si="3"/>
        <v>0</v>
      </c>
      <c r="Q23" s="112">
        <v>0</v>
      </c>
      <c r="T23" s="102">
        <f>T22*IRP_PTC_ESC!Q65</f>
        <v>1861.0701335679998</v>
      </c>
      <c r="U23" s="284"/>
      <c r="V23" s="129"/>
      <c r="W23" s="129"/>
      <c r="X23" s="277">
        <f t="shared" si="2"/>
        <v>52.525702082022029</v>
      </c>
      <c r="Y23" s="284"/>
      <c r="Z23" s="129"/>
      <c r="AA23" s="129"/>
    </row>
    <row r="24" spans="2:29">
      <c r="B24" s="109">
        <f t="shared" si="0"/>
        <v>2030</v>
      </c>
      <c r="C24" s="113"/>
      <c r="D24" s="111"/>
      <c r="E24" s="111"/>
      <c r="F24" s="111"/>
      <c r="G24" s="112"/>
      <c r="H24" s="111"/>
      <c r="I24" s="111"/>
      <c r="J24" s="112"/>
      <c r="K24" s="112"/>
      <c r="L24" s="111">
        <f t="shared" si="1"/>
        <v>0</v>
      </c>
      <c r="P24" s="129">
        <f t="shared" si="3"/>
        <v>0</v>
      </c>
      <c r="Q24" s="112">
        <v>0</v>
      </c>
      <c r="T24" s="102">
        <f>T23*IRP_PTC_ESC!Q66</f>
        <v>1715.9066637797998</v>
      </c>
      <c r="U24" s="284"/>
      <c r="V24" s="129"/>
      <c r="W24" s="129"/>
      <c r="X24" s="277">
        <f t="shared" si="2"/>
        <v>53.718035519520768</v>
      </c>
      <c r="Y24" s="284"/>
      <c r="Z24" s="129"/>
      <c r="AA24" s="129"/>
    </row>
    <row r="25" spans="2:29">
      <c r="B25" s="109">
        <f t="shared" si="0"/>
        <v>2031</v>
      </c>
      <c r="C25" s="113"/>
      <c r="D25" s="111"/>
      <c r="E25" s="111"/>
      <c r="F25" s="111"/>
      <c r="G25" s="112"/>
      <c r="H25" s="111"/>
      <c r="I25" s="111"/>
      <c r="J25" s="112"/>
      <c r="K25" s="112"/>
      <c r="L25" s="111">
        <f t="shared" si="1"/>
        <v>0</v>
      </c>
      <c r="P25" s="129">
        <f t="shared" si="3"/>
        <v>0</v>
      </c>
      <c r="Q25" s="112">
        <v>0</v>
      </c>
      <c r="T25" s="102">
        <f>T24*IRP_PTC_ESC!Q67</f>
        <v>1571.7705029511199</v>
      </c>
      <c r="U25" s="284"/>
      <c r="V25" s="129"/>
      <c r="W25" s="129"/>
      <c r="X25" s="277">
        <f t="shared" si="2"/>
        <v>54.937434926056106</v>
      </c>
      <c r="Y25" s="284"/>
      <c r="Z25" s="129"/>
      <c r="AA25" s="129"/>
    </row>
    <row r="26" spans="2:29">
      <c r="B26" s="109">
        <f t="shared" si="0"/>
        <v>2032</v>
      </c>
      <c r="C26" s="113"/>
      <c r="D26" s="111"/>
      <c r="E26" s="111"/>
      <c r="F26" s="111"/>
      <c r="G26" s="112"/>
      <c r="H26" s="111"/>
      <c r="I26" s="111"/>
      <c r="J26" s="112"/>
      <c r="K26" s="112"/>
      <c r="L26" s="111">
        <f t="shared" si="1"/>
        <v>0</v>
      </c>
      <c r="P26" s="129">
        <f t="shared" si="3"/>
        <v>-41.110000610345303</v>
      </c>
      <c r="Q26" s="112">
        <v>-41.110000610345303</v>
      </c>
      <c r="T26" s="102">
        <f>T25*IRP_PTC_ESC!Q68</f>
        <v>1427.1676177885997</v>
      </c>
      <c r="U26" s="284"/>
      <c r="V26" s="129"/>
      <c r="W26" s="129"/>
      <c r="X26" s="277">
        <f t="shared" si="2"/>
        <v>56.184514699125295</v>
      </c>
      <c r="Y26" s="284"/>
      <c r="Z26" s="129"/>
      <c r="AA26" s="129"/>
    </row>
    <row r="27" spans="2:29">
      <c r="B27" s="109">
        <f t="shared" si="0"/>
        <v>2033</v>
      </c>
      <c r="C27" s="274">
        <f>IRP_LTReport!$R$82</f>
        <v>1452.8566346859955</v>
      </c>
      <c r="D27" s="111">
        <f>C27*$C$62</f>
        <v>96.716666171046725</v>
      </c>
      <c r="E27" s="281">
        <f>IRP_LTReport!$L$82</f>
        <v>61.940798395867283</v>
      </c>
      <c r="F27" s="111">
        <f>$C$60</f>
        <v>69.933537183487118</v>
      </c>
      <c r="G27" s="112">
        <f t="shared" ref="G27:G37" si="4">(D27+E27+F27)/(8.76*$C$63)</f>
        <v>70.431479828709669</v>
      </c>
      <c r="H27" s="111"/>
      <c r="I27" s="111">
        <v>-42.43</v>
      </c>
      <c r="J27" s="112">
        <f t="shared" ref="J27:J37" si="5">(G27+H27+I27)</f>
        <v>28.00147982870967</v>
      </c>
      <c r="K27" s="112">
        <f t="shared" ref="K27:K37" si="6">ROUND(J27*$C$63*8.76,2)</f>
        <v>90.88</v>
      </c>
      <c r="L27" s="111">
        <f t="shared" si="1"/>
        <v>228.59100175040112</v>
      </c>
      <c r="P27" s="129">
        <f t="shared" si="3"/>
        <v>-3.0517502835891719E-7</v>
      </c>
      <c r="Q27" s="112">
        <v>-42.430000305175028</v>
      </c>
      <c r="T27" s="102">
        <f>T26*IRP_PTC_ESC!Q69</f>
        <v>1452.8566349402995</v>
      </c>
      <c r="U27" s="284">
        <f t="shared" ref="U27" si="7">T27-C27</f>
        <v>2.5430404093640391E-7</v>
      </c>
      <c r="V27" s="129"/>
      <c r="W27" s="129"/>
      <c r="X27" s="277">
        <f t="shared" si="2"/>
        <v>57.459903183048773</v>
      </c>
      <c r="Y27" s="284">
        <f t="shared" ref="Y27" si="8">X27-E27</f>
        <v>-4.4808952128185098</v>
      </c>
      <c r="Z27" s="129"/>
      <c r="AA27" s="129"/>
    </row>
    <row r="28" spans="2:29">
      <c r="B28" s="109">
        <f t="shared" si="0"/>
        <v>2034</v>
      </c>
      <c r="C28" s="113"/>
      <c r="D28" s="111">
        <f t="shared" ref="D28:E37" si="9">ROUND(D27*(1+IRP23_Infl_Rate),2)</f>
        <v>98.91</v>
      </c>
      <c r="E28" s="111">
        <f t="shared" si="9"/>
        <v>63.35</v>
      </c>
      <c r="F28" s="111">
        <f t="shared" ref="F28:F37" si="10">ROUND(F27*(1+IRP23_Infl_Rate),2)</f>
        <v>71.52</v>
      </c>
      <c r="G28" s="112">
        <f t="shared" si="4"/>
        <v>72.030269031912368</v>
      </c>
      <c r="H28" s="111"/>
      <c r="I28" s="111">
        <v>-43.76</v>
      </c>
      <c r="J28" s="112">
        <f t="shared" si="5"/>
        <v>28.27026903191237</v>
      </c>
      <c r="K28" s="112">
        <f t="shared" si="6"/>
        <v>91.75</v>
      </c>
      <c r="L28" s="111">
        <f t="shared" si="1"/>
        <v>233.77999999999997</v>
      </c>
      <c r="P28" s="129">
        <f t="shared" si="3"/>
        <v>7.531752999057062E-13</v>
      </c>
      <c r="Q28" s="112">
        <v>-43.759999999999245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9"/>
        <v>101.16</v>
      </c>
      <c r="E29" s="111">
        <f t="shared" si="9"/>
        <v>64.790000000000006</v>
      </c>
      <c r="F29" s="111">
        <f t="shared" si="10"/>
        <v>73.14</v>
      </c>
      <c r="G29" s="112">
        <f t="shared" si="4"/>
        <v>73.666340246556288</v>
      </c>
      <c r="H29" s="111"/>
      <c r="I29" s="111">
        <v>-43.76</v>
      </c>
      <c r="J29" s="112">
        <f t="shared" si="5"/>
        <v>29.90634024655629</v>
      </c>
      <c r="K29" s="112">
        <f t="shared" si="6"/>
        <v>97.06</v>
      </c>
      <c r="L29" s="111">
        <f t="shared" si="1"/>
        <v>239.08999999999997</v>
      </c>
      <c r="P29" s="129">
        <f t="shared" si="3"/>
        <v>1.6784676120096265E-6</v>
      </c>
      <c r="Q29" s="112">
        <v>-43.759998321532386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9"/>
        <v>103.46</v>
      </c>
      <c r="E30" s="111">
        <f t="shared" si="9"/>
        <v>66.260000000000005</v>
      </c>
      <c r="F30" s="111">
        <f t="shared" si="10"/>
        <v>74.8</v>
      </c>
      <c r="G30" s="112">
        <f t="shared" si="4"/>
        <v>75.339384821983117</v>
      </c>
      <c r="H30" s="111"/>
      <c r="I30" s="111">
        <v>-45.09</v>
      </c>
      <c r="J30" s="112">
        <f t="shared" si="5"/>
        <v>30.249384821983114</v>
      </c>
      <c r="K30" s="112">
        <f t="shared" si="6"/>
        <v>98.18</v>
      </c>
      <c r="L30" s="111">
        <f t="shared" si="1"/>
        <v>244.51999999999998</v>
      </c>
      <c r="P30" s="129">
        <f t="shared" si="3"/>
        <v>9.9981689461756673E-3</v>
      </c>
      <c r="Q30" s="112">
        <v>-45.080001831053828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9"/>
        <v>105.81</v>
      </c>
      <c r="E31" s="111">
        <f t="shared" si="9"/>
        <v>67.760000000000005</v>
      </c>
      <c r="F31" s="111">
        <f t="shared" si="10"/>
        <v>76.5</v>
      </c>
      <c r="G31" s="112">
        <f t="shared" si="4"/>
        <v>77.049402758192869</v>
      </c>
      <c r="H31" s="111"/>
      <c r="I31" s="111">
        <v>-46.41</v>
      </c>
      <c r="J31" s="112">
        <f t="shared" si="5"/>
        <v>30.639402758192873</v>
      </c>
      <c r="K31" s="112">
        <f t="shared" si="6"/>
        <v>99.44</v>
      </c>
      <c r="L31" s="111">
        <f t="shared" si="1"/>
        <v>250.07</v>
      </c>
      <c r="P31" s="129">
        <f t="shared" si="3"/>
        <v>8.6686213762732223E-13</v>
      </c>
      <c r="Q31" s="112">
        <v>-46.40999999999913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9"/>
        <v>108.21</v>
      </c>
      <c r="E32" s="111">
        <f t="shared" si="9"/>
        <v>69.3</v>
      </c>
      <c r="F32" s="111">
        <f t="shared" si="10"/>
        <v>78.239999999999995</v>
      </c>
      <c r="G32" s="112">
        <f t="shared" si="4"/>
        <v>78.799475168584095</v>
      </c>
      <c r="H32" s="111"/>
      <c r="I32" s="111">
        <v>-46.41</v>
      </c>
      <c r="J32" s="112">
        <f t="shared" si="5"/>
        <v>32.389475168584099</v>
      </c>
      <c r="K32" s="112">
        <f t="shared" si="6"/>
        <v>105.12</v>
      </c>
      <c r="L32" s="111">
        <f t="shared" si="1"/>
        <v>255.75</v>
      </c>
      <c r="P32" s="129">
        <f t="shared" si="3"/>
        <v>1.5258878249824193E-7</v>
      </c>
      <c r="Q32" s="112">
        <v>-46.409999847411214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9"/>
        <v>110.67</v>
      </c>
      <c r="E33" s="111">
        <f t="shared" si="9"/>
        <v>70.87</v>
      </c>
      <c r="F33" s="111">
        <f t="shared" si="10"/>
        <v>80.02</v>
      </c>
      <c r="G33" s="112">
        <f t="shared" si="4"/>
        <v>80.589602053156824</v>
      </c>
      <c r="H33" s="111"/>
      <c r="I33" s="111">
        <v>-47.74</v>
      </c>
      <c r="J33" s="112">
        <f t="shared" si="5"/>
        <v>32.849602053156822</v>
      </c>
      <c r="K33" s="112">
        <f t="shared" si="6"/>
        <v>106.62</v>
      </c>
      <c r="L33" s="111">
        <f t="shared" si="1"/>
        <v>261.56</v>
      </c>
      <c r="P33" s="129">
        <f t="shared" si="3"/>
        <v>-1.6784659280233427E-6</v>
      </c>
      <c r="Q33" s="112">
        <v>-47.74000167846593</v>
      </c>
    </row>
    <row r="34" spans="2:17">
      <c r="B34" s="109">
        <f t="shared" si="0"/>
        <v>2040</v>
      </c>
      <c r="C34" s="113"/>
      <c r="D34" s="111">
        <f t="shared" si="9"/>
        <v>113.18</v>
      </c>
      <c r="E34" s="111">
        <f t="shared" si="9"/>
        <v>72.48</v>
      </c>
      <c r="F34" s="111">
        <f t="shared" si="10"/>
        <v>81.84</v>
      </c>
      <c r="G34" s="112">
        <f t="shared" si="4"/>
        <v>82.419783411911027</v>
      </c>
      <c r="H34" s="111"/>
      <c r="I34" s="111">
        <v>-49.06</v>
      </c>
      <c r="J34" s="112">
        <f t="shared" si="5"/>
        <v>33.359783411911025</v>
      </c>
      <c r="K34" s="112">
        <f t="shared" si="6"/>
        <v>108.27</v>
      </c>
      <c r="L34" s="111">
        <f t="shared" si="1"/>
        <v>267.5</v>
      </c>
      <c r="P34" s="129">
        <f t="shared" si="3"/>
        <v>-1.373290153594553E-6</v>
      </c>
      <c r="Q34" s="112">
        <v>-49.060001373290156</v>
      </c>
    </row>
    <row r="35" spans="2:17">
      <c r="B35" s="109">
        <f t="shared" si="0"/>
        <v>2041</v>
      </c>
      <c r="C35" s="113"/>
      <c r="D35" s="111">
        <f t="shared" si="9"/>
        <v>115.75</v>
      </c>
      <c r="E35" s="111">
        <f t="shared" si="9"/>
        <v>74.13</v>
      </c>
      <c r="F35" s="111">
        <f t="shared" si="10"/>
        <v>83.7</v>
      </c>
      <c r="G35" s="112">
        <f t="shared" si="4"/>
        <v>84.293100358245312</v>
      </c>
      <c r="H35" s="111"/>
      <c r="I35" s="111">
        <v>-50.39</v>
      </c>
      <c r="J35" s="112">
        <f t="shared" si="5"/>
        <v>33.903100358245311</v>
      </c>
      <c r="K35" s="112">
        <f t="shared" si="6"/>
        <v>110.04</v>
      </c>
      <c r="L35" s="111">
        <f t="shared" si="1"/>
        <v>273.58</v>
      </c>
      <c r="P35" s="129">
        <f t="shared" si="3"/>
        <v>9.8054897534893826E-13</v>
      </c>
      <c r="Q35" s="112">
        <v>-50.38999999999902</v>
      </c>
    </row>
    <row r="36" spans="2:17">
      <c r="B36" s="109">
        <f t="shared" si="0"/>
        <v>2042</v>
      </c>
      <c r="C36" s="113"/>
      <c r="D36" s="111">
        <f t="shared" si="9"/>
        <v>118.38</v>
      </c>
      <c r="E36" s="111">
        <f t="shared" si="9"/>
        <v>75.81</v>
      </c>
      <c r="F36" s="111">
        <f t="shared" si="10"/>
        <v>85.6</v>
      </c>
      <c r="G36" s="112">
        <f t="shared" si="4"/>
        <v>86.20647177876107</v>
      </c>
      <c r="H36" s="111"/>
      <c r="I36" s="111">
        <v>-50.39</v>
      </c>
      <c r="J36" s="112">
        <f t="shared" si="5"/>
        <v>35.81647177876107</v>
      </c>
      <c r="K36" s="112">
        <f t="shared" si="6"/>
        <v>116.25</v>
      </c>
      <c r="L36" s="111">
        <f t="shared" si="1"/>
        <v>279.78999999999996</v>
      </c>
      <c r="P36" s="129">
        <f t="shared" si="3"/>
        <v>6.103528846779227E-7</v>
      </c>
      <c r="Q36" s="112">
        <v>-50.389999389647116</v>
      </c>
    </row>
    <row r="37" spans="2:17">
      <c r="B37" s="109">
        <f t="shared" si="0"/>
        <v>2043</v>
      </c>
      <c r="C37" s="113"/>
      <c r="D37" s="111">
        <f t="shared" si="9"/>
        <v>121.07</v>
      </c>
      <c r="E37" s="111">
        <f t="shared" si="9"/>
        <v>77.53</v>
      </c>
      <c r="F37" s="111">
        <f t="shared" si="10"/>
        <v>87.54</v>
      </c>
      <c r="G37" s="112">
        <f t="shared" si="4"/>
        <v>88.162978786856897</v>
      </c>
      <c r="H37" s="111"/>
      <c r="I37" s="111">
        <v>-51.72</v>
      </c>
      <c r="J37" s="112">
        <f t="shared" si="5"/>
        <v>36.442978786856898</v>
      </c>
      <c r="K37" s="112">
        <f t="shared" si="6"/>
        <v>118.28</v>
      </c>
      <c r="L37" s="111">
        <f t="shared" si="1"/>
        <v>286.14</v>
      </c>
      <c r="P37" s="129"/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-PMT(Discount_Rate,COUNT(J23:J37),NPV(Discount_Rate,J23:J37))</f>
        <v>31.438357174236739</v>
      </c>
      <c r="K39" s="287">
        <f>-PMT(Discount_Rate,COUNT(K23:K37),NPV(Discount_Rate,K23:K37))</f>
        <v>102.0356030499738</v>
      </c>
      <c r="L39" s="287">
        <f>-PMT(Discount_Rate,COUNT(L23:L37),NPV(Discount_Rate,L23:L37))</f>
        <v>159.58189401528048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0.06657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37.0%)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WD_.PX.SOR._.PTC.WD - 37%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2033</v>
      </c>
      <c r="T54" s="273" t="s">
        <v>443</v>
      </c>
    </row>
    <row r="55" spans="2:20">
      <c r="B55" t="s">
        <v>152</v>
      </c>
      <c r="C55" s="267"/>
      <c r="D55" s="102" t="s">
        <v>65</v>
      </c>
      <c r="P55" s="226">
        <v>1282.0572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2033$</v>
      </c>
      <c r="C60" s="223">
        <f>IFERROR(INDEX('Table 3 TransCost'!$39:$39,1,MATCH(F60,'Table 3 TransCost'!$4:$4,0)+2),0)</f>
        <v>69.933537183487118</v>
      </c>
      <c r="D60" s="102" t="s">
        <v>137</v>
      </c>
      <c r="F60" s="102" t="s">
        <v>354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6.6570000000000004E-2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0.37049999910521797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216B-2104-4F92-9E2A-9EFA1BCCFD02}">
  <sheetPr>
    <tabColor rgb="FFFFC000"/>
    <pageSetUpPr fitToPage="1"/>
  </sheetPr>
  <dimension ref="B1:AC91"/>
  <sheetViews>
    <sheetView view="pageBreakPreview" topLeftCell="A40" zoomScale="70" zoomScaleNormal="100" zoomScaleSheetLayoutView="70" workbookViewId="0">
      <selection activeCell="T54" sqref="T5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PV_.PX.UTS._.SER.PV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32%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PV_.PX.UTS._.SER.PV - 32%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1140.3909027674149</v>
      </c>
      <c r="S16" s="284">
        <f>T16-R16</f>
        <v>5.6590972325850544</v>
      </c>
      <c r="T16" s="113">
        <v>1146.05</v>
      </c>
      <c r="X16" s="277">
        <v>21.158014243080867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T16*IRP_PTC_ESC!$Q3</f>
        <v>1541.093435</v>
      </c>
      <c r="X17" s="277">
        <f>X16*(1+IRP23_Infl_Rate)</f>
        <v>21.638301166494205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T17*IRP_PTC_ESC!$Q4</f>
        <v>1541.093435</v>
      </c>
      <c r="X18" s="277">
        <f>X17*(1+IRP23_Infl_Rate)</f>
        <v>22.12949060307119</v>
      </c>
      <c r="AC18" s="227"/>
    </row>
    <row r="19" spans="2:29">
      <c r="B19" s="109">
        <f t="shared" si="0"/>
        <v>2025</v>
      </c>
      <c r="C19" s="274">
        <f>IRP_LTReport!R4</f>
        <v>1541.0934107363389</v>
      </c>
      <c r="D19" s="111">
        <f>C19*$C$62</f>
        <v>77.91768284682928</v>
      </c>
      <c r="E19" s="281">
        <f>IRP_LTReport!L4</f>
        <v>22.32375336408445</v>
      </c>
      <c r="F19" s="165">
        <f>$C$60</f>
        <v>0</v>
      </c>
      <c r="G19" s="112">
        <f t="shared" ref="G19:G37" si="1">(D19+E19+F19)/(8.76*$C$63)</f>
        <v>35.486227168570828</v>
      </c>
      <c r="H19" s="111"/>
      <c r="I19" s="111">
        <v>-35.799999999999997</v>
      </c>
      <c r="J19" s="112">
        <f>(G19+H19+I19)</f>
        <v>-0.31377283142916923</v>
      </c>
      <c r="K19" s="112">
        <f t="shared" ref="K19:K37" si="2">ROUND(J19*$C$63*8.76,2)</f>
        <v>-0.89</v>
      </c>
      <c r="L19" s="111">
        <f t="shared" ref="L19:L37" si="3">(D19+E19+F19)</f>
        <v>100.24143621091373</v>
      </c>
      <c r="P19" s="129">
        <f>Q19-I19</f>
        <v>7.6293865447496501E-7</v>
      </c>
      <c r="Q19" s="112">
        <v>-35.799999237061343</v>
      </c>
      <c r="R19" s="277"/>
      <c r="S19" s="277"/>
      <c r="T19" s="102">
        <f>T18*IRP_PTC_ESC!$Q5</f>
        <v>1541.093435</v>
      </c>
      <c r="U19" s="284">
        <f>T19-C19</f>
        <v>2.4263661089207744E-5</v>
      </c>
      <c r="X19" s="277">
        <f>X18*(1+IRP23_Infl_Rate)</f>
        <v>22.631830039860688</v>
      </c>
      <c r="Y19" s="284">
        <f>X19-E19</f>
        <v>0.30807667577623832</v>
      </c>
    </row>
    <row r="20" spans="2:29">
      <c r="B20" s="109">
        <f t="shared" si="0"/>
        <v>2026</v>
      </c>
      <c r="C20" s="113"/>
      <c r="D20" s="111">
        <f t="shared" ref="D20:E35" si="4">ROUND(D19*(1+IRP23_Infl_Rate),2)</f>
        <v>79.69</v>
      </c>
      <c r="E20" s="111">
        <f t="shared" si="4"/>
        <v>22.83</v>
      </c>
      <c r="F20" s="165">
        <f t="shared" ref="F20:F37" si="5">$C$60</f>
        <v>0</v>
      </c>
      <c r="G20" s="112">
        <f t="shared" si="1"/>
        <v>36.292855996867594</v>
      </c>
      <c r="H20" s="111"/>
      <c r="I20" s="111">
        <v>-37.130000000000003</v>
      </c>
      <c r="J20" s="112">
        <f t="shared" ref="J20:J37" si="6">(G20+H20+I20)</f>
        <v>-0.83714400313240844</v>
      </c>
      <c r="K20" s="112">
        <f t="shared" si="2"/>
        <v>-2.36</v>
      </c>
      <c r="L20" s="111">
        <f t="shared" si="3"/>
        <v>102.52</v>
      </c>
      <c r="P20" s="129">
        <f t="shared" ref="P20:P36" si="7">Q20-I20</f>
        <v>-1.0681160418357649E-6</v>
      </c>
      <c r="Q20" s="112">
        <v>-37.130001068116044</v>
      </c>
      <c r="U20" s="129"/>
      <c r="W20" s="129"/>
    </row>
    <row r="21" spans="2:29">
      <c r="B21" s="109">
        <f t="shared" si="0"/>
        <v>2027</v>
      </c>
      <c r="C21" s="113"/>
      <c r="D21" s="111">
        <f t="shared" si="4"/>
        <v>81.5</v>
      </c>
      <c r="E21" s="111">
        <f t="shared" si="4"/>
        <v>23.35</v>
      </c>
      <c r="F21" s="165">
        <f t="shared" si="5"/>
        <v>0</v>
      </c>
      <c r="G21" s="112">
        <f t="shared" si="1"/>
        <v>37.117693633160044</v>
      </c>
      <c r="H21" s="111"/>
      <c r="I21" s="111">
        <v>-38.450000000000003</v>
      </c>
      <c r="J21" s="112">
        <f t="shared" si="6"/>
        <v>-1.3323063668399584</v>
      </c>
      <c r="K21" s="112">
        <f t="shared" si="2"/>
        <v>-3.76</v>
      </c>
      <c r="L21" s="111">
        <f t="shared" si="3"/>
        <v>104.85</v>
      </c>
      <c r="P21" s="129">
        <f t="shared" si="7"/>
        <v>-8.7396756498492323E-13</v>
      </c>
      <c r="Q21" s="112">
        <v>-38.450000000000877</v>
      </c>
      <c r="V21" s="129"/>
      <c r="W21" s="129"/>
      <c r="X21" s="129"/>
      <c r="Y21" s="129"/>
      <c r="Z21" s="129"/>
    </row>
    <row r="22" spans="2:29">
      <c r="B22" s="109">
        <f t="shared" si="0"/>
        <v>2028</v>
      </c>
      <c r="C22" s="113"/>
      <c r="D22" s="111">
        <f t="shared" si="4"/>
        <v>83.35</v>
      </c>
      <c r="E22" s="111">
        <f t="shared" si="4"/>
        <v>23.88</v>
      </c>
      <c r="F22" s="165">
        <f t="shared" si="5"/>
        <v>0</v>
      </c>
      <c r="G22" s="112">
        <f t="shared" si="1"/>
        <v>37.960231647913695</v>
      </c>
      <c r="H22" s="111"/>
      <c r="I22" s="111">
        <v>-38.450000000000003</v>
      </c>
      <c r="J22" s="112">
        <f t="shared" si="6"/>
        <v>-0.48976835208630831</v>
      </c>
      <c r="K22" s="112">
        <f t="shared" si="2"/>
        <v>-1.38</v>
      </c>
      <c r="L22" s="111">
        <f t="shared" si="3"/>
        <v>107.22999999999999</v>
      </c>
      <c r="P22" s="129">
        <f t="shared" si="7"/>
        <v>-7.6294036688295819E-7</v>
      </c>
      <c r="Q22" s="112">
        <v>-38.45000076294037</v>
      </c>
      <c r="T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4"/>
        <v>85.24</v>
      </c>
      <c r="E23" s="111">
        <f t="shared" si="4"/>
        <v>24.42</v>
      </c>
      <c r="F23" s="165">
        <f t="shared" si="5"/>
        <v>0</v>
      </c>
      <c r="G23" s="112">
        <f t="shared" si="1"/>
        <v>38.820470041128566</v>
      </c>
      <c r="H23" s="111"/>
      <c r="I23" s="111">
        <v>-39.78</v>
      </c>
      <c r="J23" s="112">
        <f t="shared" si="6"/>
        <v>-0.95952995887143544</v>
      </c>
      <c r="K23" s="112">
        <f t="shared" si="2"/>
        <v>-2.71</v>
      </c>
      <c r="L23" s="111">
        <f t="shared" si="3"/>
        <v>109.66</v>
      </c>
      <c r="P23" s="129">
        <f t="shared" si="7"/>
        <v>-8.8107299234252423E-13</v>
      </c>
      <c r="Q23" s="112">
        <v>-39.780000000000882</v>
      </c>
      <c r="T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4"/>
        <v>87.17</v>
      </c>
      <c r="E24" s="111">
        <f t="shared" si="4"/>
        <v>24.97</v>
      </c>
      <c r="F24" s="165">
        <f t="shared" si="5"/>
        <v>0</v>
      </c>
      <c r="G24" s="112">
        <f t="shared" si="1"/>
        <v>39.698408812804644</v>
      </c>
      <c r="H24" s="111"/>
      <c r="I24" s="111">
        <v>-39.78</v>
      </c>
      <c r="J24" s="112">
        <f t="shared" si="6"/>
        <v>-8.1591187195357406E-2</v>
      </c>
      <c r="K24" s="112">
        <f t="shared" si="2"/>
        <v>-0.23</v>
      </c>
      <c r="L24" s="111">
        <f t="shared" si="3"/>
        <v>112.14</v>
      </c>
      <c r="P24" s="129">
        <f t="shared" si="7"/>
        <v>1.2207017690002431E-6</v>
      </c>
      <c r="Q24" s="112">
        <v>-39.779998779298232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4"/>
        <v>89.15</v>
      </c>
      <c r="E25" s="111">
        <f t="shared" si="4"/>
        <v>25.54</v>
      </c>
      <c r="F25" s="165">
        <f t="shared" si="5"/>
        <v>0</v>
      </c>
      <c r="G25" s="112">
        <f t="shared" si="1"/>
        <v>40.601128114326421</v>
      </c>
      <c r="H25" s="111"/>
      <c r="I25" s="111">
        <v>-41.11</v>
      </c>
      <c r="J25" s="112">
        <f t="shared" si="6"/>
        <v>-0.50887188567357811</v>
      </c>
      <c r="K25" s="112">
        <f t="shared" si="2"/>
        <v>-1.44</v>
      </c>
      <c r="L25" s="111">
        <f t="shared" si="3"/>
        <v>114.69</v>
      </c>
      <c r="P25" s="129">
        <f t="shared" si="7"/>
        <v>-1.2363443602225743E-12</v>
      </c>
      <c r="Q25" s="112">
        <v>-41.110000000001236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4"/>
        <v>91.17</v>
      </c>
      <c r="E26" s="111">
        <f t="shared" si="4"/>
        <v>26.12</v>
      </c>
      <c r="F26" s="165">
        <f t="shared" si="5"/>
        <v>0</v>
      </c>
      <c r="G26" s="112">
        <f t="shared" si="1"/>
        <v>41.521547794309413</v>
      </c>
      <c r="H26" s="111"/>
      <c r="I26" s="111">
        <v>-41.11</v>
      </c>
      <c r="J26" s="112">
        <f t="shared" si="6"/>
        <v>0.41154779430941346</v>
      </c>
      <c r="K26" s="112">
        <f t="shared" si="2"/>
        <v>1.1599999999999999</v>
      </c>
      <c r="L26" s="111">
        <f t="shared" si="3"/>
        <v>117.29</v>
      </c>
      <c r="P26" s="129">
        <f t="shared" si="7"/>
        <v>-6.1035049014890319E-7</v>
      </c>
      <c r="Q26" s="112">
        <v>-41.11000061035049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4"/>
        <v>93.24</v>
      </c>
      <c r="E27" s="111">
        <f t="shared" si="4"/>
        <v>26.71</v>
      </c>
      <c r="F27" s="165">
        <f t="shared" si="5"/>
        <v>0</v>
      </c>
      <c r="G27" s="112">
        <f t="shared" si="1"/>
        <v>42.463207928445847</v>
      </c>
      <c r="H27" s="111"/>
      <c r="I27" s="111">
        <v>-42.43</v>
      </c>
      <c r="J27" s="112">
        <f t="shared" si="6"/>
        <v>3.3207928445847301E-2</v>
      </c>
      <c r="K27" s="112">
        <f t="shared" si="2"/>
        <v>0.09</v>
      </c>
      <c r="L27" s="111">
        <f t="shared" si="3"/>
        <v>119.94999999999999</v>
      </c>
      <c r="P27" s="129">
        <f t="shared" si="7"/>
        <v>42.43</v>
      </c>
      <c r="Q27" s="112">
        <v>0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4"/>
        <v>95.36</v>
      </c>
      <c r="E28" s="111">
        <f t="shared" si="4"/>
        <v>27.32</v>
      </c>
      <c r="F28" s="165">
        <f t="shared" si="5"/>
        <v>0</v>
      </c>
      <c r="G28" s="112">
        <f t="shared" si="1"/>
        <v>43.429648592427988</v>
      </c>
      <c r="H28" s="111"/>
      <c r="I28" s="111">
        <v>-43.76</v>
      </c>
      <c r="J28" s="112">
        <f t="shared" si="6"/>
        <v>-0.3303514075720102</v>
      </c>
      <c r="K28" s="112">
        <f t="shared" si="2"/>
        <v>-0.93</v>
      </c>
      <c r="L28" s="111">
        <f t="shared" si="3"/>
        <v>122.68</v>
      </c>
      <c r="P28" s="129">
        <f t="shared" si="7"/>
        <v>87.520000000007983</v>
      </c>
      <c r="Q28" s="112">
        <v>43.760000000007985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4"/>
        <v>97.52</v>
      </c>
      <c r="E29" s="111">
        <f t="shared" si="4"/>
        <v>27.94</v>
      </c>
      <c r="F29" s="165">
        <f t="shared" si="5"/>
        <v>0</v>
      </c>
      <c r="G29" s="112">
        <f t="shared" si="1"/>
        <v>44.413789634871328</v>
      </c>
      <c r="H29" s="111"/>
      <c r="I29" s="111"/>
      <c r="J29" s="112">
        <f t="shared" si="6"/>
        <v>44.413789634871328</v>
      </c>
      <c r="K29" s="112">
        <f t="shared" si="2"/>
        <v>125.46</v>
      </c>
      <c r="L29" s="111">
        <f t="shared" si="3"/>
        <v>125.46</v>
      </c>
      <c r="P29" s="129">
        <f t="shared" si="7"/>
        <v>0</v>
      </c>
      <c r="Q29" s="112">
        <v>0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4"/>
        <v>99.73</v>
      </c>
      <c r="E30" s="111">
        <f t="shared" si="4"/>
        <v>28.57</v>
      </c>
      <c r="F30" s="165">
        <f t="shared" si="5"/>
        <v>0</v>
      </c>
      <c r="G30" s="112">
        <f t="shared" si="1"/>
        <v>45.419171131468133</v>
      </c>
      <c r="H30" s="111"/>
      <c r="I30" s="111"/>
      <c r="J30" s="112">
        <f t="shared" si="6"/>
        <v>45.419171131468133</v>
      </c>
      <c r="K30" s="112">
        <f t="shared" si="2"/>
        <v>128.30000000000001</v>
      </c>
      <c r="L30" s="111">
        <f t="shared" si="3"/>
        <v>128.30000000000001</v>
      </c>
      <c r="P30" s="129">
        <f t="shared" si="7"/>
        <v>0</v>
      </c>
      <c r="Q30" s="112">
        <v>0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4"/>
        <v>101.99</v>
      </c>
      <c r="E31" s="111">
        <f t="shared" si="4"/>
        <v>29.22</v>
      </c>
      <c r="F31" s="165">
        <f t="shared" si="5"/>
        <v>0</v>
      </c>
      <c r="G31" s="112">
        <f t="shared" si="1"/>
        <v>46.449333157910623</v>
      </c>
      <c r="H31" s="111"/>
      <c r="I31" s="111"/>
      <c r="J31" s="112">
        <f t="shared" si="6"/>
        <v>46.449333157910623</v>
      </c>
      <c r="K31" s="112">
        <f t="shared" si="2"/>
        <v>131.21</v>
      </c>
      <c r="L31" s="111">
        <f t="shared" si="3"/>
        <v>131.20999999999998</v>
      </c>
      <c r="P31" s="129">
        <f t="shared" si="7"/>
        <v>0</v>
      </c>
      <c r="Q31" s="112">
        <v>0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4"/>
        <v>104.31</v>
      </c>
      <c r="E32" s="111">
        <f t="shared" si="4"/>
        <v>29.88</v>
      </c>
      <c r="F32" s="165">
        <f t="shared" si="5"/>
        <v>0</v>
      </c>
      <c r="G32" s="112">
        <f t="shared" si="1"/>
        <v>47.504275714198819</v>
      </c>
      <c r="H32" s="111"/>
      <c r="I32" s="111"/>
      <c r="J32" s="112">
        <f t="shared" si="6"/>
        <v>47.504275714198819</v>
      </c>
      <c r="K32" s="112">
        <f t="shared" si="2"/>
        <v>134.19</v>
      </c>
      <c r="L32" s="111">
        <f t="shared" si="3"/>
        <v>134.19</v>
      </c>
      <c r="P32" s="129">
        <f t="shared" si="7"/>
        <v>0</v>
      </c>
      <c r="Q32" s="112">
        <v>0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4"/>
        <v>106.68</v>
      </c>
      <c r="E33" s="111">
        <f t="shared" si="4"/>
        <v>30.56</v>
      </c>
      <c r="F33" s="165">
        <f t="shared" si="5"/>
        <v>0</v>
      </c>
      <c r="G33" s="112">
        <f t="shared" si="1"/>
        <v>48.583998800332708</v>
      </c>
      <c r="H33" s="111"/>
      <c r="I33" s="111"/>
      <c r="J33" s="112">
        <f t="shared" si="6"/>
        <v>48.583998800332708</v>
      </c>
      <c r="K33" s="112">
        <f t="shared" si="2"/>
        <v>137.24</v>
      </c>
      <c r="L33" s="111">
        <f t="shared" si="3"/>
        <v>137.24</v>
      </c>
      <c r="P33" s="129">
        <f t="shared" si="7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4"/>
        <v>109.1</v>
      </c>
      <c r="E34" s="111">
        <f t="shared" si="4"/>
        <v>31.25</v>
      </c>
      <c r="F34" s="165">
        <f t="shared" si="5"/>
        <v>0</v>
      </c>
      <c r="G34" s="112">
        <f t="shared" si="1"/>
        <v>49.684962340620046</v>
      </c>
      <c r="H34" s="111"/>
      <c r="I34" s="111"/>
      <c r="J34" s="112">
        <f t="shared" si="6"/>
        <v>49.684962340620046</v>
      </c>
      <c r="K34" s="112">
        <f t="shared" si="2"/>
        <v>140.35</v>
      </c>
      <c r="L34" s="111">
        <f t="shared" si="3"/>
        <v>140.35</v>
      </c>
      <c r="P34" s="129">
        <f t="shared" si="7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4"/>
        <v>111.58</v>
      </c>
      <c r="E35" s="111">
        <f t="shared" si="4"/>
        <v>31.96</v>
      </c>
      <c r="F35" s="165">
        <f t="shared" si="5"/>
        <v>0</v>
      </c>
      <c r="G35" s="112">
        <f t="shared" si="1"/>
        <v>50.814246486445327</v>
      </c>
      <c r="H35" s="111"/>
      <c r="I35" s="111"/>
      <c r="J35" s="112">
        <f t="shared" si="6"/>
        <v>50.814246486445327</v>
      </c>
      <c r="K35" s="112">
        <f t="shared" si="2"/>
        <v>143.54</v>
      </c>
      <c r="L35" s="111">
        <f t="shared" si="3"/>
        <v>143.54</v>
      </c>
      <c r="P35" s="129">
        <f t="shared" si="7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ref="D36:E37" si="8">ROUND(D35*(1+IRP23_Infl_Rate),2)</f>
        <v>114.11</v>
      </c>
      <c r="E36" s="111">
        <f t="shared" si="8"/>
        <v>32.69</v>
      </c>
      <c r="F36" s="165">
        <f t="shared" si="5"/>
        <v>0</v>
      </c>
      <c r="G36" s="112">
        <f t="shared" si="1"/>
        <v>51.968311162116308</v>
      </c>
      <c r="H36" s="111"/>
      <c r="I36" s="111"/>
      <c r="J36" s="112">
        <f t="shared" si="6"/>
        <v>51.968311162116308</v>
      </c>
      <c r="K36" s="112">
        <f t="shared" si="2"/>
        <v>146.80000000000001</v>
      </c>
      <c r="L36" s="111">
        <f t="shared" si="3"/>
        <v>146.80000000000001</v>
      </c>
      <c r="P36" s="129">
        <f t="shared" si="7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8"/>
        <v>116.7</v>
      </c>
      <c r="E37" s="111">
        <f t="shared" si="8"/>
        <v>33.43</v>
      </c>
      <c r="F37" s="165">
        <f t="shared" si="5"/>
        <v>0</v>
      </c>
      <c r="G37" s="112">
        <f t="shared" si="1"/>
        <v>53.147156367632974</v>
      </c>
      <c r="H37" s="111"/>
      <c r="I37" s="111"/>
      <c r="J37" s="112">
        <f t="shared" si="6"/>
        <v>53.147156367632974</v>
      </c>
      <c r="K37" s="112">
        <f t="shared" si="2"/>
        <v>150.13</v>
      </c>
      <c r="L37" s="111">
        <f t="shared" si="3"/>
        <v>150.13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-PMT(Discount_Rate,COUNT(J19:J37),NPV(Discount_Rate,J19:J37))</f>
        <v>15.330004658053655</v>
      </c>
      <c r="K39" s="287">
        <f>-PMT(Discount_Rate,COUNT(K19:K37),NPV(Discount_Rate,K19:K37))</f>
        <v>43.304496863731742</v>
      </c>
      <c r="L39" s="287">
        <f>-PMT(Discount_Rate,COUNT(L19:L37),NPV(Discount_Rate,L19:L37))</f>
        <v>118.35157523978663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32.2%)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PV_.PX.UTS._.SER.PV - 32%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2025</v>
      </c>
      <c r="T54" s="273" t="s">
        <v>216</v>
      </c>
    </row>
    <row r="55" spans="2:20">
      <c r="B55" t="s">
        <v>152</v>
      </c>
      <c r="C55" s="267"/>
      <c r="D55" s="102" t="s">
        <v>65</v>
      </c>
      <c r="P55" s="226">
        <v>295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0.32246556589655151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6D692-4033-43C2-AEE2-68625927BF9B}">
  <sheetPr>
    <tabColor rgb="FFFFC000"/>
    <pageSetUpPr fitToPage="1"/>
  </sheetPr>
  <dimension ref="B1:AC91"/>
  <sheetViews>
    <sheetView view="pageBreakPreview" topLeftCell="A38" zoomScale="60" zoomScaleNormal="100" workbookViewId="0">
      <selection activeCell="T54" sqref="T5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PV_.PX.UWY._.SER.PV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30%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PV_.PX.UWY._.SER.PV - 30%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>
        <f t="shared" ref="L13:L37" si="1">(D13+E13+F13)</f>
        <v>0</v>
      </c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>
        <f t="shared" si="1"/>
        <v>0</v>
      </c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>
        <f t="shared" si="1"/>
        <v>0</v>
      </c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>
        <f t="shared" si="1"/>
        <v>0</v>
      </c>
      <c r="R16" s="274">
        <v>1187.3080726195624</v>
      </c>
      <c r="S16" s="284">
        <f>T16-R16</f>
        <v>5.8919273804376644</v>
      </c>
      <c r="T16" s="113">
        <v>1193.2</v>
      </c>
      <c r="X16" s="277">
        <v>21.158014243080867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>
        <f t="shared" si="1"/>
        <v>0</v>
      </c>
      <c r="R17" s="277"/>
      <c r="S17" s="277"/>
      <c r="T17" s="102">
        <f>T16*IRP_PTC_ESC!$Q3</f>
        <v>1604.49604</v>
      </c>
      <c r="X17" s="277">
        <f>X16*(1+IRP23_Infl_Rate)</f>
        <v>21.638301166494205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>
        <f t="shared" si="1"/>
        <v>0</v>
      </c>
      <c r="Q18" s="263"/>
      <c r="R18" s="277"/>
      <c r="S18" s="277"/>
      <c r="T18" s="102">
        <f>T17*IRP_PTC_ESC!$Q4</f>
        <v>1604.49604</v>
      </c>
      <c r="X18" s="277">
        <f>X17*(1+IRP23_Infl_Rate)</f>
        <v>22.12949060307119</v>
      </c>
      <c r="AC18" s="227"/>
    </row>
    <row r="19" spans="2:29">
      <c r="B19" s="109">
        <f t="shared" si="0"/>
        <v>2025</v>
      </c>
      <c r="C19" s="274">
        <f>IRP_LTReport!R6</f>
        <v>1604.496014738</v>
      </c>
      <c r="D19" s="111">
        <f>C19*$C$62</f>
        <v>81.123318505153264</v>
      </c>
      <c r="E19" s="281">
        <f>IRP_LTReport!L6</f>
        <v>22.32375336416516</v>
      </c>
      <c r="F19" s="165">
        <f>$C$60</f>
        <v>0</v>
      </c>
      <c r="G19" s="112">
        <f t="shared" ref="G19:G37" si="2">(D19+E19+F19)/(8.76*$C$63)</f>
        <v>39.711691295367167</v>
      </c>
      <c r="H19" s="111"/>
      <c r="I19" s="111">
        <v>-35.799999999999997</v>
      </c>
      <c r="J19" s="112">
        <f>(G19+H19+I19)</f>
        <v>3.9116912953671701</v>
      </c>
      <c r="K19" s="112">
        <f t="shared" ref="K19:K37" si="3">ROUND(J19*$C$63*8.76,2)</f>
        <v>10.19</v>
      </c>
      <c r="L19" s="111">
        <f t="shared" si="1"/>
        <v>103.44707186931842</v>
      </c>
      <c r="P19" s="129">
        <f>Q19-I19</f>
        <v>7.6294553252864716E-7</v>
      </c>
      <c r="Q19" s="112">
        <v>-35.799999237054465</v>
      </c>
      <c r="R19" s="277"/>
      <c r="S19" s="277"/>
      <c r="T19" s="102">
        <f>T18*IRP_PTC_ESC!$Q5</f>
        <v>1604.49604</v>
      </c>
      <c r="U19" s="284">
        <f>T19-C19</f>
        <v>2.5262000008297036E-5</v>
      </c>
      <c r="X19" s="277">
        <f>X18*(1+IRP23_Infl_Rate)</f>
        <v>22.631830039860688</v>
      </c>
      <c r="Y19" s="284">
        <f>X19-E19</f>
        <v>0.30807667569552777</v>
      </c>
    </row>
    <row r="20" spans="2:29">
      <c r="B20" s="109">
        <f t="shared" si="0"/>
        <v>2026</v>
      </c>
      <c r="C20" s="113"/>
      <c r="D20" s="111">
        <f t="shared" ref="D20:E35" si="4">ROUND(D19*(1+IRP23_Infl_Rate),2)</f>
        <v>82.96</v>
      </c>
      <c r="E20" s="111">
        <f t="shared" si="4"/>
        <v>22.83</v>
      </c>
      <c r="F20" s="165">
        <f t="shared" ref="F20:F37" si="5">$C$60</f>
        <v>0</v>
      </c>
      <c r="G20" s="112">
        <f t="shared" si="2"/>
        <v>40.611104270249577</v>
      </c>
      <c r="H20" s="111"/>
      <c r="I20" s="111">
        <v>-37.130000000000003</v>
      </c>
      <c r="J20" s="112">
        <f t="shared" ref="J20:J37" si="6">(G20+H20+I20)</f>
        <v>3.481104270249574</v>
      </c>
      <c r="K20" s="112">
        <f t="shared" si="3"/>
        <v>9.07</v>
      </c>
      <c r="L20" s="111">
        <f t="shared" si="1"/>
        <v>105.78999999999999</v>
      </c>
      <c r="P20" s="129">
        <f t="shared" ref="P20:P36" si="7">Q20-I20</f>
        <v>-1.0681102793341779E-6</v>
      </c>
      <c r="Q20" s="112">
        <v>-37.130001068110282</v>
      </c>
      <c r="U20" s="129"/>
      <c r="W20" s="129"/>
    </row>
    <row r="21" spans="2:29">
      <c r="B21" s="109">
        <f t="shared" si="0"/>
        <v>2027</v>
      </c>
      <c r="C21" s="113"/>
      <c r="D21" s="111">
        <f t="shared" si="4"/>
        <v>84.84</v>
      </c>
      <c r="E21" s="111">
        <f t="shared" si="4"/>
        <v>23.35</v>
      </c>
      <c r="F21" s="165">
        <f t="shared" si="5"/>
        <v>0</v>
      </c>
      <c r="G21" s="112">
        <f t="shared" si="2"/>
        <v>41.53242623119673</v>
      </c>
      <c r="H21" s="111"/>
      <c r="I21" s="111">
        <v>-38.450000000000003</v>
      </c>
      <c r="J21" s="112">
        <f t="shared" si="6"/>
        <v>3.0824262311967274</v>
      </c>
      <c r="K21" s="112">
        <f t="shared" si="3"/>
        <v>8.0299999999999994</v>
      </c>
      <c r="L21" s="111">
        <f t="shared" si="1"/>
        <v>108.19</v>
      </c>
      <c r="P21" s="129">
        <f t="shared" si="7"/>
        <v>7.3399064604018349E-12</v>
      </c>
      <c r="Q21" s="112">
        <v>-38.449999999992663</v>
      </c>
      <c r="V21" s="129"/>
      <c r="W21" s="129"/>
      <c r="X21" s="129"/>
      <c r="Y21" s="129"/>
      <c r="Z21" s="129"/>
    </row>
    <row r="22" spans="2:29">
      <c r="B22" s="109">
        <f t="shared" si="0"/>
        <v>2028</v>
      </c>
      <c r="C22" s="113"/>
      <c r="D22" s="111">
        <f t="shared" si="4"/>
        <v>86.77</v>
      </c>
      <c r="E22" s="111">
        <f t="shared" si="4"/>
        <v>23.88</v>
      </c>
      <c r="F22" s="165">
        <f t="shared" si="5"/>
        <v>0</v>
      </c>
      <c r="G22" s="112">
        <f t="shared" si="2"/>
        <v>42.476781241167558</v>
      </c>
      <c r="H22" s="111"/>
      <c r="I22" s="111">
        <v>-38.450000000000003</v>
      </c>
      <c r="J22" s="112">
        <f t="shared" si="6"/>
        <v>4.026781241167555</v>
      </c>
      <c r="K22" s="112">
        <f t="shared" si="3"/>
        <v>10.49</v>
      </c>
      <c r="L22" s="111">
        <f t="shared" si="1"/>
        <v>110.64999999999999</v>
      </c>
      <c r="P22" s="129">
        <f t="shared" si="7"/>
        <v>-7.6293357409440432E-7</v>
      </c>
      <c r="Q22" s="112">
        <v>-38.450000762933577</v>
      </c>
      <c r="T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4"/>
        <v>88.74</v>
      </c>
      <c r="E23" s="111">
        <f t="shared" si="4"/>
        <v>24.42</v>
      </c>
      <c r="F23" s="165">
        <f t="shared" si="5"/>
        <v>0</v>
      </c>
      <c r="G23" s="112">
        <f t="shared" si="2"/>
        <v>43.440330458658124</v>
      </c>
      <c r="H23" s="111"/>
      <c r="I23" s="111">
        <v>-39.78</v>
      </c>
      <c r="J23" s="112">
        <f t="shared" si="6"/>
        <v>3.6603304586581231</v>
      </c>
      <c r="K23" s="112">
        <f t="shared" si="3"/>
        <v>9.5299999999999994</v>
      </c>
      <c r="L23" s="111">
        <f t="shared" si="1"/>
        <v>113.16</v>
      </c>
      <c r="P23" s="129">
        <f t="shared" si="7"/>
        <v>8.6473050942004193E-12</v>
      </c>
      <c r="Q23" s="112">
        <v>-39.779999999991354</v>
      </c>
      <c r="T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4"/>
        <v>90.75</v>
      </c>
      <c r="E24" s="111">
        <f t="shared" si="4"/>
        <v>24.97</v>
      </c>
      <c r="F24" s="165">
        <f t="shared" si="5"/>
        <v>0</v>
      </c>
      <c r="G24" s="112">
        <f t="shared" si="2"/>
        <v>44.423073883668415</v>
      </c>
      <c r="H24" s="111"/>
      <c r="I24" s="111">
        <v>-39.78</v>
      </c>
      <c r="J24" s="112">
        <f t="shared" si="6"/>
        <v>4.6430738836684142</v>
      </c>
      <c r="K24" s="112">
        <f t="shared" si="3"/>
        <v>12.09</v>
      </c>
      <c r="L24" s="111">
        <f t="shared" si="1"/>
        <v>115.72</v>
      </c>
      <c r="P24" s="129">
        <f t="shared" si="7"/>
        <v>1.2207152053633763E-6</v>
      </c>
      <c r="Q24" s="112">
        <v>-39.779998779284796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4"/>
        <v>92.81</v>
      </c>
      <c r="E25" s="111">
        <f t="shared" si="4"/>
        <v>25.54</v>
      </c>
      <c r="F25" s="165">
        <f t="shared" si="5"/>
        <v>0</v>
      </c>
      <c r="G25" s="112">
        <f t="shared" si="2"/>
        <v>45.43268919920633</v>
      </c>
      <c r="H25" s="111"/>
      <c r="I25" s="111">
        <v>-41.11</v>
      </c>
      <c r="J25" s="112">
        <f t="shared" si="6"/>
        <v>4.3226891992063301</v>
      </c>
      <c r="K25" s="112">
        <f t="shared" si="3"/>
        <v>11.26</v>
      </c>
      <c r="L25" s="111">
        <f t="shared" si="1"/>
        <v>118.35</v>
      </c>
      <c r="P25" s="129">
        <f t="shared" si="7"/>
        <v>6.0182969718880486E-12</v>
      </c>
      <c r="Q25" s="112">
        <v>-41.109999999993981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4"/>
        <v>94.92</v>
      </c>
      <c r="E26" s="111">
        <f t="shared" si="4"/>
        <v>26.12</v>
      </c>
      <c r="F26" s="165">
        <f t="shared" si="5"/>
        <v>0</v>
      </c>
      <c r="G26" s="112">
        <f t="shared" si="2"/>
        <v>46.465337563767932</v>
      </c>
      <c r="H26" s="111"/>
      <c r="I26" s="111">
        <v>-41.11</v>
      </c>
      <c r="J26" s="112">
        <f t="shared" si="6"/>
        <v>5.3553375637679324</v>
      </c>
      <c r="K26" s="112">
        <f t="shared" si="3"/>
        <v>13.95</v>
      </c>
      <c r="L26" s="111">
        <f t="shared" si="1"/>
        <v>121.04</v>
      </c>
      <c r="P26" s="129">
        <f t="shared" si="7"/>
        <v>-6.1031311560100221E-7</v>
      </c>
      <c r="Q26" s="112">
        <v>-41.110000610313115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4"/>
        <v>97.07</v>
      </c>
      <c r="E27" s="111">
        <f t="shared" si="4"/>
        <v>26.71</v>
      </c>
      <c r="F27" s="165">
        <f t="shared" si="5"/>
        <v>0</v>
      </c>
      <c r="G27" s="112">
        <f t="shared" si="2"/>
        <v>47.517180135849259</v>
      </c>
      <c r="H27" s="111"/>
      <c r="I27" s="111">
        <v>-42.43</v>
      </c>
      <c r="J27" s="112">
        <f t="shared" si="6"/>
        <v>5.087180135849259</v>
      </c>
      <c r="K27" s="112">
        <f t="shared" si="3"/>
        <v>13.25</v>
      </c>
      <c r="L27" s="111">
        <f t="shared" si="1"/>
        <v>123.78</v>
      </c>
      <c r="P27" s="129">
        <f t="shared" si="7"/>
        <v>42.43</v>
      </c>
      <c r="Q27" s="112">
        <v>0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4"/>
        <v>99.27</v>
      </c>
      <c r="E28" s="111">
        <f t="shared" si="4"/>
        <v>27.32</v>
      </c>
      <c r="F28" s="165">
        <f t="shared" si="5"/>
        <v>0</v>
      </c>
      <c r="G28" s="112">
        <f t="shared" si="2"/>
        <v>48.595894598458216</v>
      </c>
      <c r="H28" s="111"/>
      <c r="I28" s="111">
        <v>-43.76</v>
      </c>
      <c r="J28" s="112">
        <f t="shared" si="6"/>
        <v>4.8358945984582178</v>
      </c>
      <c r="K28" s="112">
        <f t="shared" si="3"/>
        <v>12.6</v>
      </c>
      <c r="L28" s="111">
        <f t="shared" si="1"/>
        <v>126.59</v>
      </c>
      <c r="P28" s="129">
        <f t="shared" si="7"/>
        <v>87.519999999454086</v>
      </c>
      <c r="Q28" s="112">
        <v>43.759999999454095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4"/>
        <v>101.52</v>
      </c>
      <c r="E29" s="111">
        <f t="shared" si="4"/>
        <v>27.94</v>
      </c>
      <c r="F29" s="165">
        <f t="shared" si="5"/>
        <v>0</v>
      </c>
      <c r="G29" s="112">
        <f t="shared" si="2"/>
        <v>49.697642110090854</v>
      </c>
      <c r="H29" s="111"/>
      <c r="I29" s="111"/>
      <c r="J29" s="112">
        <f t="shared" si="6"/>
        <v>49.697642110090854</v>
      </c>
      <c r="K29" s="112">
        <f t="shared" si="3"/>
        <v>129.46</v>
      </c>
      <c r="L29" s="111">
        <f t="shared" si="1"/>
        <v>129.46</v>
      </c>
      <c r="P29" s="129">
        <f t="shared" si="7"/>
        <v>0</v>
      </c>
      <c r="Q29" s="112">
        <v>0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4"/>
        <v>103.82</v>
      </c>
      <c r="E30" s="111">
        <f t="shared" si="4"/>
        <v>28.57</v>
      </c>
      <c r="F30" s="165">
        <f t="shared" si="5"/>
        <v>0</v>
      </c>
      <c r="G30" s="112">
        <f t="shared" si="2"/>
        <v>50.822422670747159</v>
      </c>
      <c r="H30" s="111"/>
      <c r="I30" s="111"/>
      <c r="J30" s="112">
        <f t="shared" si="6"/>
        <v>50.822422670747159</v>
      </c>
      <c r="K30" s="112">
        <f t="shared" si="3"/>
        <v>132.38999999999999</v>
      </c>
      <c r="L30" s="111">
        <f t="shared" si="1"/>
        <v>132.38999999999999</v>
      </c>
      <c r="P30" s="129">
        <f t="shared" si="7"/>
        <v>0</v>
      </c>
      <c r="Q30" s="112">
        <v>0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4"/>
        <v>106.18</v>
      </c>
      <c r="E31" s="111">
        <f t="shared" si="4"/>
        <v>29.22</v>
      </c>
      <c r="F31" s="165">
        <f t="shared" si="5"/>
        <v>0</v>
      </c>
      <c r="G31" s="112">
        <f t="shared" si="2"/>
        <v>51.97791396343505</v>
      </c>
      <c r="H31" s="111"/>
      <c r="I31" s="111"/>
      <c r="J31" s="112">
        <f t="shared" si="6"/>
        <v>51.97791396343505</v>
      </c>
      <c r="K31" s="112">
        <f t="shared" si="3"/>
        <v>135.4</v>
      </c>
      <c r="L31" s="111">
        <f t="shared" si="1"/>
        <v>135.4</v>
      </c>
      <c r="P31" s="129">
        <f t="shared" si="7"/>
        <v>0</v>
      </c>
      <c r="Q31" s="112">
        <v>0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4"/>
        <v>108.59</v>
      </c>
      <c r="E32" s="111">
        <f t="shared" si="4"/>
        <v>29.88</v>
      </c>
      <c r="F32" s="165">
        <f t="shared" si="5"/>
        <v>0</v>
      </c>
      <c r="G32" s="112">
        <f t="shared" si="2"/>
        <v>53.156438305146608</v>
      </c>
      <c r="H32" s="111"/>
      <c r="I32" s="111"/>
      <c r="J32" s="112">
        <f t="shared" si="6"/>
        <v>53.156438305146608</v>
      </c>
      <c r="K32" s="112">
        <f t="shared" si="3"/>
        <v>138.47</v>
      </c>
      <c r="L32" s="111">
        <f t="shared" si="1"/>
        <v>138.47</v>
      </c>
      <c r="P32" s="129">
        <f t="shared" si="7"/>
        <v>0</v>
      </c>
      <c r="Q32" s="112">
        <v>0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4"/>
        <v>111.05</v>
      </c>
      <c r="E33" s="111">
        <f t="shared" si="4"/>
        <v>30.56</v>
      </c>
      <c r="F33" s="165">
        <f t="shared" si="5"/>
        <v>0</v>
      </c>
      <c r="G33" s="112">
        <f t="shared" si="2"/>
        <v>54.361834537385789</v>
      </c>
      <c r="H33" s="111"/>
      <c r="I33" s="111"/>
      <c r="J33" s="112">
        <f t="shared" si="6"/>
        <v>54.361834537385789</v>
      </c>
      <c r="K33" s="112">
        <f t="shared" si="3"/>
        <v>141.61000000000001</v>
      </c>
      <c r="L33" s="111">
        <f t="shared" si="1"/>
        <v>141.60999999999999</v>
      </c>
      <c r="P33" s="129">
        <f t="shared" si="7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4"/>
        <v>113.57</v>
      </c>
      <c r="E34" s="111">
        <f t="shared" si="4"/>
        <v>31.25</v>
      </c>
      <c r="F34" s="165">
        <f t="shared" si="5"/>
        <v>0</v>
      </c>
      <c r="G34" s="112">
        <f t="shared" si="2"/>
        <v>55.594102660152608</v>
      </c>
      <c r="H34" s="111"/>
      <c r="I34" s="111"/>
      <c r="J34" s="112">
        <f t="shared" si="6"/>
        <v>55.594102660152608</v>
      </c>
      <c r="K34" s="112">
        <f t="shared" si="3"/>
        <v>144.82</v>
      </c>
      <c r="L34" s="111">
        <f t="shared" si="1"/>
        <v>144.82</v>
      </c>
      <c r="P34" s="129">
        <f t="shared" si="7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4"/>
        <v>116.15</v>
      </c>
      <c r="E35" s="111">
        <f t="shared" si="4"/>
        <v>31.96</v>
      </c>
      <c r="F35" s="165">
        <f t="shared" si="5"/>
        <v>0</v>
      </c>
      <c r="G35" s="112">
        <f t="shared" si="2"/>
        <v>56.857081514950998</v>
      </c>
      <c r="H35" s="111"/>
      <c r="I35" s="111"/>
      <c r="J35" s="112">
        <f t="shared" si="6"/>
        <v>56.857081514950998</v>
      </c>
      <c r="K35" s="112">
        <f t="shared" si="3"/>
        <v>148.11000000000001</v>
      </c>
      <c r="L35" s="111">
        <f t="shared" si="1"/>
        <v>148.11000000000001</v>
      </c>
      <c r="P35" s="129">
        <f t="shared" si="7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ref="D36:E37" si="8">ROUND(D35*(1+IRP23_Infl_Rate),2)</f>
        <v>118.79</v>
      </c>
      <c r="E36" s="111">
        <f t="shared" si="8"/>
        <v>32.69</v>
      </c>
      <c r="F36" s="165">
        <f t="shared" si="5"/>
        <v>0</v>
      </c>
      <c r="G36" s="112">
        <f t="shared" si="2"/>
        <v>58.150771101780954</v>
      </c>
      <c r="H36" s="111"/>
      <c r="I36" s="111"/>
      <c r="J36" s="112">
        <f t="shared" si="6"/>
        <v>58.150771101780954</v>
      </c>
      <c r="K36" s="112">
        <f t="shared" si="3"/>
        <v>151.47999999999999</v>
      </c>
      <c r="L36" s="111">
        <f t="shared" si="1"/>
        <v>151.48000000000002</v>
      </c>
      <c r="P36" s="129">
        <f t="shared" si="7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8"/>
        <v>121.49</v>
      </c>
      <c r="E37" s="111">
        <f t="shared" si="8"/>
        <v>33.43</v>
      </c>
      <c r="F37" s="165">
        <f t="shared" si="5"/>
        <v>0</v>
      </c>
      <c r="G37" s="112">
        <f t="shared" si="2"/>
        <v>59.471332579138526</v>
      </c>
      <c r="H37" s="111"/>
      <c r="I37" s="111"/>
      <c r="J37" s="112">
        <f t="shared" si="6"/>
        <v>59.471332579138526</v>
      </c>
      <c r="K37" s="112">
        <f t="shared" si="3"/>
        <v>154.91999999999999</v>
      </c>
      <c r="L37" s="111">
        <f t="shared" si="1"/>
        <v>154.91999999999999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-PMT(Discount_Rate,COUNT(J19:J37),NPV(Discount_Rate,J19:J37))</f>
        <v>20.315346892978791</v>
      </c>
      <c r="K39" s="287">
        <f>-PMT(Discount_Rate,COUNT(K19:K37),NPV(Discount_Rate,K19:K37))</f>
        <v>52.920085114789053</v>
      </c>
      <c r="L39" s="287">
        <f>-PMT(Discount_Rate,COUNT(L19:L37),NPV(Discount_Rate,L19:L37))</f>
        <v>122.12719814356242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29.7%)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PV_.PX.UWY._.SER.PV - 30%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2025</v>
      </c>
      <c r="T54" s="273" t="s">
        <v>428</v>
      </c>
    </row>
    <row r="55" spans="2:20">
      <c r="B55" t="s">
        <v>152</v>
      </c>
      <c r="C55" s="267"/>
      <c r="D55" s="102" t="s">
        <v>65</v>
      </c>
      <c r="P55" s="226">
        <v>20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0.29736901360526885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003F-2BA5-4D45-90F5-8426A0BC0E8E}">
  <sheetPr>
    <tabColor rgb="FFFFC000"/>
    <pageSetUpPr fitToPage="1"/>
  </sheetPr>
  <dimension ref="B1:AC91"/>
  <sheetViews>
    <sheetView view="pageBreakPreview" topLeftCell="A56" zoomScale="80" zoomScaleNormal="70" zoomScaleSheetLayoutView="80" workbookViewId="0">
      <selection activeCell="F60" sqref="F60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PV_.PX.UTS._.PTC.Hunter.PV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32%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PV_.PX.UTS._.PTC.Hunter.PV - 32%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>
        <f t="shared" ref="L13:L37" si="1">(D13+E13+F13)</f>
        <v>0</v>
      </c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>
        <f t="shared" si="1"/>
        <v>0</v>
      </c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>
        <f t="shared" si="1"/>
        <v>0</v>
      </c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>
        <f t="shared" si="1"/>
        <v>0</v>
      </c>
      <c r="R16" s="274">
        <v>1140.3909027674149</v>
      </c>
      <c r="S16" s="284">
        <f>T16-R16</f>
        <v>5.6590972325850544</v>
      </c>
      <c r="T16" s="113">
        <v>1146.05</v>
      </c>
      <c r="X16" s="277">
        <v>21.158014243080867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>
        <f t="shared" si="1"/>
        <v>0</v>
      </c>
      <c r="R17" s="277"/>
      <c r="S17" s="277"/>
      <c r="T17" s="102">
        <f>T16*IRP_PTC_ESC!$Q3</f>
        <v>1541.093435</v>
      </c>
      <c r="X17" s="277">
        <f t="shared" ref="X17:X22" si="2">X16*(1+IRP23_Infl_Rate)</f>
        <v>21.638301166494205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>
        <f t="shared" si="1"/>
        <v>0</v>
      </c>
      <c r="Q18" s="263"/>
      <c r="R18" s="277"/>
      <c r="S18" s="277"/>
      <c r="T18" s="102">
        <f>T17*IRP_PTC_ESC!$Q4</f>
        <v>1541.093435</v>
      </c>
      <c r="X18" s="277">
        <f t="shared" si="2"/>
        <v>22.12949060307119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>
        <f t="shared" si="1"/>
        <v>0</v>
      </c>
      <c r="P19" s="129">
        <f>Q19-I19</f>
        <v>0</v>
      </c>
      <c r="Q19" s="112">
        <v>0</v>
      </c>
      <c r="R19" s="277"/>
      <c r="S19" s="277"/>
      <c r="T19" s="102">
        <f>T18*IRP_PTC_ESC!$Q5</f>
        <v>1541.093435</v>
      </c>
      <c r="U19" s="284"/>
      <c r="X19" s="277">
        <f t="shared" si="2"/>
        <v>22.631830039860688</v>
      </c>
      <c r="Y19" s="284"/>
    </row>
    <row r="20" spans="2:29">
      <c r="B20" s="109">
        <f t="shared" si="0"/>
        <v>2026</v>
      </c>
      <c r="C20" s="113"/>
      <c r="D20" s="111"/>
      <c r="E20" s="111"/>
      <c r="F20" s="111"/>
      <c r="G20" s="112"/>
      <c r="H20" s="111"/>
      <c r="I20" s="111"/>
      <c r="J20" s="112"/>
      <c r="K20" s="112"/>
      <c r="L20" s="111">
        <f t="shared" si="1"/>
        <v>0</v>
      </c>
      <c r="P20" s="129">
        <f t="shared" ref="P20:P36" si="3">Q20-I20</f>
        <v>0</v>
      </c>
      <c r="Q20" s="112">
        <v>0</v>
      </c>
      <c r="T20" s="102">
        <f>T19*IRP_PTC_ESC!$Q6</f>
        <v>1541.093435</v>
      </c>
      <c r="U20" s="284"/>
      <c r="W20" s="129"/>
      <c r="X20" s="277">
        <f t="shared" si="2"/>
        <v>23.145572581867572</v>
      </c>
      <c r="Y20" s="284"/>
    </row>
    <row r="21" spans="2:29">
      <c r="B21" s="109">
        <f t="shared" si="0"/>
        <v>2027</v>
      </c>
      <c r="C21" s="113"/>
      <c r="D21" s="111"/>
      <c r="E21" s="111"/>
      <c r="F21" s="111"/>
      <c r="G21" s="112"/>
      <c r="H21" s="111"/>
      <c r="I21" s="111"/>
      <c r="J21" s="112"/>
      <c r="K21" s="112"/>
      <c r="L21" s="111">
        <f t="shared" si="1"/>
        <v>0</v>
      </c>
      <c r="P21" s="129">
        <f t="shared" si="3"/>
        <v>0</v>
      </c>
      <c r="Q21" s="112">
        <v>0</v>
      </c>
      <c r="T21" s="102">
        <f>T20*IRP_PTC_ESC!$Q7</f>
        <v>1541.093435</v>
      </c>
      <c r="U21" s="284"/>
      <c r="V21" s="129"/>
      <c r="W21" s="129"/>
      <c r="X21" s="277">
        <f t="shared" si="2"/>
        <v>23.670977079580329</v>
      </c>
      <c r="Y21" s="284"/>
    </row>
    <row r="22" spans="2:29">
      <c r="B22" s="109">
        <f t="shared" si="0"/>
        <v>2028</v>
      </c>
      <c r="C22" s="274">
        <f>IRP_LTReport!$R$8</f>
        <v>1541.0934107363221</v>
      </c>
      <c r="D22" s="111">
        <f>C22*$C$62</f>
        <v>77.917682846828441</v>
      </c>
      <c r="E22" s="281">
        <f>IRP_LTReport!$L$8</f>
        <v>25.107212973951562</v>
      </c>
      <c r="F22" s="165">
        <f t="shared" ref="F22:F37" si="4">$C$60</f>
        <v>0</v>
      </c>
      <c r="G22" s="112">
        <f t="shared" ref="G22:G37" si="5">(D22+E22+F22)/(8.76*$C$63)</f>
        <v>36.471592939093398</v>
      </c>
      <c r="H22" s="111"/>
      <c r="I22" s="111">
        <v>-38.450000000000003</v>
      </c>
      <c r="J22" s="112">
        <f t="shared" ref="J22:J37" si="6">(G22+H22+I22)</f>
        <v>-1.9784070609066049</v>
      </c>
      <c r="K22" s="112">
        <f t="shared" ref="K22:K37" si="7">ROUND(J22*$C$63*8.76,2)</f>
        <v>-5.59</v>
      </c>
      <c r="L22" s="111">
        <f t="shared" si="1"/>
        <v>103.02489582078</v>
      </c>
      <c r="P22" s="129">
        <f t="shared" si="3"/>
        <v>-7.6294042372637705E-7</v>
      </c>
      <c r="Q22" s="112">
        <v>-38.450000762940427</v>
      </c>
      <c r="T22" s="102">
        <f>T21*IRP_PTC_ESC!$Q8</f>
        <v>1541.093435</v>
      </c>
      <c r="U22" s="284">
        <f>T22-C22</f>
        <v>2.4263677914859727E-5</v>
      </c>
      <c r="V22" s="129"/>
      <c r="W22" s="129"/>
      <c r="X22" s="277">
        <f t="shared" si="2"/>
        <v>24.208308259393533</v>
      </c>
      <c r="Y22" s="284">
        <f t="shared" ref="Y22" si="8">X22-E22</f>
        <v>-0.89890471455802867</v>
      </c>
      <c r="AA22" s="129"/>
    </row>
    <row r="23" spans="2:29">
      <c r="B23" s="109">
        <f t="shared" si="0"/>
        <v>2029</v>
      </c>
      <c r="C23" s="113"/>
      <c r="D23" s="111">
        <f t="shared" ref="D23:E35" si="9">ROUND(D22*(1+IRP23_Infl_Rate),2)</f>
        <v>79.69</v>
      </c>
      <c r="E23" s="111">
        <f t="shared" si="9"/>
        <v>25.68</v>
      </c>
      <c r="F23" s="165">
        <f t="shared" si="4"/>
        <v>0</v>
      </c>
      <c r="G23" s="112">
        <f t="shared" si="5"/>
        <v>37.301777569156641</v>
      </c>
      <c r="H23" s="111"/>
      <c r="I23" s="111">
        <v>-39.78</v>
      </c>
      <c r="J23" s="112">
        <f t="shared" si="6"/>
        <v>-2.4782224308433598</v>
      </c>
      <c r="K23" s="112">
        <f t="shared" si="7"/>
        <v>-7</v>
      </c>
      <c r="L23" s="111">
        <f t="shared" si="1"/>
        <v>105.37</v>
      </c>
      <c r="P23" s="129">
        <f t="shared" si="3"/>
        <v>-8.6686213762732223E-13</v>
      </c>
      <c r="Q23" s="112">
        <v>-39.780000000000868</v>
      </c>
      <c r="T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9"/>
        <v>81.5</v>
      </c>
      <c r="E24" s="111">
        <f t="shared" si="9"/>
        <v>26.26</v>
      </c>
      <c r="F24" s="165">
        <f t="shared" si="4"/>
        <v>0</v>
      </c>
      <c r="G24" s="112">
        <f t="shared" si="5"/>
        <v>38.147855659602541</v>
      </c>
      <c r="H24" s="111"/>
      <c r="I24" s="111">
        <v>-39.78</v>
      </c>
      <c r="J24" s="112">
        <f t="shared" si="6"/>
        <v>-1.6321443403974598</v>
      </c>
      <c r="K24" s="112">
        <f t="shared" si="7"/>
        <v>-4.6100000000000003</v>
      </c>
      <c r="L24" s="111">
        <f t="shared" si="1"/>
        <v>107.76</v>
      </c>
      <c r="P24" s="129">
        <f t="shared" si="3"/>
        <v>1.2207025790189618E-6</v>
      </c>
      <c r="Q24" s="112">
        <v>-39.779998779297422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9"/>
        <v>83.35</v>
      </c>
      <c r="E25" s="111">
        <f t="shared" si="9"/>
        <v>26.86</v>
      </c>
      <c r="F25" s="165">
        <f t="shared" si="4"/>
        <v>0</v>
      </c>
      <c r="G25" s="112">
        <f t="shared" si="5"/>
        <v>39.015174204201891</v>
      </c>
      <c r="H25" s="111"/>
      <c r="I25" s="111">
        <v>-41.11</v>
      </c>
      <c r="J25" s="112">
        <f t="shared" si="6"/>
        <v>-2.0948257957981085</v>
      </c>
      <c r="K25" s="112">
        <f t="shared" si="7"/>
        <v>-5.92</v>
      </c>
      <c r="L25" s="111">
        <f t="shared" si="1"/>
        <v>110.21</v>
      </c>
      <c r="P25" s="129">
        <f t="shared" si="3"/>
        <v>-9.0949470177292824E-13</v>
      </c>
      <c r="Q25" s="112">
        <v>-41.110000000000909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9"/>
        <v>85.24</v>
      </c>
      <c r="E26" s="111">
        <f t="shared" si="9"/>
        <v>27.47</v>
      </c>
      <c r="F26" s="165">
        <f t="shared" si="4"/>
        <v>0</v>
      </c>
      <c r="G26" s="112">
        <f t="shared" si="5"/>
        <v>39.900193127262455</v>
      </c>
      <c r="H26" s="111"/>
      <c r="I26" s="111">
        <v>-41.11</v>
      </c>
      <c r="J26" s="112">
        <f t="shared" si="6"/>
        <v>-1.2098068727375448</v>
      </c>
      <c r="K26" s="112">
        <f t="shared" si="7"/>
        <v>-3.42</v>
      </c>
      <c r="L26" s="111">
        <f t="shared" si="1"/>
        <v>112.71</v>
      </c>
      <c r="P26" s="129">
        <f t="shared" si="3"/>
        <v>-6.1035293441591421E-7</v>
      </c>
      <c r="Q26" s="112">
        <v>-41.110000610352934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9"/>
        <v>87.17</v>
      </c>
      <c r="E27" s="111">
        <f t="shared" si="9"/>
        <v>28.09</v>
      </c>
      <c r="F27" s="165">
        <f t="shared" si="4"/>
        <v>0</v>
      </c>
      <c r="G27" s="112">
        <f t="shared" si="5"/>
        <v>40.802912428784232</v>
      </c>
      <c r="H27" s="111"/>
      <c r="I27" s="111">
        <v>-42.43</v>
      </c>
      <c r="J27" s="112">
        <f t="shared" si="6"/>
        <v>-1.6270875712157675</v>
      </c>
      <c r="K27" s="112">
        <f t="shared" si="7"/>
        <v>-4.5999999999999996</v>
      </c>
      <c r="L27" s="111">
        <f t="shared" si="1"/>
        <v>115.26</v>
      </c>
      <c r="P27" s="129">
        <f t="shared" si="3"/>
        <v>-3.0517481519609646E-7</v>
      </c>
      <c r="Q27" s="112">
        <v>-42.430000305174815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9"/>
        <v>89.15</v>
      </c>
      <c r="E28" s="111">
        <f t="shared" si="9"/>
        <v>28.73</v>
      </c>
      <c r="F28" s="165">
        <f t="shared" si="4"/>
        <v>0</v>
      </c>
      <c r="G28" s="112">
        <f t="shared" si="5"/>
        <v>41.730412260151702</v>
      </c>
      <c r="H28" s="111"/>
      <c r="I28" s="111">
        <v>-43.76</v>
      </c>
      <c r="J28" s="112">
        <f t="shared" si="6"/>
        <v>-2.0295877398482958</v>
      </c>
      <c r="K28" s="112">
        <f t="shared" si="7"/>
        <v>-5.73</v>
      </c>
      <c r="L28" s="111">
        <f t="shared" si="1"/>
        <v>117.88000000000001</v>
      </c>
      <c r="P28" s="129">
        <f t="shared" si="3"/>
        <v>-1.4566126083082054E-12</v>
      </c>
      <c r="Q28" s="112">
        <v>-43.760000000001455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9"/>
        <v>91.17</v>
      </c>
      <c r="E29" s="111">
        <f t="shared" si="9"/>
        <v>29.38</v>
      </c>
      <c r="F29" s="165">
        <f t="shared" si="4"/>
        <v>0</v>
      </c>
      <c r="G29" s="112">
        <f t="shared" si="5"/>
        <v>42.675612469980379</v>
      </c>
      <c r="H29" s="111"/>
      <c r="I29" s="111">
        <v>-43.76</v>
      </c>
      <c r="J29" s="112">
        <f t="shared" si="6"/>
        <v>-1.0843875300196189</v>
      </c>
      <c r="K29" s="112">
        <f t="shared" si="7"/>
        <v>-3.06</v>
      </c>
      <c r="L29" s="111">
        <f t="shared" si="1"/>
        <v>120.55</v>
      </c>
      <c r="P29" s="129">
        <f t="shared" si="3"/>
        <v>1.6784657361768041E-6</v>
      </c>
      <c r="Q29" s="112">
        <v>-43.759998321534262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9"/>
        <v>93.24</v>
      </c>
      <c r="E30" s="111">
        <f t="shared" si="9"/>
        <v>30.05</v>
      </c>
      <c r="F30" s="165">
        <f t="shared" si="4"/>
        <v>0</v>
      </c>
      <c r="G30" s="112">
        <f t="shared" si="5"/>
        <v>43.645593209654756</v>
      </c>
      <c r="H30" s="111"/>
      <c r="I30" s="111">
        <v>-45.09</v>
      </c>
      <c r="J30" s="112">
        <f t="shared" si="6"/>
        <v>-1.4444067903452478</v>
      </c>
      <c r="K30" s="112">
        <f t="shared" si="7"/>
        <v>-4.08</v>
      </c>
      <c r="L30" s="111">
        <f t="shared" si="1"/>
        <v>123.28999999999999</v>
      </c>
      <c r="P30" s="129">
        <f t="shared" si="3"/>
        <v>9.9981689446124733E-3</v>
      </c>
      <c r="Q30" s="112">
        <v>-45.080001831055391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9"/>
        <v>95.36</v>
      </c>
      <c r="E31" s="111">
        <f t="shared" si="9"/>
        <v>30.73</v>
      </c>
      <c r="F31" s="165">
        <f t="shared" si="4"/>
        <v>0</v>
      </c>
      <c r="G31" s="112">
        <f t="shared" si="5"/>
        <v>44.636814403482596</v>
      </c>
      <c r="H31" s="111"/>
      <c r="I31" s="111">
        <v>-46.41</v>
      </c>
      <c r="J31" s="112">
        <f t="shared" si="6"/>
        <v>-1.7731855965174006</v>
      </c>
      <c r="K31" s="112">
        <f t="shared" si="7"/>
        <v>-5.01</v>
      </c>
      <c r="L31" s="111">
        <f t="shared" si="1"/>
        <v>126.09</v>
      </c>
      <c r="P31" s="129">
        <f t="shared" si="3"/>
        <v>-1.2931877790833823E-12</v>
      </c>
      <c r="Q31" s="112">
        <v>-46.41000000000129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9"/>
        <v>97.52</v>
      </c>
      <c r="E32" s="111">
        <f t="shared" si="9"/>
        <v>31.43</v>
      </c>
      <c r="F32" s="165">
        <f t="shared" si="4"/>
        <v>0</v>
      </c>
      <c r="G32" s="112">
        <f t="shared" si="5"/>
        <v>45.649276051463872</v>
      </c>
      <c r="H32" s="111"/>
      <c r="I32" s="111"/>
      <c r="J32" s="112">
        <f t="shared" si="6"/>
        <v>45.649276051463872</v>
      </c>
      <c r="K32" s="112">
        <f t="shared" si="7"/>
        <v>128.94999999999999</v>
      </c>
      <c r="L32" s="111">
        <f t="shared" si="1"/>
        <v>128.94999999999999</v>
      </c>
      <c r="P32" s="129">
        <f t="shared" si="3"/>
        <v>0</v>
      </c>
      <c r="Q32" s="112">
        <v>0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9"/>
        <v>99.73</v>
      </c>
      <c r="E33" s="111">
        <f t="shared" si="9"/>
        <v>32.14</v>
      </c>
      <c r="F33" s="165">
        <f t="shared" si="4"/>
        <v>0</v>
      </c>
      <c r="G33" s="112">
        <f t="shared" si="5"/>
        <v>46.682978153598619</v>
      </c>
      <c r="H33" s="111"/>
      <c r="I33" s="111"/>
      <c r="J33" s="112">
        <f t="shared" si="6"/>
        <v>46.682978153598619</v>
      </c>
      <c r="K33" s="112">
        <f t="shared" si="7"/>
        <v>131.87</v>
      </c>
      <c r="L33" s="111">
        <f t="shared" si="1"/>
        <v>131.87</v>
      </c>
      <c r="P33" s="129">
        <f t="shared" si="3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9"/>
        <v>101.99</v>
      </c>
      <c r="E34" s="111">
        <f t="shared" si="9"/>
        <v>32.869999999999997</v>
      </c>
      <c r="F34" s="165">
        <f t="shared" si="4"/>
        <v>0</v>
      </c>
      <c r="G34" s="112">
        <f t="shared" si="5"/>
        <v>47.741460785579044</v>
      </c>
      <c r="H34" s="111"/>
      <c r="I34" s="111"/>
      <c r="J34" s="112">
        <f t="shared" si="6"/>
        <v>47.741460785579044</v>
      </c>
      <c r="K34" s="112">
        <f t="shared" si="7"/>
        <v>134.86000000000001</v>
      </c>
      <c r="L34" s="111">
        <f t="shared" si="1"/>
        <v>134.85999999999999</v>
      </c>
      <c r="P34" s="129">
        <f t="shared" si="3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9"/>
        <v>104.31</v>
      </c>
      <c r="E35" s="111">
        <f t="shared" si="9"/>
        <v>33.619999999999997</v>
      </c>
      <c r="F35" s="165">
        <f t="shared" si="4"/>
        <v>0</v>
      </c>
      <c r="G35" s="112">
        <f t="shared" si="5"/>
        <v>48.828264023097425</v>
      </c>
      <c r="H35" s="111"/>
      <c r="I35" s="111"/>
      <c r="J35" s="112">
        <f t="shared" si="6"/>
        <v>48.828264023097425</v>
      </c>
      <c r="K35" s="112">
        <f t="shared" si="7"/>
        <v>137.93</v>
      </c>
      <c r="L35" s="111">
        <f t="shared" si="1"/>
        <v>137.93</v>
      </c>
      <c r="P35" s="129">
        <f t="shared" si="3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ref="D36:E37" si="10">ROUND(D35*(1+IRP23_Infl_Rate),2)</f>
        <v>106.68</v>
      </c>
      <c r="E36" s="111">
        <f t="shared" si="10"/>
        <v>34.380000000000003</v>
      </c>
      <c r="F36" s="165">
        <f t="shared" si="4"/>
        <v>0</v>
      </c>
      <c r="G36" s="112">
        <f t="shared" si="5"/>
        <v>49.936307714769249</v>
      </c>
      <c r="H36" s="111"/>
      <c r="I36" s="111"/>
      <c r="J36" s="112">
        <f t="shared" si="6"/>
        <v>49.936307714769249</v>
      </c>
      <c r="K36" s="112">
        <f t="shared" si="7"/>
        <v>141.06</v>
      </c>
      <c r="L36" s="111">
        <f t="shared" si="1"/>
        <v>141.06</v>
      </c>
      <c r="P36" s="129">
        <f t="shared" si="3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10"/>
        <v>109.1</v>
      </c>
      <c r="E37" s="111">
        <f t="shared" si="10"/>
        <v>35.159999999999997</v>
      </c>
      <c r="F37" s="165">
        <f t="shared" si="4"/>
        <v>0</v>
      </c>
      <c r="G37" s="112">
        <f t="shared" si="5"/>
        <v>51.069131936286766</v>
      </c>
      <c r="H37" s="111"/>
      <c r="I37" s="111"/>
      <c r="J37" s="112">
        <f t="shared" si="6"/>
        <v>51.069131936286766</v>
      </c>
      <c r="K37" s="112">
        <f t="shared" si="7"/>
        <v>144.26</v>
      </c>
      <c r="L37" s="111">
        <f t="shared" si="1"/>
        <v>144.26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-PMT(Discount_Rate,COUNT(J19:J37),NPV(Discount_Rate,J19:J37))</f>
        <v>11.192955016024401</v>
      </c>
      <c r="K39" s="287">
        <f>-PMT(Discount_Rate,COUNT(K19:K37),NPV(Discount_Rate,K19:K37))</f>
        <v>31.617481293300131</v>
      </c>
      <c r="L39" s="287">
        <f>-PMT(Discount_Rate,COUNT(L19:L37),NPV(Discount_Rate,L19:L37))</f>
        <v>89.057403696663428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32.2%)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PV_.PX.UTS._.PTC.Hunter.PV - 32%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2028</v>
      </c>
      <c r="T54" s="273" t="s">
        <v>377</v>
      </c>
    </row>
    <row r="55" spans="2:20">
      <c r="B55" t="s">
        <v>152</v>
      </c>
      <c r="C55" s="267"/>
      <c r="D55" s="102" t="s">
        <v>65</v>
      </c>
      <c r="P55" s="226">
        <v>686.59360000000004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0.32246556589655151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73E8-F9B4-4186-A9D2-F6E0D239D636}">
  <sheetPr>
    <tabColor rgb="FFFFC000"/>
    <pageSetUpPr fitToPage="1"/>
  </sheetPr>
  <dimension ref="B1:AC91"/>
  <sheetViews>
    <sheetView view="pageBreakPreview" topLeftCell="A56" zoomScale="80" zoomScaleNormal="80" zoomScaleSheetLayoutView="80" workbookViewId="0">
      <selection activeCell="T54" sqref="T5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PV_.PX.UTS._.PTC.Huntington.PV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32%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PV_.PX.UTS._.PTC.Huntington.PV - 32%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>
        <f t="shared" ref="L13:L37" si="1">(D13+E13+F13)</f>
        <v>0</v>
      </c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>
        <f t="shared" si="1"/>
        <v>0</v>
      </c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>
        <f t="shared" si="1"/>
        <v>0</v>
      </c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>
        <f t="shared" si="1"/>
        <v>0</v>
      </c>
      <c r="R16" s="274">
        <v>1140.3909027674149</v>
      </c>
      <c r="S16" s="284">
        <f>T16-R16</f>
        <v>5.6590972325850544</v>
      </c>
      <c r="T16" s="113">
        <v>1146.05</v>
      </c>
      <c r="X16" s="277">
        <v>21.158014243080867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>
        <f t="shared" si="1"/>
        <v>0</v>
      </c>
      <c r="R17" s="277"/>
      <c r="S17" s="277"/>
      <c r="T17" s="102">
        <f>T16*IRP_PTC_ESC!$Q3</f>
        <v>1541.093435</v>
      </c>
      <c r="X17" s="277">
        <f t="shared" ref="X17:X22" si="2">X16*(1+IRP23_Infl_Rate)</f>
        <v>21.638301166494205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>
        <f t="shared" si="1"/>
        <v>0</v>
      </c>
      <c r="Q18" s="263"/>
      <c r="R18" s="277"/>
      <c r="S18" s="277"/>
      <c r="T18" s="102">
        <f>T17*IRP_PTC_ESC!$Q4</f>
        <v>1541.093435</v>
      </c>
      <c r="X18" s="277">
        <f t="shared" si="2"/>
        <v>22.12949060307119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>
        <f t="shared" si="1"/>
        <v>0</v>
      </c>
      <c r="P19" s="129">
        <f>Q19-I19</f>
        <v>0</v>
      </c>
      <c r="Q19" s="112">
        <v>0</v>
      </c>
      <c r="R19" s="277"/>
      <c r="S19" s="277"/>
      <c r="T19" s="102">
        <f>T18*IRP_PTC_ESC!$Q5</f>
        <v>1541.093435</v>
      </c>
      <c r="U19" s="284"/>
      <c r="X19" s="277">
        <f t="shared" si="2"/>
        <v>22.631830039860688</v>
      </c>
      <c r="Y19" s="284"/>
    </row>
    <row r="20" spans="2:29">
      <c r="B20" s="109">
        <f t="shared" si="0"/>
        <v>2026</v>
      </c>
      <c r="C20" s="113"/>
      <c r="D20" s="111"/>
      <c r="E20" s="111"/>
      <c r="F20" s="111"/>
      <c r="G20" s="112"/>
      <c r="H20" s="111"/>
      <c r="I20" s="111"/>
      <c r="J20" s="112"/>
      <c r="K20" s="112"/>
      <c r="L20" s="111">
        <f t="shared" si="1"/>
        <v>0</v>
      </c>
      <c r="P20" s="129">
        <f t="shared" ref="P20:P36" si="3">Q20-I20</f>
        <v>0</v>
      </c>
      <c r="Q20" s="112">
        <v>0</v>
      </c>
      <c r="T20" s="102">
        <f>T19*IRP_PTC_ESC!$Q6</f>
        <v>1541.093435</v>
      </c>
      <c r="U20" s="284"/>
      <c r="W20" s="129"/>
      <c r="X20" s="277">
        <f t="shared" si="2"/>
        <v>23.145572581867572</v>
      </c>
      <c r="Y20" s="284"/>
    </row>
    <row r="21" spans="2:29">
      <c r="B21" s="109">
        <f t="shared" si="0"/>
        <v>2027</v>
      </c>
      <c r="C21" s="113"/>
      <c r="D21" s="111"/>
      <c r="E21" s="111"/>
      <c r="F21" s="111"/>
      <c r="G21" s="112"/>
      <c r="H21" s="111"/>
      <c r="I21" s="111"/>
      <c r="J21" s="112"/>
      <c r="K21" s="112"/>
      <c r="L21" s="111">
        <f t="shared" si="1"/>
        <v>0</v>
      </c>
      <c r="P21" s="129">
        <f t="shared" si="3"/>
        <v>0</v>
      </c>
      <c r="Q21" s="112">
        <v>0</v>
      </c>
      <c r="T21" s="102">
        <f>T20*IRP_PTC_ESC!$Q7</f>
        <v>1541.093435</v>
      </c>
      <c r="U21" s="284"/>
      <c r="V21" s="129"/>
      <c r="W21" s="129"/>
      <c r="X21" s="277">
        <f t="shared" si="2"/>
        <v>23.670977079580329</v>
      </c>
      <c r="Y21" s="284"/>
    </row>
    <row r="22" spans="2:29">
      <c r="B22" s="109">
        <f t="shared" si="0"/>
        <v>2028</v>
      </c>
      <c r="C22" s="274">
        <f>IRP_LTReport!$R$10</f>
        <v>1541.0934107363178</v>
      </c>
      <c r="D22" s="111">
        <f>C22*$C$62</f>
        <v>77.917682846828214</v>
      </c>
      <c r="E22" s="281">
        <f>IRP_LTReport!$L$10</f>
        <v>25.107212973947661</v>
      </c>
      <c r="F22" s="165">
        <f t="shared" ref="F22:F37" si="4">$C$60</f>
        <v>0</v>
      </c>
      <c r="G22" s="112">
        <f t="shared" ref="G22:G37" si="5">(D22+E22+F22)/(8.76*$C$63)</f>
        <v>36.471592939091934</v>
      </c>
      <c r="H22" s="111"/>
      <c r="I22" s="111">
        <v>-38.450000000000003</v>
      </c>
      <c r="J22" s="112">
        <f t="shared" ref="J22:J37" si="6">(G22+H22+I22)</f>
        <v>-1.9784070609080686</v>
      </c>
      <c r="K22" s="112">
        <f t="shared" ref="K22:K37" si="7">ROUND(J22*$C$63*8.76,2)</f>
        <v>-5.59</v>
      </c>
      <c r="L22" s="111">
        <f t="shared" si="1"/>
        <v>103.02489582077587</v>
      </c>
      <c r="P22" s="129">
        <f t="shared" si="3"/>
        <v>-7.6293844131214428E-7</v>
      </c>
      <c r="Q22" s="112">
        <v>-38.450000762938444</v>
      </c>
      <c r="T22" s="102">
        <f>T21*IRP_PTC_ESC!$Q8</f>
        <v>1541.093435</v>
      </c>
      <c r="U22" s="284">
        <f>T22-C22</f>
        <v>2.426368223495956E-5</v>
      </c>
      <c r="V22" s="129"/>
      <c r="W22" s="129"/>
      <c r="X22" s="277">
        <f t="shared" si="2"/>
        <v>24.208308259393533</v>
      </c>
      <c r="Y22" s="284">
        <f t="shared" ref="Y22" si="8">X22-E22</f>
        <v>-0.89890471455412779</v>
      </c>
      <c r="AA22" s="129"/>
    </row>
    <row r="23" spans="2:29">
      <c r="B23" s="109">
        <f t="shared" si="0"/>
        <v>2029</v>
      </c>
      <c r="C23" s="113"/>
      <c r="D23" s="111">
        <f t="shared" ref="D23:E37" si="9">ROUND(D22*(1+IRP23_Infl_Rate),2)</f>
        <v>79.69</v>
      </c>
      <c r="E23" s="111">
        <f t="shared" si="9"/>
        <v>25.68</v>
      </c>
      <c r="F23" s="165">
        <f t="shared" si="4"/>
        <v>0</v>
      </c>
      <c r="G23" s="112">
        <f t="shared" si="5"/>
        <v>37.301777569156641</v>
      </c>
      <c r="H23" s="111"/>
      <c r="I23" s="111">
        <v>-39.78</v>
      </c>
      <c r="J23" s="112">
        <f t="shared" si="6"/>
        <v>-2.4782224308433598</v>
      </c>
      <c r="K23" s="112">
        <f t="shared" si="7"/>
        <v>-7</v>
      </c>
      <c r="L23" s="111">
        <f t="shared" si="1"/>
        <v>105.37</v>
      </c>
      <c r="P23" s="129">
        <f t="shared" si="3"/>
        <v>1.0018652574217413E-12</v>
      </c>
      <c r="Q23" s="112">
        <v>-39.779999999998999</v>
      </c>
      <c r="T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9"/>
        <v>81.5</v>
      </c>
      <c r="E24" s="111">
        <f t="shared" si="9"/>
        <v>26.26</v>
      </c>
      <c r="F24" s="165">
        <f t="shared" si="4"/>
        <v>0</v>
      </c>
      <c r="G24" s="112">
        <f t="shared" si="5"/>
        <v>38.147855659602541</v>
      </c>
      <c r="H24" s="111"/>
      <c r="I24" s="111">
        <v>-39.78</v>
      </c>
      <c r="J24" s="112">
        <f t="shared" si="6"/>
        <v>-1.6321443403974598</v>
      </c>
      <c r="K24" s="112">
        <f t="shared" si="7"/>
        <v>-4.6100000000000003</v>
      </c>
      <c r="L24" s="111">
        <f t="shared" si="1"/>
        <v>107.76</v>
      </c>
      <c r="P24" s="129">
        <f t="shared" si="3"/>
        <v>1.2207040356315702E-6</v>
      </c>
      <c r="Q24" s="112">
        <v>-39.779998779295966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9"/>
        <v>83.35</v>
      </c>
      <c r="E25" s="111">
        <f t="shared" si="9"/>
        <v>26.86</v>
      </c>
      <c r="F25" s="165">
        <f t="shared" si="4"/>
        <v>0</v>
      </c>
      <c r="G25" s="112">
        <f t="shared" si="5"/>
        <v>39.015174204201891</v>
      </c>
      <c r="H25" s="111"/>
      <c r="I25" s="111">
        <v>-41.11</v>
      </c>
      <c r="J25" s="112">
        <f t="shared" si="6"/>
        <v>-2.0948257957981085</v>
      </c>
      <c r="K25" s="112">
        <f t="shared" si="7"/>
        <v>-5.92</v>
      </c>
      <c r="L25" s="111">
        <f t="shared" si="1"/>
        <v>110.21</v>
      </c>
      <c r="P25" s="129">
        <f t="shared" si="3"/>
        <v>1.1581846592889633E-12</v>
      </c>
      <c r="Q25" s="112">
        <v>-41.109999999998841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9"/>
        <v>85.24</v>
      </c>
      <c r="E26" s="111">
        <f t="shared" si="9"/>
        <v>27.47</v>
      </c>
      <c r="F26" s="165">
        <f t="shared" si="4"/>
        <v>0</v>
      </c>
      <c r="G26" s="112">
        <f t="shared" si="5"/>
        <v>39.900193127262455</v>
      </c>
      <c r="H26" s="111"/>
      <c r="I26" s="111">
        <v>-41.11</v>
      </c>
      <c r="J26" s="112">
        <f t="shared" si="6"/>
        <v>-1.2098068727375448</v>
      </c>
      <c r="K26" s="112">
        <f t="shared" si="7"/>
        <v>-3.42</v>
      </c>
      <c r="L26" s="111">
        <f t="shared" si="1"/>
        <v>112.71</v>
      </c>
      <c r="P26" s="129">
        <f t="shared" si="3"/>
        <v>-6.103521812406143E-7</v>
      </c>
      <c r="Q26" s="112">
        <v>-41.110000610352181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9"/>
        <v>87.17</v>
      </c>
      <c r="E27" s="111">
        <f t="shared" si="9"/>
        <v>28.09</v>
      </c>
      <c r="F27" s="165">
        <f t="shared" si="4"/>
        <v>0</v>
      </c>
      <c r="G27" s="112">
        <f t="shared" si="5"/>
        <v>40.802912428784232</v>
      </c>
      <c r="H27" s="111"/>
      <c r="I27" s="111">
        <v>-42.43</v>
      </c>
      <c r="J27" s="112">
        <f t="shared" si="6"/>
        <v>-1.6270875712157675</v>
      </c>
      <c r="K27" s="112">
        <f t="shared" si="7"/>
        <v>-4.5999999999999996</v>
      </c>
      <c r="L27" s="111">
        <f t="shared" si="1"/>
        <v>115.26</v>
      </c>
      <c r="P27" s="129">
        <f t="shared" si="3"/>
        <v>-3.0517706761656882E-7</v>
      </c>
      <c r="Q27" s="112">
        <v>-42.430000305177067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9"/>
        <v>89.15</v>
      </c>
      <c r="E28" s="111">
        <f t="shared" si="9"/>
        <v>28.73</v>
      </c>
      <c r="F28" s="165">
        <f t="shared" si="4"/>
        <v>0</v>
      </c>
      <c r="G28" s="112">
        <f t="shared" si="5"/>
        <v>41.730412260151702</v>
      </c>
      <c r="H28" s="111"/>
      <c r="I28" s="111">
        <v>-43.76</v>
      </c>
      <c r="J28" s="112">
        <f t="shared" si="6"/>
        <v>-2.0295877398482958</v>
      </c>
      <c r="K28" s="112">
        <f t="shared" si="7"/>
        <v>-5.73</v>
      </c>
      <c r="L28" s="111">
        <f t="shared" si="1"/>
        <v>117.88000000000001</v>
      </c>
      <c r="P28" s="129">
        <f t="shared" si="3"/>
        <v>-5.6843418860808015E-14</v>
      </c>
      <c r="Q28" s="112">
        <v>-43.760000000000055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9"/>
        <v>91.17</v>
      </c>
      <c r="E29" s="111">
        <f t="shared" si="9"/>
        <v>29.38</v>
      </c>
      <c r="F29" s="165">
        <f t="shared" si="4"/>
        <v>0</v>
      </c>
      <c r="G29" s="112">
        <f t="shared" si="5"/>
        <v>42.675612469980379</v>
      </c>
      <c r="H29" s="111"/>
      <c r="I29" s="111">
        <v>-43.76</v>
      </c>
      <c r="J29" s="112">
        <f t="shared" si="6"/>
        <v>-1.0843875300196189</v>
      </c>
      <c r="K29" s="112">
        <f t="shared" si="7"/>
        <v>-3.06</v>
      </c>
      <c r="L29" s="111">
        <f t="shared" si="1"/>
        <v>120.55</v>
      </c>
      <c r="P29" s="129">
        <f t="shared" si="3"/>
        <v>1.6784670222591558E-6</v>
      </c>
      <c r="Q29" s="112">
        <v>-43.759998321532976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9"/>
        <v>93.24</v>
      </c>
      <c r="E30" s="111">
        <f t="shared" si="9"/>
        <v>30.05</v>
      </c>
      <c r="F30" s="165">
        <f t="shared" si="4"/>
        <v>0</v>
      </c>
      <c r="G30" s="112">
        <f t="shared" si="5"/>
        <v>43.645593209654756</v>
      </c>
      <c r="H30" s="111"/>
      <c r="I30" s="111">
        <v>-45.09</v>
      </c>
      <c r="J30" s="112">
        <f t="shared" si="6"/>
        <v>-1.4444067903452478</v>
      </c>
      <c r="K30" s="112">
        <f t="shared" si="7"/>
        <v>-4.08</v>
      </c>
      <c r="L30" s="111">
        <f t="shared" si="1"/>
        <v>123.28999999999999</v>
      </c>
      <c r="P30" s="129">
        <f t="shared" si="3"/>
        <v>9.9981689445058919E-3</v>
      </c>
      <c r="Q30" s="112">
        <v>-45.080001831055498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9"/>
        <v>95.36</v>
      </c>
      <c r="E31" s="111">
        <f t="shared" si="9"/>
        <v>30.73</v>
      </c>
      <c r="F31" s="165">
        <f t="shared" si="4"/>
        <v>0</v>
      </c>
      <c r="G31" s="112">
        <f t="shared" si="5"/>
        <v>44.636814403482596</v>
      </c>
      <c r="H31" s="111"/>
      <c r="I31" s="111">
        <v>-46.41</v>
      </c>
      <c r="J31" s="112">
        <f t="shared" si="6"/>
        <v>-1.7731855965174006</v>
      </c>
      <c r="K31" s="112">
        <f t="shared" si="7"/>
        <v>-5.01</v>
      </c>
      <c r="L31" s="111">
        <f t="shared" si="1"/>
        <v>126.09</v>
      </c>
      <c r="P31" s="129">
        <f t="shared" si="3"/>
        <v>-3.6237679523765109E-13</v>
      </c>
      <c r="Q31" s="112">
        <v>-46.410000000000359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9"/>
        <v>97.52</v>
      </c>
      <c r="E32" s="111">
        <f t="shared" si="9"/>
        <v>31.43</v>
      </c>
      <c r="F32" s="165">
        <f t="shared" si="4"/>
        <v>0</v>
      </c>
      <c r="G32" s="112">
        <f t="shared" si="5"/>
        <v>45.649276051463872</v>
      </c>
      <c r="H32" s="111"/>
      <c r="I32" s="111"/>
      <c r="J32" s="112">
        <f t="shared" si="6"/>
        <v>45.649276051463872</v>
      </c>
      <c r="K32" s="112">
        <f t="shared" si="7"/>
        <v>128.94999999999999</v>
      </c>
      <c r="L32" s="111">
        <f t="shared" si="1"/>
        <v>128.94999999999999</v>
      </c>
      <c r="P32" s="129">
        <f t="shared" si="3"/>
        <v>-46.409999847411022</v>
      </c>
      <c r="Q32" s="112">
        <v>-46.409999847411022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9"/>
        <v>99.73</v>
      </c>
      <c r="E33" s="111">
        <f t="shared" si="9"/>
        <v>32.14</v>
      </c>
      <c r="F33" s="165">
        <f t="shared" si="4"/>
        <v>0</v>
      </c>
      <c r="G33" s="112">
        <f t="shared" si="5"/>
        <v>46.682978153598619</v>
      </c>
      <c r="H33" s="111"/>
      <c r="I33" s="111"/>
      <c r="J33" s="112">
        <f t="shared" si="6"/>
        <v>46.682978153598619</v>
      </c>
      <c r="K33" s="112">
        <f t="shared" si="7"/>
        <v>131.87</v>
      </c>
      <c r="L33" s="111">
        <f t="shared" si="1"/>
        <v>131.87</v>
      </c>
      <c r="P33" s="129">
        <f t="shared" si="3"/>
        <v>-47.740001678466896</v>
      </c>
      <c r="Q33" s="112">
        <v>-47.740001678466896</v>
      </c>
    </row>
    <row r="34" spans="2:17">
      <c r="B34" s="109">
        <f t="shared" si="0"/>
        <v>2040</v>
      </c>
      <c r="C34" s="113"/>
      <c r="D34" s="111">
        <f t="shared" si="9"/>
        <v>101.99</v>
      </c>
      <c r="E34" s="111">
        <f t="shared" si="9"/>
        <v>32.869999999999997</v>
      </c>
      <c r="F34" s="165">
        <f t="shared" si="4"/>
        <v>0</v>
      </c>
      <c r="G34" s="112">
        <f t="shared" si="5"/>
        <v>47.741460785579044</v>
      </c>
      <c r="H34" s="111"/>
      <c r="I34" s="111"/>
      <c r="J34" s="112">
        <f t="shared" si="6"/>
        <v>47.741460785579044</v>
      </c>
      <c r="K34" s="112">
        <f t="shared" si="7"/>
        <v>134.86000000000001</v>
      </c>
      <c r="L34" s="111">
        <f t="shared" si="1"/>
        <v>134.85999999999999</v>
      </c>
      <c r="P34" s="129">
        <f t="shared" si="3"/>
        <v>-49.060001373288138</v>
      </c>
      <c r="Q34" s="112">
        <v>-49.060001373288138</v>
      </c>
    </row>
    <row r="35" spans="2:17">
      <c r="B35" s="109">
        <f t="shared" si="0"/>
        <v>2041</v>
      </c>
      <c r="C35" s="113"/>
      <c r="D35" s="111">
        <f t="shared" si="9"/>
        <v>104.31</v>
      </c>
      <c r="E35" s="111">
        <f t="shared" si="9"/>
        <v>33.619999999999997</v>
      </c>
      <c r="F35" s="165">
        <f t="shared" si="4"/>
        <v>0</v>
      </c>
      <c r="G35" s="112">
        <f t="shared" si="5"/>
        <v>48.828264023097425</v>
      </c>
      <c r="H35" s="111"/>
      <c r="I35" s="111"/>
      <c r="J35" s="112">
        <f t="shared" si="6"/>
        <v>48.828264023097425</v>
      </c>
      <c r="K35" s="112">
        <f t="shared" si="7"/>
        <v>137.93</v>
      </c>
      <c r="L35" s="111">
        <f t="shared" si="1"/>
        <v>137.93</v>
      </c>
      <c r="P35" s="129">
        <f t="shared" si="3"/>
        <v>-50.389999999999795</v>
      </c>
      <c r="Q35" s="112">
        <v>-50.389999999999795</v>
      </c>
    </row>
    <row r="36" spans="2:17">
      <c r="B36" s="109">
        <f t="shared" si="0"/>
        <v>2042</v>
      </c>
      <c r="C36" s="113"/>
      <c r="D36" s="111">
        <f t="shared" si="9"/>
        <v>106.68</v>
      </c>
      <c r="E36" s="111">
        <f t="shared" si="9"/>
        <v>34.380000000000003</v>
      </c>
      <c r="F36" s="165">
        <f t="shared" si="4"/>
        <v>0</v>
      </c>
      <c r="G36" s="112">
        <f t="shared" si="5"/>
        <v>49.936307714769249</v>
      </c>
      <c r="H36" s="111"/>
      <c r="I36" s="111"/>
      <c r="J36" s="112">
        <f t="shared" si="6"/>
        <v>49.936307714769249</v>
      </c>
      <c r="K36" s="112">
        <f t="shared" si="7"/>
        <v>141.06</v>
      </c>
      <c r="L36" s="111">
        <f t="shared" si="1"/>
        <v>141.06</v>
      </c>
      <c r="P36" s="129">
        <f t="shared" si="3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9"/>
        <v>109.1</v>
      </c>
      <c r="E37" s="111">
        <f t="shared" si="9"/>
        <v>35.159999999999997</v>
      </c>
      <c r="F37" s="165">
        <f t="shared" si="4"/>
        <v>0</v>
      </c>
      <c r="G37" s="112">
        <f t="shared" si="5"/>
        <v>51.069131936286766</v>
      </c>
      <c r="H37" s="111"/>
      <c r="I37" s="111"/>
      <c r="J37" s="112">
        <f t="shared" si="6"/>
        <v>51.069131936286766</v>
      </c>
      <c r="K37" s="112">
        <f t="shared" si="7"/>
        <v>144.26</v>
      </c>
      <c r="L37" s="111">
        <f t="shared" si="1"/>
        <v>144.26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-PMT(Discount_Rate,COUNT(J19:J37),NPV(Discount_Rate,J19:J37))</f>
        <v>11.192955016024259</v>
      </c>
      <c r="K39" s="287">
        <f>-PMT(Discount_Rate,COUNT(K19:K37),NPV(Discount_Rate,K19:K37))</f>
        <v>31.617481293300131</v>
      </c>
      <c r="L39" s="287">
        <f>-PMT(Discount_Rate,COUNT(L19:L37),NPV(Discount_Rate,L19:L37))</f>
        <v>89.05740369666313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32.2%)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PV_.PX.UTS._.PTC.Huntington.PV - 32%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2028</v>
      </c>
      <c r="T54" s="273" t="s">
        <v>379</v>
      </c>
    </row>
    <row r="55" spans="2:20">
      <c r="B55" t="s">
        <v>152</v>
      </c>
      <c r="C55" s="267"/>
      <c r="D55" s="102" t="s">
        <v>65</v>
      </c>
      <c r="P55" s="226">
        <v>820.76279999999997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0.32246556589655151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C01B-7C30-44E4-AE10-D9BE99A04FA1}">
  <sheetPr>
    <tabColor rgb="FFFFC000"/>
    <pageSetUpPr fitToPage="1"/>
  </sheetPr>
  <dimension ref="B1:AC91"/>
  <sheetViews>
    <sheetView view="pageBreakPreview" topLeftCell="A31" zoomScale="70" zoomScaleNormal="70" zoomScaleSheetLayoutView="70" workbookViewId="0">
      <selection activeCell="T54" sqref="T5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PV_.PX.BOR._.PTC.PV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28%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PV_.PX.BOR._.PTC.PV - 28%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1152.1201952304518</v>
      </c>
      <c r="S16" s="284">
        <f>T16-R16</f>
        <v>5.7198047695480909</v>
      </c>
      <c r="T16" s="113">
        <v>1157.8399999999999</v>
      </c>
      <c r="X16" s="277">
        <v>21.158014243080867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T16*IRP_PTC_ESC!$Q3</f>
        <v>1556.9474479999999</v>
      </c>
      <c r="X17" s="277">
        <f t="shared" ref="X17:X22" si="1">X16*(1+IRP23_Infl_Rate)</f>
        <v>21.638301166494205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T17*IRP_PTC_ESC!$Q4</f>
        <v>1556.9474479999999</v>
      </c>
      <c r="X18" s="277">
        <f t="shared" si="1"/>
        <v>22.12949060307119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277"/>
      <c r="S19" s="277"/>
      <c r="T19" s="102">
        <f>T18*IRP_PTC_ESC!$Q5</f>
        <v>1556.9474479999999</v>
      </c>
      <c r="U19" s="284"/>
      <c r="X19" s="277">
        <f t="shared" si="1"/>
        <v>22.631830039860688</v>
      </c>
      <c r="Y19" s="284"/>
    </row>
    <row r="20" spans="2:29">
      <c r="B20" s="109">
        <f t="shared" si="0"/>
        <v>2026</v>
      </c>
      <c r="C20" s="113"/>
      <c r="D20" s="111"/>
      <c r="E20" s="111"/>
      <c r="F20" s="165">
        <f t="shared" ref="F20" si="2">$C$60</f>
        <v>53.405546431728474</v>
      </c>
      <c r="G20" s="112"/>
      <c r="H20" s="111"/>
      <c r="I20" s="111"/>
      <c r="J20" s="112"/>
      <c r="K20" s="112"/>
      <c r="L20" s="111"/>
      <c r="P20" s="129">
        <f t="shared" ref="P20:P36" si="3">Q20-I20</f>
        <v>0</v>
      </c>
      <c r="Q20" s="112">
        <v>0</v>
      </c>
      <c r="T20" s="102">
        <f>T19*IRP_PTC_ESC!$Q6</f>
        <v>1556.9474479999999</v>
      </c>
      <c r="U20" s="284"/>
      <c r="W20" s="129"/>
      <c r="X20" s="277">
        <f t="shared" si="1"/>
        <v>23.145572581867572</v>
      </c>
      <c r="Y20" s="284"/>
    </row>
    <row r="21" spans="2:29">
      <c r="B21" s="109">
        <f t="shared" si="0"/>
        <v>2027</v>
      </c>
      <c r="C21" s="113"/>
      <c r="D21" s="111"/>
      <c r="E21" s="111"/>
      <c r="F21" s="111">
        <f t="shared" ref="F21:F37" si="4">ROUND(F20*(1+IRP23_Infl_Rate),2)</f>
        <v>54.62</v>
      </c>
      <c r="G21" s="112"/>
      <c r="H21" s="111"/>
      <c r="I21" s="111"/>
      <c r="J21" s="112"/>
      <c r="K21" s="112"/>
      <c r="L21" s="111"/>
      <c r="P21" s="129">
        <f t="shared" si="3"/>
        <v>0</v>
      </c>
      <c r="Q21" s="112">
        <v>0</v>
      </c>
      <c r="T21" s="102">
        <f>T20*IRP_PTC_ESC!$Q7</f>
        <v>1556.9474479999999</v>
      </c>
      <c r="U21" s="284"/>
      <c r="V21" s="129"/>
      <c r="W21" s="129"/>
      <c r="X21" s="277">
        <f t="shared" si="1"/>
        <v>23.670977079580329</v>
      </c>
      <c r="Y21" s="284"/>
    </row>
    <row r="22" spans="2:29">
      <c r="B22" s="109">
        <f t="shared" si="0"/>
        <v>2028</v>
      </c>
      <c r="C22" s="274">
        <f>IRP_LTReport!$R$12</f>
        <v>1556.9474234867</v>
      </c>
      <c r="D22" s="111">
        <f>C22*$C$62</f>
        <v>78.719261731487549</v>
      </c>
      <c r="E22" s="281">
        <f>IRP_LTReport!$L$12</f>
        <v>24.272228370554888</v>
      </c>
      <c r="F22" s="111">
        <f t="shared" si="4"/>
        <v>55.86</v>
      </c>
      <c r="G22" s="112">
        <f t="shared" ref="G22:G37" si="5">(D22+E22+F22)/(8.76*$C$63)</f>
        <v>65.006965979808513</v>
      </c>
      <c r="H22" s="111"/>
      <c r="I22" s="111">
        <v>-38.450000000000003</v>
      </c>
      <c r="J22" s="112">
        <f t="shared" ref="J22:J37" si="6">(G22+H22+I22)</f>
        <v>26.55696597980851</v>
      </c>
      <c r="K22" s="112">
        <f t="shared" ref="K22:K37" si="7">ROUND(J22*$C$63*8.76,2)</f>
        <v>64.89</v>
      </c>
      <c r="L22" s="111">
        <f t="shared" ref="L22:L37" si="8">(D22+E22+F22)</f>
        <v>158.85149010204242</v>
      </c>
      <c r="P22" s="129">
        <f t="shared" si="3"/>
        <v>-7.6294076478689021E-7</v>
      </c>
      <c r="Q22" s="112">
        <v>-38.450000762940768</v>
      </c>
      <c r="T22" s="102">
        <f>T21*IRP_PTC_ESC!$Q8</f>
        <v>1556.9474479999999</v>
      </c>
      <c r="U22" s="284">
        <f t="shared" ref="U22" si="9">T22-C22</f>
        <v>2.4513299877071404E-5</v>
      </c>
      <c r="V22" s="129"/>
      <c r="W22" s="129"/>
      <c r="X22" s="277">
        <f t="shared" si="1"/>
        <v>24.208308259393533</v>
      </c>
      <c r="Y22" s="284">
        <f t="shared" ref="Y22" si="10">X22-E22</f>
        <v>-6.3920111161355209E-2</v>
      </c>
      <c r="AA22" s="129"/>
    </row>
    <row r="23" spans="2:29">
      <c r="B23" s="109">
        <f t="shared" si="0"/>
        <v>2029</v>
      </c>
      <c r="C23" s="113"/>
      <c r="D23" s="111">
        <f t="shared" ref="D23:E35" si="11">ROUND(D22*(1+IRP23_Infl_Rate),2)</f>
        <v>80.510000000000005</v>
      </c>
      <c r="E23" s="111">
        <f t="shared" si="11"/>
        <v>24.82</v>
      </c>
      <c r="F23" s="111">
        <f t="shared" si="4"/>
        <v>57.13</v>
      </c>
      <c r="G23" s="112">
        <f t="shared" si="5"/>
        <v>66.483680362680488</v>
      </c>
      <c r="H23" s="111"/>
      <c r="I23" s="111">
        <v>-39.78</v>
      </c>
      <c r="J23" s="112">
        <f t="shared" si="6"/>
        <v>26.703680362680487</v>
      </c>
      <c r="K23" s="112">
        <f t="shared" si="7"/>
        <v>65.25</v>
      </c>
      <c r="L23" s="111">
        <f t="shared" si="8"/>
        <v>162.46</v>
      </c>
      <c r="P23" s="129">
        <f t="shared" si="3"/>
        <v>-1.3784529073745944E-12</v>
      </c>
      <c r="Q23" s="112">
        <v>-39.78000000000138</v>
      </c>
      <c r="T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11"/>
        <v>82.34</v>
      </c>
      <c r="E24" s="111">
        <f t="shared" si="11"/>
        <v>25.38</v>
      </c>
      <c r="F24" s="111">
        <f t="shared" si="4"/>
        <v>58.43</v>
      </c>
      <c r="G24" s="112">
        <f t="shared" si="5"/>
        <v>67.993743027572094</v>
      </c>
      <c r="H24" s="111"/>
      <c r="I24" s="111">
        <v>-39.78</v>
      </c>
      <c r="J24" s="112">
        <f t="shared" si="6"/>
        <v>28.213743027572093</v>
      </c>
      <c r="K24" s="112">
        <f t="shared" si="7"/>
        <v>68.94</v>
      </c>
      <c r="L24" s="111">
        <f t="shared" si="8"/>
        <v>166.15</v>
      </c>
      <c r="P24" s="129">
        <f t="shared" si="3"/>
        <v>1.2207022592747307E-6</v>
      </c>
      <c r="Q24" s="112">
        <v>-39.779998779297742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11"/>
        <v>84.21</v>
      </c>
      <c r="E25" s="111">
        <f t="shared" si="11"/>
        <v>25.96</v>
      </c>
      <c r="F25" s="111">
        <f t="shared" si="4"/>
        <v>59.76</v>
      </c>
      <c r="G25" s="112">
        <f t="shared" si="5"/>
        <v>69.540636489168364</v>
      </c>
      <c r="H25" s="111"/>
      <c r="I25" s="111">
        <v>-41.11</v>
      </c>
      <c r="J25" s="112">
        <f t="shared" si="6"/>
        <v>28.430636489168364</v>
      </c>
      <c r="K25" s="112">
        <f t="shared" si="7"/>
        <v>69.47</v>
      </c>
      <c r="L25" s="111">
        <f t="shared" si="8"/>
        <v>169.92999999999998</v>
      </c>
      <c r="P25" s="129">
        <f t="shared" si="3"/>
        <v>-1.2150280781497713E-12</v>
      </c>
      <c r="Q25" s="112">
        <v>-41.110000000001214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11"/>
        <v>86.12</v>
      </c>
      <c r="E26" s="111">
        <f t="shared" si="11"/>
        <v>26.55</v>
      </c>
      <c r="F26" s="111">
        <f t="shared" si="4"/>
        <v>61.12</v>
      </c>
      <c r="G26" s="112">
        <f t="shared" si="5"/>
        <v>71.120268436724373</v>
      </c>
      <c r="H26" s="111"/>
      <c r="I26" s="111">
        <v>-41.11</v>
      </c>
      <c r="J26" s="112">
        <f t="shared" si="6"/>
        <v>30.010268436724374</v>
      </c>
      <c r="K26" s="112">
        <f t="shared" si="7"/>
        <v>73.33</v>
      </c>
      <c r="L26" s="111">
        <f t="shared" si="8"/>
        <v>173.79</v>
      </c>
      <c r="P26" s="129">
        <f t="shared" si="3"/>
        <v>-6.1035297704847835E-7</v>
      </c>
      <c r="Q26" s="112">
        <v>-41.110000610352976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11"/>
        <v>88.07</v>
      </c>
      <c r="E27" s="111">
        <f t="shared" si="11"/>
        <v>27.15</v>
      </c>
      <c r="F27" s="111">
        <f t="shared" si="4"/>
        <v>62.51</v>
      </c>
      <c r="G27" s="112">
        <f t="shared" si="5"/>
        <v>72.732638870240066</v>
      </c>
      <c r="H27" s="111"/>
      <c r="I27" s="111">
        <v>-42.43</v>
      </c>
      <c r="J27" s="112">
        <f t="shared" si="6"/>
        <v>30.302638870240067</v>
      </c>
      <c r="K27" s="112">
        <f t="shared" si="7"/>
        <v>74.05</v>
      </c>
      <c r="L27" s="111">
        <f t="shared" si="8"/>
        <v>177.73</v>
      </c>
      <c r="P27" s="129">
        <f t="shared" si="3"/>
        <v>-3.0517669813434622E-7</v>
      </c>
      <c r="Q27" s="112">
        <v>-42.430000305176698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11"/>
        <v>90.07</v>
      </c>
      <c r="E28" s="111">
        <f t="shared" si="11"/>
        <v>27.77</v>
      </c>
      <c r="F28" s="111">
        <f t="shared" si="4"/>
        <v>63.93</v>
      </c>
      <c r="G28" s="112">
        <f t="shared" si="5"/>
        <v>74.385932411205403</v>
      </c>
      <c r="H28" s="111"/>
      <c r="I28" s="111">
        <v>-43.76</v>
      </c>
      <c r="J28" s="112">
        <f t="shared" si="6"/>
        <v>30.625932411205405</v>
      </c>
      <c r="K28" s="112">
        <f t="shared" si="7"/>
        <v>74.84</v>
      </c>
      <c r="L28" s="111">
        <f t="shared" si="8"/>
        <v>181.76999999999998</v>
      </c>
      <c r="P28" s="129">
        <f t="shared" si="3"/>
        <v>-1.7408297026122455E-12</v>
      </c>
      <c r="Q28" s="112">
        <v>-43.760000000001739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11"/>
        <v>92.11</v>
      </c>
      <c r="E29" s="111">
        <f t="shared" si="11"/>
        <v>28.4</v>
      </c>
      <c r="F29" s="111">
        <f t="shared" si="4"/>
        <v>65.38</v>
      </c>
      <c r="G29" s="112">
        <f t="shared" si="5"/>
        <v>76.071964438130465</v>
      </c>
      <c r="H29" s="111"/>
      <c r="I29" s="111">
        <v>-43.76</v>
      </c>
      <c r="J29" s="112">
        <f t="shared" si="6"/>
        <v>32.311964438130467</v>
      </c>
      <c r="K29" s="112">
        <f t="shared" si="7"/>
        <v>78.959999999999994</v>
      </c>
      <c r="L29" s="111">
        <f t="shared" si="8"/>
        <v>185.89</v>
      </c>
      <c r="P29" s="129">
        <f t="shared" si="3"/>
        <v>1.6784658996016333E-6</v>
      </c>
      <c r="Q29" s="112">
        <v>-43.759998321534098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11"/>
        <v>94.2</v>
      </c>
      <c r="E30" s="111">
        <f t="shared" si="11"/>
        <v>29.04</v>
      </c>
      <c r="F30" s="111">
        <f t="shared" si="4"/>
        <v>66.86</v>
      </c>
      <c r="G30" s="112">
        <f t="shared" si="5"/>
        <v>77.794827261760204</v>
      </c>
      <c r="H30" s="111"/>
      <c r="I30" s="111">
        <v>-45.09</v>
      </c>
      <c r="J30" s="112">
        <f t="shared" si="6"/>
        <v>32.704827261760201</v>
      </c>
      <c r="K30" s="112">
        <f t="shared" si="7"/>
        <v>79.92</v>
      </c>
      <c r="L30" s="111">
        <f t="shared" si="8"/>
        <v>190.10000000000002</v>
      </c>
      <c r="P30" s="129">
        <f t="shared" si="3"/>
        <v>9.9981689442074639E-3</v>
      </c>
      <c r="Q30" s="112">
        <v>-45.080001831055796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11"/>
        <v>96.34</v>
      </c>
      <c r="E31" s="111">
        <f t="shared" si="11"/>
        <v>29.7</v>
      </c>
      <c r="F31" s="111">
        <f t="shared" si="4"/>
        <v>68.38</v>
      </c>
      <c r="G31" s="112">
        <f t="shared" si="5"/>
        <v>79.562705503584525</v>
      </c>
      <c r="H31" s="111"/>
      <c r="I31" s="111">
        <v>-46.41</v>
      </c>
      <c r="J31" s="112">
        <f t="shared" si="6"/>
        <v>33.152705503584528</v>
      </c>
      <c r="K31" s="112">
        <f t="shared" si="7"/>
        <v>81.010000000000005</v>
      </c>
      <c r="L31" s="111">
        <f t="shared" si="8"/>
        <v>194.42000000000002</v>
      </c>
      <c r="P31" s="129">
        <f t="shared" si="3"/>
        <v>-1.4495071809506044E-12</v>
      </c>
      <c r="Q31" s="112">
        <v>-46.410000000001446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11"/>
        <v>98.53</v>
      </c>
      <c r="E32" s="111">
        <f t="shared" si="11"/>
        <v>30.37</v>
      </c>
      <c r="F32" s="111">
        <f t="shared" si="4"/>
        <v>69.930000000000007</v>
      </c>
      <c r="G32" s="112">
        <f t="shared" si="5"/>
        <v>81.367414542113522</v>
      </c>
      <c r="H32" s="111"/>
      <c r="I32" s="111"/>
      <c r="J32" s="112">
        <f t="shared" si="6"/>
        <v>81.367414542113522</v>
      </c>
      <c r="K32" s="112">
        <f t="shared" si="7"/>
        <v>198.83</v>
      </c>
      <c r="L32" s="111">
        <f t="shared" si="8"/>
        <v>198.83</v>
      </c>
      <c r="P32" s="129">
        <f t="shared" si="3"/>
        <v>0</v>
      </c>
      <c r="Q32" s="112">
        <v>0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11"/>
        <v>100.77</v>
      </c>
      <c r="E33" s="111">
        <f t="shared" si="11"/>
        <v>31.06</v>
      </c>
      <c r="F33" s="111">
        <f t="shared" si="4"/>
        <v>71.52</v>
      </c>
      <c r="G33" s="112">
        <f t="shared" si="5"/>
        <v>83.2171389988371</v>
      </c>
      <c r="H33" s="111"/>
      <c r="I33" s="111"/>
      <c r="J33" s="112">
        <f t="shared" si="6"/>
        <v>83.2171389988371</v>
      </c>
      <c r="K33" s="112">
        <f t="shared" si="7"/>
        <v>203.35</v>
      </c>
      <c r="L33" s="111">
        <f t="shared" si="8"/>
        <v>203.34999999999997</v>
      </c>
      <c r="P33" s="129">
        <f t="shared" si="3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11"/>
        <v>103.06</v>
      </c>
      <c r="E34" s="111">
        <f t="shared" si="11"/>
        <v>31.77</v>
      </c>
      <c r="F34" s="111">
        <f t="shared" si="4"/>
        <v>73.14</v>
      </c>
      <c r="G34" s="112">
        <f t="shared" si="5"/>
        <v>85.10778656301035</v>
      </c>
      <c r="H34" s="111"/>
      <c r="I34" s="111"/>
      <c r="J34" s="112">
        <f t="shared" si="6"/>
        <v>85.10778656301035</v>
      </c>
      <c r="K34" s="112">
        <f t="shared" si="7"/>
        <v>207.97</v>
      </c>
      <c r="L34" s="111">
        <f t="shared" si="8"/>
        <v>207.97000000000003</v>
      </c>
      <c r="P34" s="129">
        <f t="shared" si="3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11"/>
        <v>105.4</v>
      </c>
      <c r="E35" s="111">
        <f t="shared" si="11"/>
        <v>32.49</v>
      </c>
      <c r="F35" s="111">
        <f t="shared" si="4"/>
        <v>74.8</v>
      </c>
      <c r="G35" s="112">
        <f t="shared" si="5"/>
        <v>87.039357234633215</v>
      </c>
      <c r="H35" s="111"/>
      <c r="I35" s="111"/>
      <c r="J35" s="112">
        <f t="shared" si="6"/>
        <v>87.039357234633215</v>
      </c>
      <c r="K35" s="112">
        <f t="shared" si="7"/>
        <v>212.69</v>
      </c>
      <c r="L35" s="111">
        <f t="shared" si="8"/>
        <v>212.69</v>
      </c>
      <c r="P35" s="129">
        <f t="shared" si="3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ref="D36:E37" si="12">ROUND(D35*(1+IRP23_Infl_Rate),2)</f>
        <v>107.79</v>
      </c>
      <c r="E36" s="111">
        <f t="shared" si="12"/>
        <v>33.229999999999997</v>
      </c>
      <c r="F36" s="111">
        <f t="shared" si="4"/>
        <v>76.5</v>
      </c>
      <c r="G36" s="112">
        <f t="shared" si="5"/>
        <v>89.015943324450689</v>
      </c>
      <c r="H36" s="111"/>
      <c r="I36" s="111"/>
      <c r="J36" s="112">
        <f t="shared" si="6"/>
        <v>89.015943324450689</v>
      </c>
      <c r="K36" s="112">
        <f t="shared" si="7"/>
        <v>217.52</v>
      </c>
      <c r="L36" s="111">
        <f t="shared" si="8"/>
        <v>217.52</v>
      </c>
      <c r="P36" s="129">
        <f t="shared" si="3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12"/>
        <v>110.24</v>
      </c>
      <c r="E37" s="111">
        <f t="shared" si="12"/>
        <v>33.979999999999997</v>
      </c>
      <c r="F37" s="111">
        <f t="shared" si="4"/>
        <v>78.239999999999995</v>
      </c>
      <c r="G37" s="112">
        <f t="shared" si="5"/>
        <v>91.037544832462757</v>
      </c>
      <c r="H37" s="111"/>
      <c r="I37" s="111"/>
      <c r="J37" s="112">
        <f t="shared" si="6"/>
        <v>91.037544832462757</v>
      </c>
      <c r="K37" s="112">
        <f t="shared" si="7"/>
        <v>222.46</v>
      </c>
      <c r="L37" s="111">
        <f t="shared" si="8"/>
        <v>222.45999999999998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-PMT(Discount_Rate,COUNT(J19:J37),NPV(Discount_Rate,J19:J37))</f>
        <v>44.111700063661353</v>
      </c>
      <c r="K39" s="287">
        <f>-PMT(Discount_Rate,COUNT(K19:K37),NPV(Discount_Rate,K19:K37))</f>
        <v>107.79055784369484</v>
      </c>
      <c r="L39" s="287">
        <f>-PMT(Discount_Rate,COUNT(L19:L37),NPV(Discount_Rate,L19:L37))</f>
        <v>183.24221525084911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27.9%)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PV_.PX.BOR._.PTC.PV - 28%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2028</v>
      </c>
      <c r="T54" s="273" t="s">
        <v>375</v>
      </c>
    </row>
    <row r="55" spans="2:20">
      <c r="B55" t="s">
        <v>152</v>
      </c>
      <c r="C55" s="267"/>
      <c r="D55" s="102" t="s">
        <v>65</v>
      </c>
      <c r="P55" s="226">
        <v>400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2026$</v>
      </c>
      <c r="C60" s="378">
        <f>J60+J61+J62</f>
        <v>53.405546431728474</v>
      </c>
      <c r="D60" s="102" t="s">
        <v>137</v>
      </c>
      <c r="F60" s="102" t="s">
        <v>347</v>
      </c>
      <c r="J60" s="102">
        <f>IFERROR(INDEX('Table 3 TransCost'!$39:$39,1,MATCH(F60,'Table 3 TransCost'!$4:$4,0)+2),0)</f>
        <v>0</v>
      </c>
      <c r="L60" s="270"/>
      <c r="M60" s="270"/>
      <c r="N60" s="270"/>
      <c r="P60" s="127"/>
    </row>
    <row r="61" spans="2:20">
      <c r="B61"/>
      <c r="C61" s="166"/>
      <c r="F61" s="102" t="s">
        <v>431</v>
      </c>
      <c r="J61" s="102">
        <f>IFERROR(INDEX('Table 3 TransCost'!$39:$39,1,MATCH(F61,'Table 3 TransCost'!$4:$4,0)+2),0)</f>
        <v>0</v>
      </c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F62" s="102" t="s">
        <v>353</v>
      </c>
      <c r="J62" s="102">
        <f>IFERROR(INDEX('Table 3 TransCost'!$39:$39,1,MATCH(F62,'Table 3 TransCost'!$4:$4,0)+2),0)</f>
        <v>53.405546431728474</v>
      </c>
      <c r="L62" s="229"/>
      <c r="M62" s="131"/>
      <c r="N62" s="131"/>
      <c r="P62" s="132"/>
    </row>
    <row r="63" spans="2:20">
      <c r="C63" s="272">
        <v>0.27895059357855467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B1:R345"/>
  <sheetViews>
    <sheetView topLeftCell="A2" zoomScale="80" zoomScaleNormal="80" workbookViewId="0"/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2" customWidth="1"/>
    <col min="9" max="10" width="16.6640625" style="30" customWidth="1"/>
    <col min="11" max="11" width="11.1640625" style="3" customWidth="1"/>
    <col min="12" max="12" width="9.33203125" style="3" customWidth="1"/>
    <col min="13" max="13" width="9.33203125" style="83" customWidth="1"/>
    <col min="14" max="14" width="10.33203125" style="83" customWidth="1"/>
    <col min="15" max="15" width="13.83203125" style="83" customWidth="1"/>
    <col min="16" max="16" width="12.83203125" style="3" customWidth="1"/>
    <col min="17" max="17" width="13.33203125" style="3" customWidth="1"/>
    <col min="18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7"/>
    </row>
    <row r="2" spans="2:18" ht="5.25" customHeight="1">
      <c r="B2" s="1"/>
      <c r="C2" s="1"/>
      <c r="D2" s="1"/>
      <c r="H2" s="27"/>
    </row>
    <row r="3" spans="2:18" ht="15.75">
      <c r="B3" s="1" t="s">
        <v>55</v>
      </c>
      <c r="C3" s="1"/>
      <c r="D3" s="1"/>
      <c r="H3" s="27"/>
    </row>
    <row r="4" spans="2:18" ht="15.75">
      <c r="B4" s="1" t="s">
        <v>30</v>
      </c>
      <c r="C4" s="1"/>
      <c r="D4" s="1"/>
      <c r="H4" s="84" t="s">
        <v>29</v>
      </c>
    </row>
    <row r="5" spans="2:18" ht="15.75">
      <c r="B5" s="1" t="str">
        <f ca="1">'Table 1'!$B$5</f>
        <v>Tesoro Non Firm - 25.0 MW and 85.0% CF</v>
      </c>
      <c r="C5" s="1"/>
      <c r="D5" s="1"/>
      <c r="H5" s="85">
        <v>45107</v>
      </c>
    </row>
    <row r="6" spans="2:18">
      <c r="B6" s="10"/>
      <c r="C6" s="10"/>
      <c r="D6" s="10"/>
      <c r="H6" s="27"/>
    </row>
    <row r="7" spans="2:18" ht="14.25">
      <c r="B7" s="19"/>
      <c r="C7" s="26" t="s">
        <v>26</v>
      </c>
      <c r="D7" s="4"/>
      <c r="H7" s="27"/>
    </row>
    <row r="8" spans="2:18">
      <c r="B8" s="20"/>
      <c r="C8" s="14" t="s">
        <v>27</v>
      </c>
      <c r="D8" s="14" t="s">
        <v>27</v>
      </c>
      <c r="E8" s="14" t="s">
        <v>27</v>
      </c>
      <c r="F8" s="14" t="s">
        <v>27</v>
      </c>
      <c r="H8" s="27"/>
    </row>
    <row r="9" spans="2:18">
      <c r="B9" s="20" t="s">
        <v>0</v>
      </c>
      <c r="C9" s="20" t="str">
        <f>O16</f>
        <v>IRP - Utah Greenfield</v>
      </c>
      <c r="D9" s="20" t="str">
        <f>R16</f>
        <v>Naughton</v>
      </c>
      <c r="E9" s="20" t="str">
        <f>P15</f>
        <v>IRP West Side</v>
      </c>
      <c r="F9" s="20" t="str">
        <f>Q16</f>
        <v>IRP - Wyo NE</v>
      </c>
      <c r="H9" s="27"/>
    </row>
    <row r="10" spans="2:18">
      <c r="B10" s="21"/>
      <c r="C10" s="22" t="s">
        <v>21</v>
      </c>
      <c r="D10" s="22" t="s">
        <v>21</v>
      </c>
      <c r="E10" s="22" t="s">
        <v>21</v>
      </c>
      <c r="F10" s="22" t="s">
        <v>21</v>
      </c>
      <c r="H10" s="28"/>
      <c r="I10" s="83"/>
      <c r="J10" s="83"/>
    </row>
    <row r="11" spans="2:18" hidden="1">
      <c r="C11" s="5"/>
      <c r="D11" s="5"/>
      <c r="H11" s="28"/>
      <c r="I11" s="83"/>
      <c r="J11" s="83"/>
    </row>
    <row r="12" spans="2:18" hidden="1">
      <c r="C12" s="23"/>
      <c r="D12" s="23"/>
      <c r="H12" s="28"/>
      <c r="I12" s="83"/>
      <c r="J12" s="83"/>
    </row>
    <row r="13" spans="2:18" ht="6" customHeight="1">
      <c r="H13" s="86"/>
      <c r="I13" s="87"/>
      <c r="J13" s="87"/>
    </row>
    <row r="14" spans="2:18">
      <c r="B14" s="24"/>
      <c r="C14" s="25"/>
      <c r="D14" s="25"/>
      <c r="E14" s="25"/>
      <c r="F14" s="25"/>
      <c r="H14" s="88"/>
      <c r="I14" s="31"/>
      <c r="J14" s="31"/>
    </row>
    <row r="15" spans="2:18" ht="13.5" thickBot="1">
      <c r="B15" s="24"/>
      <c r="C15" s="25"/>
      <c r="D15" s="25"/>
      <c r="E15" s="25"/>
      <c r="F15" s="25"/>
      <c r="H15" s="28"/>
      <c r="I15" s="32" t="s">
        <v>59</v>
      </c>
      <c r="J15" s="32"/>
      <c r="K15" s="3" t="s">
        <v>60</v>
      </c>
      <c r="L15" s="3" t="s">
        <v>61</v>
      </c>
      <c r="P15" s="3" t="s">
        <v>60</v>
      </c>
      <c r="R15" s="3" t="s">
        <v>119</v>
      </c>
    </row>
    <row r="16" spans="2:18" ht="13.5" thickBot="1">
      <c r="B16" s="24"/>
      <c r="C16" s="25"/>
      <c r="D16" s="25"/>
      <c r="E16" s="25"/>
      <c r="F16" s="25"/>
      <c r="H16" s="28" t="s">
        <v>28</v>
      </c>
      <c r="I16" s="32" t="s">
        <v>27</v>
      </c>
      <c r="J16" s="3" t="s">
        <v>118</v>
      </c>
      <c r="K16" s="32" t="s">
        <v>27</v>
      </c>
      <c r="L16" s="32" t="s">
        <v>27</v>
      </c>
      <c r="M16" s="87" t="s">
        <v>0</v>
      </c>
      <c r="O16" s="89" t="s">
        <v>59</v>
      </c>
      <c r="P16" s="89" t="s">
        <v>89</v>
      </c>
      <c r="Q16" s="89" t="s">
        <v>61</v>
      </c>
      <c r="R16" s="3" t="s">
        <v>118</v>
      </c>
    </row>
    <row r="17" spans="2:18" ht="13.5" thickBot="1">
      <c r="B17" s="24">
        <v>2019</v>
      </c>
      <c r="C17" s="25">
        <f t="shared" ref="C17:C38" si="0">ROUND(SUMIF($M$17:$M$340,$B17,$I$17:$I$340)/COUNTIF($M$17:$M$340,$B17),2)</f>
        <v>2.42</v>
      </c>
      <c r="D17" s="25">
        <f t="shared" ref="D17:D38" si="1">ROUND(SUMIF($M$17:$M$340,$B17,$J$17:$J$340)/COUNTIF($M$17:$M$340,$B17),2)</f>
        <v>2.4300000000000002</v>
      </c>
      <c r="E17" s="25">
        <f t="shared" ref="E17:E38" si="2">ROUND(SUMIF($M$17:$M$340,$B17,$K$17:$K$340)/COUNTIF($M$17:$M$340,$B17),2)</f>
        <v>4.3099999999999996</v>
      </c>
      <c r="F17" s="25">
        <f t="shared" ref="F17:F38" si="3">ROUND(SUMIF($M$17:$M$340,$B17,$L$17:$L$340)/COUNTIF($M$17:$M$340,$B17),2)</f>
        <v>2.09</v>
      </c>
      <c r="H17" s="29">
        <v>42370</v>
      </c>
      <c r="I17" s="33">
        <v>2.2763825364431489</v>
      </c>
      <c r="J17" s="33">
        <v>2.2724718011978848</v>
      </c>
      <c r="K17" s="33">
        <v>2.3748742653912789</v>
      </c>
      <c r="L17" s="33">
        <v>2.2757987901986261</v>
      </c>
      <c r="M17" s="90">
        <f t="shared" ref="M17:M64" si="4">YEAR(H17)</f>
        <v>2016</v>
      </c>
      <c r="O17" s="91">
        <v>47</v>
      </c>
      <c r="P17" s="91">
        <v>43</v>
      </c>
      <c r="Q17" s="91">
        <v>46</v>
      </c>
      <c r="R17" s="91">
        <v>42</v>
      </c>
    </row>
    <row r="18" spans="2:18">
      <c r="B18" s="24">
        <f t="shared" ref="B18:B38" si="5">B17+1</f>
        <v>2020</v>
      </c>
      <c r="C18" s="25">
        <f t="shared" si="0"/>
        <v>1.98</v>
      </c>
      <c r="D18" s="25">
        <f t="shared" si="1"/>
        <v>1.99</v>
      </c>
      <c r="E18" s="25">
        <f t="shared" si="2"/>
        <v>2.17</v>
      </c>
      <c r="F18" s="25">
        <f t="shared" si="3"/>
        <v>1.79</v>
      </c>
      <c r="H18" s="29">
        <v>42401</v>
      </c>
      <c r="I18" s="33">
        <v>1.8452064945978397</v>
      </c>
      <c r="J18" s="33">
        <v>1.8414277116248936</v>
      </c>
      <c r="K18" s="33">
        <v>1.7746276302006363</v>
      </c>
      <c r="L18" s="33">
        <v>1.8289735727586562</v>
      </c>
      <c r="M18" s="90">
        <f t="shared" si="4"/>
        <v>2016</v>
      </c>
    </row>
    <row r="19" spans="2:18">
      <c r="B19" s="24">
        <f t="shared" si="5"/>
        <v>2021</v>
      </c>
      <c r="C19" s="25">
        <f t="shared" si="0"/>
        <v>4.18</v>
      </c>
      <c r="D19" s="25">
        <f t="shared" si="1"/>
        <v>4.1500000000000004</v>
      </c>
      <c r="E19" s="25">
        <f t="shared" si="2"/>
        <v>4.03</v>
      </c>
      <c r="F19" s="25">
        <f t="shared" si="3"/>
        <v>6.38</v>
      </c>
      <c r="H19" s="29">
        <v>42430</v>
      </c>
      <c r="I19" s="33">
        <v>1.5253593249607535</v>
      </c>
      <c r="J19" s="33">
        <v>1.5216784244226651</v>
      </c>
      <c r="K19" s="33">
        <v>1.4851256469456469</v>
      </c>
      <c r="L19" s="33">
        <v>1.5765269848510393</v>
      </c>
      <c r="M19" s="90">
        <f t="shared" si="4"/>
        <v>2016</v>
      </c>
    </row>
    <row r="20" spans="2:18">
      <c r="B20" s="24">
        <f t="shared" si="5"/>
        <v>2022</v>
      </c>
      <c r="C20" s="25">
        <f t="shared" si="0"/>
        <v>8.2100000000000009</v>
      </c>
      <c r="D20" s="25">
        <f t="shared" si="1"/>
        <v>8.15</v>
      </c>
      <c r="E20" s="25">
        <f t="shared" si="2"/>
        <v>8.48</v>
      </c>
      <c r="F20" s="25">
        <f t="shared" si="3"/>
        <v>6.13</v>
      </c>
      <c r="H20" s="29">
        <v>42461</v>
      </c>
      <c r="I20" s="33">
        <v>1.6910448299319725</v>
      </c>
      <c r="J20" s="33">
        <v>1.6873132248631368</v>
      </c>
      <c r="K20" s="33">
        <v>1.4973848492599942</v>
      </c>
      <c r="L20" s="33">
        <v>1.7513146360624383</v>
      </c>
      <c r="M20" s="90">
        <f t="shared" si="4"/>
        <v>2016</v>
      </c>
    </row>
    <row r="21" spans="2:18">
      <c r="B21" s="24">
        <f t="shared" si="5"/>
        <v>2023</v>
      </c>
      <c r="C21" s="25">
        <f t="shared" si="0"/>
        <v>4.8600000000000003</v>
      </c>
      <c r="D21" s="25">
        <f t="shared" si="1"/>
        <v>4.83</v>
      </c>
      <c r="E21" s="25">
        <f t="shared" si="2"/>
        <v>4.9000000000000004</v>
      </c>
      <c r="F21" s="25">
        <f t="shared" si="3"/>
        <v>2.56</v>
      </c>
      <c r="H21" s="29">
        <v>42491</v>
      </c>
      <c r="I21" s="33">
        <v>1.7310108163265305</v>
      </c>
      <c r="J21" s="33">
        <v>1.7272669805161687</v>
      </c>
      <c r="K21" s="33">
        <v>1.5718715629148743</v>
      </c>
      <c r="L21" s="33">
        <v>1.8004724578470166</v>
      </c>
      <c r="M21" s="90">
        <f t="shared" si="4"/>
        <v>2016</v>
      </c>
    </row>
    <row r="22" spans="2:18">
      <c r="B22" s="24">
        <f t="shared" si="5"/>
        <v>2024</v>
      </c>
      <c r="C22" s="25">
        <f t="shared" si="0"/>
        <v>4.18</v>
      </c>
      <c r="D22" s="25">
        <f t="shared" si="1"/>
        <v>4.1500000000000004</v>
      </c>
      <c r="E22" s="25">
        <f t="shared" si="2"/>
        <v>4.2300000000000004</v>
      </c>
      <c r="F22" s="25">
        <f t="shared" si="3"/>
        <v>3.47</v>
      </c>
      <c r="H22" s="29">
        <v>42522</v>
      </c>
      <c r="I22" s="33">
        <v>2.3388150491307629</v>
      </c>
      <c r="J22" s="33">
        <v>2.3348852077406383</v>
      </c>
      <c r="K22" s="33">
        <v>2.1751230113991165</v>
      </c>
      <c r="L22" s="33">
        <v>2.3647654677733372</v>
      </c>
      <c r="M22" s="90">
        <f t="shared" si="4"/>
        <v>2016</v>
      </c>
    </row>
    <row r="23" spans="2:18">
      <c r="B23" s="24">
        <f t="shared" si="5"/>
        <v>2025</v>
      </c>
      <c r="C23" s="25">
        <f t="shared" si="0"/>
        <v>4.3600000000000003</v>
      </c>
      <c r="D23" s="25">
        <f t="shared" si="1"/>
        <v>4.33</v>
      </c>
      <c r="E23" s="25">
        <f t="shared" si="2"/>
        <v>4.29</v>
      </c>
      <c r="F23" s="25">
        <f t="shared" si="3"/>
        <v>3.81</v>
      </c>
      <c r="H23" s="29">
        <v>42552</v>
      </c>
      <c r="I23" s="33">
        <v>2.58101081632653</v>
      </c>
      <c r="J23" s="33">
        <v>2.5770068560644699</v>
      </c>
      <c r="K23" s="33">
        <v>2.5037871798230165</v>
      </c>
      <c r="L23" s="33">
        <v>2.6063456138089238</v>
      </c>
      <c r="M23" s="90">
        <f t="shared" si="4"/>
        <v>2016</v>
      </c>
    </row>
    <row r="24" spans="2:18">
      <c r="B24" s="24">
        <f t="shared" si="5"/>
        <v>2026</v>
      </c>
      <c r="C24" s="25">
        <f t="shared" si="0"/>
        <v>4.4000000000000004</v>
      </c>
      <c r="D24" s="25">
        <f t="shared" si="1"/>
        <v>4.37</v>
      </c>
      <c r="E24" s="25">
        <f t="shared" si="2"/>
        <v>4.46</v>
      </c>
      <c r="F24" s="25">
        <f t="shared" si="3"/>
        <v>4</v>
      </c>
      <c r="H24" s="29">
        <v>42583</v>
      </c>
      <c r="I24" s="33">
        <v>2.6353985714285706</v>
      </c>
      <c r="J24" s="33">
        <v>2.631377966948893</v>
      </c>
      <c r="K24" s="33">
        <v>2.6477537958754924</v>
      </c>
      <c r="L24" s="33">
        <v>2.6355990076984344</v>
      </c>
      <c r="M24" s="90">
        <f t="shared" si="4"/>
        <v>2016</v>
      </c>
    </row>
    <row r="25" spans="2:18">
      <c r="B25" s="24">
        <f t="shared" si="5"/>
        <v>2027</v>
      </c>
      <c r="C25" s="25">
        <f t="shared" si="0"/>
        <v>4.76</v>
      </c>
      <c r="D25" s="25">
        <f t="shared" si="1"/>
        <v>4.72</v>
      </c>
      <c r="E25" s="25">
        <f t="shared" si="2"/>
        <v>4.97</v>
      </c>
      <c r="F25" s="25">
        <f t="shared" si="3"/>
        <v>4.3600000000000003</v>
      </c>
      <c r="H25" s="29">
        <v>42614</v>
      </c>
      <c r="I25" s="33">
        <v>2.7123373469387757</v>
      </c>
      <c r="J25" s="33">
        <v>2.7082931969805171</v>
      </c>
      <c r="K25" s="33">
        <v>2.7714741535603351</v>
      </c>
      <c r="L25" s="33">
        <v>2.7681537930798932</v>
      </c>
      <c r="M25" s="90">
        <f t="shared" si="4"/>
        <v>2016</v>
      </c>
    </row>
    <row r="26" spans="2:18">
      <c r="B26" s="24">
        <f t="shared" si="5"/>
        <v>2028</v>
      </c>
      <c r="C26" s="25">
        <f t="shared" si="0"/>
        <v>5.01</v>
      </c>
      <c r="D26" s="25">
        <f t="shared" si="1"/>
        <v>4.97</v>
      </c>
      <c r="E26" s="25">
        <f t="shared" si="2"/>
        <v>5.31</v>
      </c>
      <c r="F26" s="25">
        <f t="shared" si="3"/>
        <v>4.6100000000000003</v>
      </c>
      <c r="H26" s="29">
        <v>42644</v>
      </c>
      <c r="I26" s="33">
        <v>2.6862698430141281</v>
      </c>
      <c r="J26" s="33">
        <v>2.6822336704619465</v>
      </c>
      <c r="K26" s="33">
        <v>2.6942040298820258</v>
      </c>
      <c r="L26" s="33">
        <v>2.7499682086675996</v>
      </c>
      <c r="M26" s="90">
        <f t="shared" si="4"/>
        <v>2016</v>
      </c>
    </row>
    <row r="27" spans="2:18">
      <c r="B27" s="24">
        <f t="shared" si="5"/>
        <v>2029</v>
      </c>
      <c r="C27" s="25">
        <f t="shared" si="0"/>
        <v>5.17</v>
      </c>
      <c r="D27" s="25">
        <f t="shared" si="1"/>
        <v>5.13</v>
      </c>
      <c r="E27" s="25">
        <f t="shared" si="2"/>
        <v>5.47</v>
      </c>
      <c r="F27" s="25">
        <f t="shared" si="3"/>
        <v>4.7699999999999996</v>
      </c>
      <c r="H27" s="29">
        <v>42675</v>
      </c>
      <c r="I27" s="33">
        <v>2.269616258503401</v>
      </c>
      <c r="J27" s="33">
        <v>2.26570759393383</v>
      </c>
      <c r="K27" s="33">
        <v>2.2676824839611038</v>
      </c>
      <c r="L27" s="33">
        <v>2.3066994090924613</v>
      </c>
      <c r="M27" s="90">
        <f t="shared" si="4"/>
        <v>2016</v>
      </c>
    </row>
    <row r="28" spans="2:18">
      <c r="B28" s="24">
        <f t="shared" si="5"/>
        <v>2030</v>
      </c>
      <c r="C28" s="25">
        <f t="shared" si="0"/>
        <v>5.17</v>
      </c>
      <c r="D28" s="25">
        <f t="shared" si="1"/>
        <v>5.12</v>
      </c>
      <c r="E28" s="25">
        <f t="shared" si="2"/>
        <v>5.46</v>
      </c>
      <c r="F28" s="25">
        <f t="shared" si="3"/>
        <v>4.76</v>
      </c>
      <c r="H28" s="29">
        <v>42705</v>
      </c>
      <c r="I28" s="33">
        <v>3.5123636800526663</v>
      </c>
      <c r="J28" s="33">
        <v>3.5080746990223539</v>
      </c>
      <c r="K28" s="33">
        <v>3.8167860057158185</v>
      </c>
      <c r="L28" s="33">
        <v>3.5518748027461844</v>
      </c>
      <c r="M28" s="90">
        <f t="shared" si="4"/>
        <v>2016</v>
      </c>
    </row>
    <row r="29" spans="2:18">
      <c r="B29" s="24">
        <f t="shared" si="5"/>
        <v>2031</v>
      </c>
      <c r="C29" s="25">
        <f t="shared" si="0"/>
        <v>5.44</v>
      </c>
      <c r="D29" s="25">
        <f t="shared" si="1"/>
        <v>5.39</v>
      </c>
      <c r="E29" s="25">
        <f t="shared" si="2"/>
        <v>5.74</v>
      </c>
      <c r="F29" s="25">
        <f t="shared" si="3"/>
        <v>5.03</v>
      </c>
      <c r="H29" s="29">
        <v>42736</v>
      </c>
      <c r="I29" s="33">
        <v>3.2524393877551017</v>
      </c>
      <c r="J29" s="33">
        <v>3.2626434693877546</v>
      </c>
      <c r="K29" s="33">
        <v>3.5318468800105713</v>
      </c>
      <c r="L29" s="33">
        <v>3.2192827656100813</v>
      </c>
      <c r="M29" s="90">
        <f t="shared" si="4"/>
        <v>2017</v>
      </c>
    </row>
    <row r="30" spans="2:18">
      <c r="B30" s="24">
        <f t="shared" si="5"/>
        <v>2032</v>
      </c>
      <c r="C30" s="25">
        <f t="shared" si="0"/>
        <v>5.73</v>
      </c>
      <c r="D30" s="25">
        <f t="shared" si="1"/>
        <v>5.68</v>
      </c>
      <c r="E30" s="25">
        <f t="shared" si="2"/>
        <v>6.03</v>
      </c>
      <c r="F30" s="25">
        <f t="shared" si="3"/>
        <v>5.32</v>
      </c>
      <c r="H30" s="29">
        <v>42767</v>
      </c>
      <c r="I30" s="33">
        <v>2.6306099416909614</v>
      </c>
      <c r="J30" s="33">
        <v>2.6408140233236148</v>
      </c>
      <c r="K30" s="33">
        <v>2.6903633755419278</v>
      </c>
      <c r="L30" s="33">
        <v>2.6163905589309167</v>
      </c>
      <c r="M30" s="90">
        <f t="shared" si="4"/>
        <v>2017</v>
      </c>
    </row>
    <row r="31" spans="2:18">
      <c r="B31" s="24">
        <f t="shared" si="5"/>
        <v>2033</v>
      </c>
      <c r="C31" s="25">
        <f t="shared" si="0"/>
        <v>5.98</v>
      </c>
      <c r="D31" s="25">
        <f t="shared" si="1"/>
        <v>5.92</v>
      </c>
      <c r="E31" s="25">
        <f t="shared" si="2"/>
        <v>6.25</v>
      </c>
      <c r="F31" s="25">
        <f t="shared" si="3"/>
        <v>5.57</v>
      </c>
      <c r="H31" s="29">
        <v>42795</v>
      </c>
      <c r="I31" s="33">
        <v>2.5701319486504275</v>
      </c>
      <c r="J31" s="33">
        <v>2.5803360302830809</v>
      </c>
      <c r="K31" s="33">
        <v>2.5432095807524639</v>
      </c>
      <c r="L31" s="33">
        <v>2.568842349667122</v>
      </c>
      <c r="M31" s="90">
        <f t="shared" si="4"/>
        <v>2017</v>
      </c>
    </row>
    <row r="32" spans="2:18">
      <c r="B32" s="24">
        <f t="shared" si="5"/>
        <v>2034</v>
      </c>
      <c r="C32" s="25">
        <f t="shared" si="0"/>
        <v>6.16</v>
      </c>
      <c r="D32" s="25">
        <f t="shared" si="1"/>
        <v>6.09</v>
      </c>
      <c r="E32" s="25">
        <f t="shared" si="2"/>
        <v>6.42</v>
      </c>
      <c r="F32" s="25">
        <f t="shared" si="3"/>
        <v>5.74</v>
      </c>
      <c r="H32" s="29">
        <v>42826</v>
      </c>
      <c r="I32" s="33">
        <v>2.7337319047619042</v>
      </c>
      <c r="J32" s="33">
        <v>2.7439359863945576</v>
      </c>
      <c r="K32" s="33">
        <v>2.7294485434555877</v>
      </c>
      <c r="L32" s="33">
        <v>2.7630022897935822</v>
      </c>
      <c r="M32" s="90">
        <f t="shared" si="4"/>
        <v>2017</v>
      </c>
    </row>
    <row r="33" spans="2:13">
      <c r="B33" s="24">
        <f t="shared" si="5"/>
        <v>2035</v>
      </c>
      <c r="C33" s="25">
        <f t="shared" si="0"/>
        <v>6.22</v>
      </c>
      <c r="D33" s="25">
        <f t="shared" si="1"/>
        <v>6.15</v>
      </c>
      <c r="E33" s="25">
        <f t="shared" si="2"/>
        <v>6.49</v>
      </c>
      <c r="F33" s="25">
        <f t="shared" si="3"/>
        <v>5.81</v>
      </c>
      <c r="H33" s="29">
        <v>42856</v>
      </c>
      <c r="I33" s="33">
        <v>2.793469670836076</v>
      </c>
      <c r="J33" s="33">
        <v>2.8036737524687294</v>
      </c>
      <c r="K33" s="33">
        <v>2.7211925722904748</v>
      </c>
      <c r="L33" s="33">
        <v>2.7948345482925934</v>
      </c>
      <c r="M33" s="90">
        <f t="shared" si="4"/>
        <v>2017</v>
      </c>
    </row>
    <row r="34" spans="2:13">
      <c r="B34" s="24">
        <f t="shared" si="5"/>
        <v>2036</v>
      </c>
      <c r="C34" s="25">
        <f t="shared" si="0"/>
        <v>6.37</v>
      </c>
      <c r="D34" s="25">
        <f t="shared" si="1"/>
        <v>6.3</v>
      </c>
      <c r="E34" s="25">
        <f t="shared" si="2"/>
        <v>6.66</v>
      </c>
      <c r="F34" s="25">
        <f t="shared" si="3"/>
        <v>5.95</v>
      </c>
      <c r="H34" s="29">
        <v>42887</v>
      </c>
      <c r="I34" s="33">
        <v>2.8754985714285715</v>
      </c>
      <c r="J34" s="33">
        <v>2.8713045200448848</v>
      </c>
      <c r="K34" s="33">
        <v>2.8528564316455696</v>
      </c>
      <c r="L34" s="33">
        <v>2.9027304231990985</v>
      </c>
      <c r="M34" s="90">
        <f t="shared" si="4"/>
        <v>2017</v>
      </c>
    </row>
    <row r="35" spans="2:13">
      <c r="B35" s="24">
        <f t="shared" si="5"/>
        <v>2037</v>
      </c>
      <c r="C35" s="25">
        <f t="shared" si="0"/>
        <v>6.67</v>
      </c>
      <c r="D35" s="25">
        <f t="shared" si="1"/>
        <v>6.59</v>
      </c>
      <c r="E35" s="25">
        <f t="shared" si="2"/>
        <v>6.98</v>
      </c>
      <c r="F35" s="25">
        <f t="shared" si="3"/>
        <v>6.25</v>
      </c>
      <c r="H35" s="29">
        <v>42917</v>
      </c>
      <c r="I35" s="33">
        <v>2.6189359863945567</v>
      </c>
      <c r="J35" s="33">
        <v>2.6291400680272097</v>
      </c>
      <c r="K35" s="33">
        <v>2.4945553517572598</v>
      </c>
      <c r="L35" s="33">
        <v>2.6362978437052949</v>
      </c>
      <c r="M35" s="90">
        <f t="shared" si="4"/>
        <v>2017</v>
      </c>
    </row>
    <row r="36" spans="2:13">
      <c r="B36" s="24">
        <f t="shared" si="5"/>
        <v>2038</v>
      </c>
      <c r="C36" s="25">
        <f t="shared" si="0"/>
        <v>6.99</v>
      </c>
      <c r="D36" s="25">
        <f t="shared" si="1"/>
        <v>6.91</v>
      </c>
      <c r="E36" s="25">
        <f t="shared" si="2"/>
        <v>7.31</v>
      </c>
      <c r="F36" s="25">
        <f t="shared" si="3"/>
        <v>6.57</v>
      </c>
      <c r="H36" s="29">
        <v>42948</v>
      </c>
      <c r="I36" s="33">
        <v>2.6204058600583098</v>
      </c>
      <c r="J36" s="33">
        <v>2.6306099416909632</v>
      </c>
      <c r="K36" s="33">
        <v>2.6662174520070065</v>
      </c>
      <c r="L36" s="33">
        <v>2.5882317308036979</v>
      </c>
      <c r="M36" s="90">
        <f t="shared" si="4"/>
        <v>2017</v>
      </c>
    </row>
    <row r="37" spans="2:13">
      <c r="B37" s="24">
        <f t="shared" si="5"/>
        <v>2039</v>
      </c>
      <c r="C37" s="25">
        <f t="shared" si="0"/>
        <v>7.34</v>
      </c>
      <c r="D37" s="25">
        <f t="shared" si="1"/>
        <v>7.25</v>
      </c>
      <c r="E37" s="25">
        <f t="shared" si="2"/>
        <v>7.67</v>
      </c>
      <c r="F37" s="25">
        <f t="shared" si="3"/>
        <v>6.92</v>
      </c>
      <c r="H37" s="29">
        <v>42979</v>
      </c>
      <c r="I37" s="33">
        <v>2.6225484658691061</v>
      </c>
      <c r="J37" s="33">
        <v>2.6327525475017595</v>
      </c>
      <c r="K37" s="33">
        <v>2.6887120624951599</v>
      </c>
      <c r="L37" s="33">
        <v>2.6331911977640843</v>
      </c>
      <c r="M37" s="90">
        <f t="shared" si="4"/>
        <v>2017</v>
      </c>
    </row>
    <row r="38" spans="2:13">
      <c r="B38" s="24">
        <f t="shared" si="5"/>
        <v>2040</v>
      </c>
      <c r="C38" s="25">
        <f t="shared" si="0"/>
        <v>7.68</v>
      </c>
      <c r="D38" s="25">
        <f t="shared" si="1"/>
        <v>7.58</v>
      </c>
      <c r="E38" s="25">
        <f t="shared" si="2"/>
        <v>8.02</v>
      </c>
      <c r="F38" s="25">
        <f t="shared" si="3"/>
        <v>7.25</v>
      </c>
      <c r="H38" s="29">
        <v>43009</v>
      </c>
      <c r="I38" s="33">
        <v>2.5740380272108854</v>
      </c>
      <c r="J38" s="33">
        <v>2.5842421088435388</v>
      </c>
      <c r="K38" s="33">
        <v>2.6534093301860455</v>
      </c>
      <c r="L38" s="33">
        <v>2.5597179350146151</v>
      </c>
      <c r="M38" s="90">
        <f t="shared" si="4"/>
        <v>2017</v>
      </c>
    </row>
    <row r="39" spans="2:13">
      <c r="B39" s="24"/>
      <c r="C39" s="25"/>
      <c r="D39" s="25"/>
      <c r="E39" s="25"/>
      <c r="F39" s="25"/>
      <c r="H39" s="29">
        <v>43040</v>
      </c>
      <c r="I39" s="33">
        <v>2.7398543537414972</v>
      </c>
      <c r="J39" s="33">
        <v>2.7500584353741506</v>
      </c>
      <c r="K39" s="33">
        <v>2.7910689165539582</v>
      </c>
      <c r="L39" s="33">
        <v>2.7286553860659333</v>
      </c>
      <c r="M39" s="90">
        <f t="shared" si="4"/>
        <v>2017</v>
      </c>
    </row>
    <row r="40" spans="2:13">
      <c r="B40" s="24"/>
      <c r="C40" s="25"/>
      <c r="D40" s="25"/>
      <c r="E40" s="25"/>
      <c r="F40" s="25"/>
      <c r="H40" s="29">
        <v>43070</v>
      </c>
      <c r="I40" s="33">
        <v>2.5383676300197497</v>
      </c>
      <c r="J40" s="33">
        <v>2.5485717116524031</v>
      </c>
      <c r="K40" s="33">
        <v>2.822493172147158</v>
      </c>
      <c r="L40" s="33">
        <v>2.5087189745461411</v>
      </c>
      <c r="M40" s="90">
        <f t="shared" si="4"/>
        <v>2017</v>
      </c>
    </row>
    <row r="41" spans="2:13">
      <c r="B41" s="24"/>
      <c r="C41" s="25"/>
      <c r="D41" s="25"/>
      <c r="E41" s="25"/>
      <c r="F41" s="25"/>
      <c r="H41" s="29">
        <v>43101</v>
      </c>
      <c r="I41" s="33">
        <v>2.9365659189280224</v>
      </c>
      <c r="J41" s="33">
        <v>2.9467048218987211</v>
      </c>
      <c r="K41" s="33">
        <v>2.8135887402859616</v>
      </c>
      <c r="L41" s="33">
        <v>3.0826510126176525</v>
      </c>
      <c r="M41" s="90">
        <f t="shared" si="4"/>
        <v>2018</v>
      </c>
    </row>
    <row r="42" spans="2:13">
      <c r="B42" s="24"/>
      <c r="C42" s="25"/>
      <c r="D42" s="25"/>
      <c r="E42" s="25"/>
      <c r="F42" s="25"/>
      <c r="H42" s="29">
        <v>43132</v>
      </c>
      <c r="I42" s="33">
        <v>2.2424949344592338</v>
      </c>
      <c r="J42" s="33">
        <v>2.2526338374299324</v>
      </c>
      <c r="K42" s="33">
        <v>2.2559061081726517</v>
      </c>
      <c r="L42" s="33">
        <v>2.2490598127356938</v>
      </c>
      <c r="M42" s="90">
        <f t="shared" si="4"/>
        <v>2018</v>
      </c>
    </row>
    <row r="43" spans="2:13">
      <c r="H43" s="29">
        <v>43160</v>
      </c>
      <c r="I43" s="33">
        <v>2.1136794713706815</v>
      </c>
      <c r="J43" s="33">
        <v>2.1238183743413801</v>
      </c>
      <c r="K43" s="33">
        <v>2.1843639754367272</v>
      </c>
      <c r="L43" s="33">
        <v>2.1613389321133352</v>
      </c>
      <c r="M43" s="90">
        <f t="shared" si="4"/>
        <v>2018</v>
      </c>
    </row>
    <row r="44" spans="2:13">
      <c r="B44" s="92" t="str">
        <f>"Official Forward Price Curve Forecast dated   "&amp;TEXT(H5,"MMM dd, YYYY")</f>
        <v>Official Forward Price Curve Forecast dated   Jun 30, 2023</v>
      </c>
      <c r="H44" s="29">
        <v>43191</v>
      </c>
      <c r="I44" s="33">
        <v>1.9776764449626556</v>
      </c>
      <c r="J44" s="33">
        <v>1.987815347933354</v>
      </c>
      <c r="K44" s="33">
        <v>2.02262576128114</v>
      </c>
      <c r="L44" s="33">
        <v>2.0694667469637662</v>
      </c>
      <c r="M44" s="90">
        <f t="shared" si="4"/>
        <v>2018</v>
      </c>
    </row>
    <row r="45" spans="2:13">
      <c r="H45" s="29">
        <v>43221</v>
      </c>
      <c r="I45" s="33">
        <v>1.7831839406645238</v>
      </c>
      <c r="J45" s="33">
        <v>1.7933228436352224</v>
      </c>
      <c r="K45" s="33">
        <v>1.5708405984016238</v>
      </c>
      <c r="L45" s="33">
        <v>1.8794896381126289</v>
      </c>
      <c r="M45" s="90">
        <f t="shared" si="4"/>
        <v>2018</v>
      </c>
    </row>
    <row r="46" spans="2:13">
      <c r="H46" s="29">
        <v>43252</v>
      </c>
      <c r="I46" s="33">
        <v>2.1436406304949229</v>
      </c>
      <c r="J46" s="33">
        <v>2.153779533465622</v>
      </c>
      <c r="K46" s="33">
        <v>1.8484832971560308</v>
      </c>
      <c r="L46" s="33">
        <v>2.2503948014550383</v>
      </c>
      <c r="M46" s="90">
        <f t="shared" si="4"/>
        <v>2018</v>
      </c>
    </row>
    <row r="47" spans="2:13">
      <c r="H47" s="29">
        <v>43282</v>
      </c>
      <c r="I47" s="33">
        <v>2.421637499285668</v>
      </c>
      <c r="J47" s="33">
        <v>2.4317764022563666</v>
      </c>
      <c r="K47" s="33">
        <v>2.353571484540065</v>
      </c>
      <c r="L47" s="33">
        <v>2.4674716230698741</v>
      </c>
      <c r="M47" s="90">
        <f t="shared" si="4"/>
        <v>2018</v>
      </c>
    </row>
    <row r="48" spans="2:13">
      <c r="H48" s="29">
        <v>43313</v>
      </c>
      <c r="I48" s="33">
        <v>2.4788435090089065</v>
      </c>
      <c r="J48" s="33">
        <v>2.4889824119796051</v>
      </c>
      <c r="K48" s="33">
        <v>2.5401507418632927</v>
      </c>
      <c r="L48" s="33">
        <v>2.4624530543656684</v>
      </c>
      <c r="M48" s="90">
        <f t="shared" si="4"/>
        <v>2018</v>
      </c>
    </row>
    <row r="49" spans="8:15">
      <c r="H49" s="29">
        <v>43344</v>
      </c>
      <c r="I49" s="33">
        <v>2.2194892808138165</v>
      </c>
      <c r="J49" s="33">
        <v>2.2296281837845155</v>
      </c>
      <c r="K49" s="33">
        <v>2.3919118237202426</v>
      </c>
      <c r="L49" s="33">
        <v>2.224504673004402</v>
      </c>
      <c r="M49" s="90">
        <f t="shared" si="4"/>
        <v>2018</v>
      </c>
      <c r="N49" s="3"/>
      <c r="O49" s="3"/>
    </row>
    <row r="50" spans="8:15">
      <c r="H50" s="29">
        <v>43374</v>
      </c>
      <c r="I50" s="33">
        <v>2.9128539684320356</v>
      </c>
      <c r="J50" s="33">
        <v>2.9229928714027342</v>
      </c>
      <c r="K50" s="33">
        <v>4.6218921162427922</v>
      </c>
      <c r="L50" s="33">
        <v>2.9275610507263972</v>
      </c>
      <c r="M50" s="90">
        <f t="shared" si="4"/>
        <v>2018</v>
      </c>
      <c r="N50" s="3"/>
      <c r="O50" s="3"/>
    </row>
    <row r="51" spans="8:15">
      <c r="H51" s="29">
        <v>43405</v>
      </c>
      <c r="I51" s="33">
        <v>3.9745333850417399</v>
      </c>
      <c r="J51" s="33">
        <v>3.984672288012439</v>
      </c>
      <c r="K51" s="33">
        <v>8.6680488460990404</v>
      </c>
      <c r="L51" s="33">
        <v>3.8702964836561957</v>
      </c>
      <c r="M51" s="90">
        <f t="shared" si="4"/>
        <v>2018</v>
      </c>
      <c r="N51" s="3"/>
      <c r="O51" s="3"/>
    </row>
    <row r="52" spans="8:15">
      <c r="H52" s="29">
        <v>43435</v>
      </c>
      <c r="I52" s="33">
        <v>3.9079382357981771</v>
      </c>
      <c r="J52" s="33">
        <v>3.9180771387688758</v>
      </c>
      <c r="K52" s="33">
        <v>5.443905271233902</v>
      </c>
      <c r="L52" s="33">
        <v>3.5768990853253793</v>
      </c>
      <c r="M52" s="90">
        <f t="shared" si="4"/>
        <v>2018</v>
      </c>
      <c r="N52" s="3"/>
      <c r="O52" s="3"/>
    </row>
    <row r="53" spans="8:15">
      <c r="H53" s="29">
        <v>43466</v>
      </c>
      <c r="I53" s="33">
        <v>3.1877490634924275</v>
      </c>
      <c r="J53" s="33">
        <v>3.1978879664631261</v>
      </c>
      <c r="K53" s="33">
        <v>3.6245487172817223</v>
      </c>
      <c r="L53" s="33">
        <v>2.9303131690480573</v>
      </c>
      <c r="M53" s="90">
        <f t="shared" si="4"/>
        <v>2019</v>
      </c>
      <c r="N53" s="3"/>
      <c r="O53" s="3"/>
    </row>
    <row r="54" spans="8:15">
      <c r="H54" s="29">
        <v>43497</v>
      </c>
      <c r="I54" s="33">
        <v>4.6376436365125295</v>
      </c>
      <c r="J54" s="33">
        <v>4.6477825394832282</v>
      </c>
      <c r="K54" s="33">
        <v>13.248679181072774</v>
      </c>
      <c r="L54" s="33">
        <v>2.6293956266758434</v>
      </c>
      <c r="M54" s="90">
        <f t="shared" si="4"/>
        <v>2019</v>
      </c>
      <c r="N54" s="3"/>
      <c r="O54" s="3"/>
    </row>
    <row r="55" spans="8:15">
      <c r="H55" s="29">
        <v>43525</v>
      </c>
      <c r="I55" s="33">
        <v>2.8840796764808312</v>
      </c>
      <c r="J55" s="33">
        <v>2.8942185794515303</v>
      </c>
      <c r="K55" s="33">
        <v>13.147581543206581</v>
      </c>
      <c r="L55" s="33">
        <v>3.1561599255175179</v>
      </c>
      <c r="M55" s="90">
        <f t="shared" si="4"/>
        <v>2019</v>
      </c>
      <c r="N55" s="3"/>
      <c r="O55" s="3"/>
    </row>
    <row r="56" spans="8:15">
      <c r="H56" s="29">
        <v>43556</v>
      </c>
      <c r="I56" s="33">
        <v>1.8441808891817904</v>
      </c>
      <c r="J56" s="33">
        <v>1.854319792152489</v>
      </c>
      <c r="K56" s="33">
        <v>2.0841590546952737</v>
      </c>
      <c r="L56" s="33">
        <v>1.8712332831476464</v>
      </c>
      <c r="M56" s="90">
        <f t="shared" si="4"/>
        <v>2019</v>
      </c>
      <c r="N56" s="3"/>
      <c r="O56" s="3"/>
    </row>
    <row r="57" spans="8:15">
      <c r="H57" s="29">
        <v>43586</v>
      </c>
      <c r="I57" s="33">
        <v>1.8428726436371847</v>
      </c>
      <c r="J57" s="33">
        <v>1.8530115466078831</v>
      </c>
      <c r="K57" s="33">
        <v>1.8681647506266397</v>
      </c>
      <c r="L57" s="33">
        <v>1.9058775961379686</v>
      </c>
      <c r="M57" s="90">
        <f t="shared" si="4"/>
        <v>2019</v>
      </c>
      <c r="N57" s="3"/>
      <c r="O57" s="3"/>
    </row>
    <row r="58" spans="8:15">
      <c r="H58" s="29">
        <v>43617</v>
      </c>
      <c r="I58" s="33">
        <v>1.5244433419272609</v>
      </c>
      <c r="J58" s="33">
        <v>1.5345822448979596</v>
      </c>
      <c r="K58" s="33">
        <v>1.6387854906922903</v>
      </c>
      <c r="L58" s="33">
        <v>1.5109717440243182</v>
      </c>
      <c r="M58" s="90">
        <f t="shared" si="4"/>
        <v>2019</v>
      </c>
      <c r="N58" s="3"/>
      <c r="O58" s="3"/>
    </row>
    <row r="59" spans="8:15">
      <c r="H59" s="29">
        <v>43647</v>
      </c>
      <c r="I59" s="33">
        <v>1.9034544757797212</v>
      </c>
      <c r="J59" s="33">
        <v>1.9135933787504196</v>
      </c>
      <c r="K59" s="33">
        <v>2.0858127114969753</v>
      </c>
      <c r="L59" s="33">
        <v>1.8424169854267236</v>
      </c>
      <c r="M59" s="90">
        <f t="shared" si="4"/>
        <v>2019</v>
      </c>
      <c r="N59" s="3"/>
      <c r="O59" s="3"/>
    </row>
    <row r="60" spans="8:15">
      <c r="H60" s="29">
        <v>43678</v>
      </c>
      <c r="I60" s="33">
        <v>1.7590141042279228</v>
      </c>
      <c r="J60" s="33">
        <v>1.7691530071986215</v>
      </c>
      <c r="K60" s="33">
        <v>1.9418276445205909</v>
      </c>
      <c r="L60" s="33">
        <v>1.6795563365096018</v>
      </c>
      <c r="M60" s="90">
        <f t="shared" si="4"/>
        <v>2019</v>
      </c>
      <c r="N60" s="3"/>
      <c r="O60" s="3"/>
    </row>
    <row r="61" spans="8:15">
      <c r="H61" s="29">
        <v>43709</v>
      </c>
      <c r="I61" s="33">
        <v>1.9970154635919499</v>
      </c>
      <c r="J61" s="33">
        <v>2.0071543665626486</v>
      </c>
      <c r="K61" s="33">
        <v>2.3396128394159437</v>
      </c>
      <c r="L61" s="33">
        <v>1.7999696075479277</v>
      </c>
      <c r="M61" s="90">
        <f t="shared" si="4"/>
        <v>2019</v>
      </c>
      <c r="N61" s="3"/>
      <c r="O61" s="3"/>
    </row>
    <row r="62" spans="8:15">
      <c r="H62" s="29">
        <v>43739</v>
      </c>
      <c r="I62" s="33">
        <v>2.0297228135455749</v>
      </c>
      <c r="J62" s="33">
        <v>2.0398617165162736</v>
      </c>
      <c r="K62" s="33">
        <v>2.9082981752924701</v>
      </c>
      <c r="L62" s="33">
        <v>1.6259709738937289</v>
      </c>
      <c r="M62" s="90">
        <f t="shared" si="4"/>
        <v>2019</v>
      </c>
      <c r="N62" s="3"/>
      <c r="O62" s="3"/>
    </row>
    <row r="63" spans="8:15">
      <c r="H63" s="29">
        <v>43770</v>
      </c>
      <c r="I63" s="33">
        <v>2.6988904096116801</v>
      </c>
      <c r="J63" s="33">
        <v>2.7090293125823788</v>
      </c>
      <c r="K63" s="33">
        <v>3.6123940613958183</v>
      </c>
      <c r="L63" s="33">
        <v>2.2203583793368793</v>
      </c>
      <c r="M63" s="90">
        <f t="shared" si="4"/>
        <v>2019</v>
      </c>
      <c r="N63" s="3"/>
      <c r="O63" s="3"/>
    </row>
    <row r="64" spans="8:15">
      <c r="H64" s="29">
        <v>43800</v>
      </c>
      <c r="I64" s="33">
        <v>2.6968626290175401</v>
      </c>
      <c r="J64" s="33">
        <v>2.7070015319882388</v>
      </c>
      <c r="K64" s="33">
        <v>3.1833230161006094</v>
      </c>
      <c r="L64" s="33">
        <v>1.9343701152328134</v>
      </c>
      <c r="M64" s="90">
        <f t="shared" si="4"/>
        <v>2019</v>
      </c>
      <c r="N64" s="3"/>
      <c r="O64" s="3"/>
    </row>
    <row r="65" spans="8:15">
      <c r="H65" s="29">
        <v>43831</v>
      </c>
      <c r="I65" s="33">
        <v>2.0780297802801604</v>
      </c>
      <c r="J65" s="33">
        <v>2.0881686832508595</v>
      </c>
      <c r="K65" s="33">
        <v>2.3089728617063132</v>
      </c>
      <c r="L65" s="33">
        <v>1.7744234739503901</v>
      </c>
      <c r="M65" s="90">
        <f t="shared" ref="M65:M112" si="6">YEAR(H65)</f>
        <v>2020</v>
      </c>
      <c r="N65" s="3"/>
      <c r="O65" s="3"/>
    </row>
    <row r="66" spans="8:15">
      <c r="H66" s="29">
        <v>43862</v>
      </c>
      <c r="I66" s="33">
        <v>1.687752100491013</v>
      </c>
      <c r="J66" s="33">
        <v>1.6978910034617116</v>
      </c>
      <c r="K66" s="33">
        <v>1.7678653681243093</v>
      </c>
      <c r="L66" s="33">
        <v>1.6511084765355959</v>
      </c>
      <c r="M66" s="90">
        <f t="shared" si="6"/>
        <v>2020</v>
      </c>
      <c r="N66" s="3"/>
      <c r="O66" s="3"/>
    </row>
    <row r="67" spans="8:15">
      <c r="H67" s="29">
        <v>43891</v>
      </c>
      <c r="I67" s="33">
        <v>1.4749285842166715</v>
      </c>
      <c r="J67" s="33">
        <v>1.4850674871873699</v>
      </c>
      <c r="K67" s="33">
        <v>1.6827547455874448</v>
      </c>
      <c r="L67" s="33">
        <v>1.3926884738046899</v>
      </c>
      <c r="M67" s="90">
        <f t="shared" si="6"/>
        <v>2020</v>
      </c>
      <c r="N67" s="3"/>
      <c r="O67" s="3"/>
    </row>
    <row r="68" spans="8:15">
      <c r="H68" s="29">
        <v>43922</v>
      </c>
      <c r="I68" s="33">
        <v>1.4060112991314342</v>
      </c>
      <c r="J68" s="33">
        <v>1.4161502021021328</v>
      </c>
      <c r="K68" s="33">
        <v>1.586541986215753</v>
      </c>
      <c r="L68" s="33">
        <v>1.4157145304292549</v>
      </c>
      <c r="M68" s="90">
        <f t="shared" si="6"/>
        <v>2020</v>
      </c>
      <c r="N68" s="3"/>
      <c r="O68" s="3"/>
    </row>
    <row r="69" spans="8:15">
      <c r="H69" s="29">
        <v>43952</v>
      </c>
      <c r="I69" s="33">
        <v>1.5687952020421714</v>
      </c>
      <c r="J69" s="33">
        <v>1.5789341050128698</v>
      </c>
      <c r="K69" s="33">
        <v>1.6252108296090633</v>
      </c>
      <c r="L69" s="33">
        <v>1.582422748686269</v>
      </c>
      <c r="M69" s="90">
        <f t="shared" si="6"/>
        <v>2020</v>
      </c>
      <c r="N69" s="3"/>
      <c r="O69" s="3"/>
    </row>
    <row r="70" spans="8:15">
      <c r="H70" s="29">
        <v>43983</v>
      </c>
      <c r="I70" s="33">
        <v>1.4676896255365173</v>
      </c>
      <c r="J70" s="33">
        <v>1.4778285285072159</v>
      </c>
      <c r="K70" s="33">
        <v>1.5098195488452553</v>
      </c>
      <c r="L70" s="33">
        <v>1.4821269229482414</v>
      </c>
      <c r="M70" s="90">
        <f t="shared" si="6"/>
        <v>2020</v>
      </c>
      <c r="N70" s="3"/>
      <c r="O70" s="3"/>
    </row>
    <row r="71" spans="8:15">
      <c r="H71" s="29">
        <v>44013</v>
      </c>
      <c r="I71" s="33">
        <v>1.5545680317445785</v>
      </c>
      <c r="J71" s="33">
        <v>1.5647069347152771</v>
      </c>
      <c r="K71" s="33">
        <v>1.5980674730154878</v>
      </c>
      <c r="L71" s="33">
        <v>1.5579774624173968</v>
      </c>
      <c r="M71" s="90">
        <f t="shared" si="6"/>
        <v>2020</v>
      </c>
      <c r="N71" s="3"/>
      <c r="O71" s="3"/>
    </row>
    <row r="72" spans="8:15">
      <c r="H72" s="29">
        <v>44044</v>
      </c>
      <c r="I72" s="33">
        <v>2.0888228060231624</v>
      </c>
      <c r="J72" s="33">
        <v>2.098961708993861</v>
      </c>
      <c r="K72" s="33">
        <v>2.1538798980316347</v>
      </c>
      <c r="L72" s="33">
        <v>2.0000971763266029</v>
      </c>
      <c r="M72" s="90">
        <f t="shared" si="6"/>
        <v>2020</v>
      </c>
      <c r="N72" s="3"/>
      <c r="O72" s="3"/>
    </row>
    <row r="73" spans="8:15">
      <c r="H73" s="29">
        <v>44075</v>
      </c>
      <c r="I73" s="33">
        <v>2.0796287470569017</v>
      </c>
      <c r="J73" s="33">
        <v>2.0897676500276003</v>
      </c>
      <c r="K73" s="33">
        <v>2.2982742033074297</v>
      </c>
      <c r="L73" s="33">
        <v>1.7221817926327416</v>
      </c>
      <c r="M73" s="90">
        <f t="shared" si="6"/>
        <v>2020</v>
      </c>
      <c r="N73" s="3"/>
      <c r="O73" s="3"/>
    </row>
    <row r="74" spans="8:15">
      <c r="H74" s="29">
        <v>44105</v>
      </c>
      <c r="I74" s="33">
        <v>2.3028723698746911</v>
      </c>
      <c r="J74" s="33">
        <v>2.3130112728453898</v>
      </c>
      <c r="K74" s="33">
        <v>2.9093517872407175</v>
      </c>
      <c r="L74" s="33">
        <v>2.1238345745926597</v>
      </c>
      <c r="M74" s="90">
        <f t="shared" si="6"/>
        <v>2020</v>
      </c>
      <c r="N74" s="3"/>
      <c r="O74" s="3"/>
    </row>
    <row r="75" spans="8:15">
      <c r="H75" s="29">
        <v>44136</v>
      </c>
      <c r="I75" s="33">
        <v>2.9797380219000309</v>
      </c>
      <c r="J75" s="33">
        <v>2.9898769248707295</v>
      </c>
      <c r="K75" s="33">
        <v>3.2988025187732051</v>
      </c>
      <c r="L75" s="33">
        <v>2.3295958914650874</v>
      </c>
      <c r="M75" s="90">
        <f t="shared" si="6"/>
        <v>2020</v>
      </c>
      <c r="N75" s="3"/>
      <c r="O75" s="3"/>
    </row>
    <row r="76" spans="8:15">
      <c r="H76" s="29">
        <v>44166</v>
      </c>
      <c r="I76" s="33">
        <v>3.1277332991336135</v>
      </c>
      <c r="J76" s="33">
        <v>3.1378722021043126</v>
      </c>
      <c r="K76" s="33">
        <v>3.3100198528773932</v>
      </c>
      <c r="L76" s="33">
        <v>2.4221426154189856</v>
      </c>
      <c r="M76" s="90">
        <f t="shared" si="6"/>
        <v>2020</v>
      </c>
      <c r="N76" s="3"/>
      <c r="O76" s="3"/>
    </row>
    <row r="77" spans="8:15">
      <c r="H77" s="29">
        <v>44197</v>
      </c>
      <c r="I77" s="33">
        <v>2.6886208634222917</v>
      </c>
      <c r="J77" s="33">
        <v>2.6690662011355299</v>
      </c>
      <c r="K77" s="33">
        <v>2.760978811967667</v>
      </c>
      <c r="L77" s="33">
        <v>2.4890915372188398</v>
      </c>
      <c r="M77" s="90">
        <f t="shared" si="6"/>
        <v>2021</v>
      </c>
      <c r="N77" s="3"/>
      <c r="O77" s="3"/>
    </row>
    <row r="78" spans="8:15">
      <c r="H78" s="29">
        <v>44228</v>
      </c>
      <c r="I78" s="33">
        <v>7.6820984742468417</v>
      </c>
      <c r="J78" s="33">
        <v>7.6333779819887271</v>
      </c>
      <c r="K78" s="33">
        <v>4.5404225128537163</v>
      </c>
      <c r="L78" s="33">
        <v>37.984990630048472</v>
      </c>
      <c r="M78" s="90">
        <f t="shared" si="6"/>
        <v>2021</v>
      </c>
      <c r="N78" s="3"/>
      <c r="O78" s="3"/>
    </row>
    <row r="79" spans="8:15">
      <c r="H79" s="29">
        <v>44256</v>
      </c>
      <c r="I79" s="33">
        <v>2.4045441027445462</v>
      </c>
      <c r="J79" s="33">
        <v>2.3871046659912234</v>
      </c>
      <c r="K79" s="33">
        <v>2.5608632108946967</v>
      </c>
      <c r="L79" s="33">
        <v>2.374204502579603</v>
      </c>
      <c r="M79" s="90">
        <f t="shared" si="6"/>
        <v>2021</v>
      </c>
      <c r="N79" s="3"/>
      <c r="O79" s="3"/>
    </row>
    <row r="80" spans="8:15">
      <c r="H80" s="29">
        <v>44287</v>
      </c>
      <c r="I80" s="33">
        <v>2.5896543537414964</v>
      </c>
      <c r="J80" s="33">
        <v>2.5712597125579859</v>
      </c>
      <c r="K80" s="33">
        <v>2.6926741344471128</v>
      </c>
      <c r="L80" s="33">
        <v>2.4502571890145401</v>
      </c>
      <c r="M80" s="90">
        <f t="shared" si="6"/>
        <v>2021</v>
      </c>
      <c r="N80" s="3"/>
      <c r="O80" s="3"/>
    </row>
    <row r="81" spans="8:15">
      <c r="H81" s="29">
        <v>44317</v>
      </c>
      <c r="I81" s="33">
        <v>2.7467972108843535</v>
      </c>
      <c r="J81" s="33">
        <v>2.7275414331567145</v>
      </c>
      <c r="K81" s="33">
        <v>2.8248636730248315</v>
      </c>
      <c r="L81" s="33">
        <v>2.6868836416697084</v>
      </c>
      <c r="M81" s="90">
        <f t="shared" si="6"/>
        <v>2021</v>
      </c>
      <c r="N81" s="3"/>
      <c r="O81" s="3"/>
    </row>
    <row r="82" spans="8:15">
      <c r="H82" s="29">
        <v>44348</v>
      </c>
      <c r="I82" s="33">
        <v>3.218225782312925</v>
      </c>
      <c r="J82" s="33">
        <v>3.1964446670300717</v>
      </c>
      <c r="K82" s="33">
        <v>3.2222229260167161</v>
      </c>
      <c r="L82" s="33">
        <v>3.024940818524501</v>
      </c>
      <c r="M82" s="90">
        <f t="shared" si="6"/>
        <v>2021</v>
      </c>
      <c r="N82" s="3"/>
      <c r="O82" s="3"/>
    </row>
    <row r="83" spans="8:15">
      <c r="H83" s="29">
        <v>44378</v>
      </c>
      <c r="I83" s="33">
        <v>3.683493502304148</v>
      </c>
      <c r="J83" s="33">
        <v>3.6590471730744554</v>
      </c>
      <c r="K83" s="33">
        <v>3.7243527515257937</v>
      </c>
      <c r="L83" s="33">
        <v>3.5482169576319782</v>
      </c>
      <c r="M83" s="90">
        <f t="shared" si="6"/>
        <v>2021</v>
      </c>
      <c r="N83" s="3"/>
      <c r="O83" s="3"/>
    </row>
    <row r="84" spans="8:15">
      <c r="H84" s="29">
        <v>44409</v>
      </c>
      <c r="I84" s="33">
        <v>3.8962870068027202</v>
      </c>
      <c r="J84" s="33">
        <v>3.8706130354197481</v>
      </c>
      <c r="K84" s="33">
        <v>3.9382424014831718</v>
      </c>
      <c r="L84" s="33">
        <v>3.803245880452343</v>
      </c>
      <c r="M84" s="90">
        <f t="shared" si="6"/>
        <v>2021</v>
      </c>
      <c r="N84" s="3"/>
      <c r="O84" s="3"/>
    </row>
    <row r="85" spans="8:15">
      <c r="H85" s="29">
        <v>44440</v>
      </c>
      <c r="I85" s="33">
        <v>5.2314910884353738</v>
      </c>
      <c r="J85" s="33">
        <v>5.1985278003944337</v>
      </c>
      <c r="K85" s="33">
        <v>5.3908184336048866</v>
      </c>
      <c r="L85" s="33">
        <v>4.7355291330102327</v>
      </c>
      <c r="M85" s="90">
        <f t="shared" si="6"/>
        <v>2021</v>
      </c>
      <c r="N85" s="3"/>
      <c r="O85" s="3"/>
    </row>
    <row r="86" spans="8:15">
      <c r="H86" s="29">
        <v>44470</v>
      </c>
      <c r="I86" s="33">
        <v>5.5514987689269262</v>
      </c>
      <c r="J86" s="33">
        <v>5.5164724078736835</v>
      </c>
      <c r="K86" s="33">
        <v>5.7676211178699015</v>
      </c>
      <c r="L86" s="33">
        <v>5.1897824378550199</v>
      </c>
      <c r="M86" s="90">
        <f t="shared" si="6"/>
        <v>2021</v>
      </c>
      <c r="N86" s="3"/>
      <c r="O86" s="3"/>
    </row>
    <row r="87" spans="8:15">
      <c r="H87" s="29">
        <v>44501</v>
      </c>
      <c r="I87" s="33">
        <v>5.0569015974665721</v>
      </c>
      <c r="J87" s="33">
        <v>5.02436529365841</v>
      </c>
      <c r="K87" s="33">
        <v>5.2208035836387641</v>
      </c>
      <c r="L87" s="33">
        <v>4.7757485729671521</v>
      </c>
      <c r="M87" s="90">
        <f t="shared" si="6"/>
        <v>2021</v>
      </c>
      <c r="N87" s="3"/>
      <c r="O87" s="3"/>
    </row>
    <row r="88" spans="8:15">
      <c r="H88" s="29">
        <v>44531</v>
      </c>
      <c r="I88" s="33">
        <v>5.3747377419354869</v>
      </c>
      <c r="J88" s="33">
        <v>5.3396435843049614</v>
      </c>
      <c r="K88" s="33">
        <v>5.7566802572121851</v>
      </c>
      <c r="L88" s="33">
        <v>3.5319315858043665</v>
      </c>
      <c r="M88" s="90">
        <f t="shared" si="6"/>
        <v>2021</v>
      </c>
      <c r="N88" s="3"/>
      <c r="O88" s="3"/>
    </row>
    <row r="89" spans="8:15">
      <c r="H89" s="29">
        <v>44562</v>
      </c>
      <c r="I89" s="33">
        <v>4.967561968400263</v>
      </c>
      <c r="J89" s="33">
        <v>4.9348646841422985</v>
      </c>
      <c r="K89" s="33">
        <v>5.0826063154683325</v>
      </c>
      <c r="L89" s="33">
        <v>4.2136372505081026</v>
      </c>
      <c r="M89" s="90">
        <f t="shared" si="6"/>
        <v>2022</v>
      </c>
      <c r="N89" s="3"/>
      <c r="O89" s="3"/>
    </row>
    <row r="90" spans="8:15">
      <c r="H90" s="29">
        <v>44593</v>
      </c>
      <c r="I90" s="33">
        <v>4.631321020408163</v>
      </c>
      <c r="J90" s="33">
        <v>4.6006923862052718</v>
      </c>
      <c r="K90" s="33">
        <v>4.5178186860576712</v>
      </c>
      <c r="L90" s="33">
        <v>4.5469929956150485</v>
      </c>
      <c r="M90" s="90">
        <f t="shared" si="6"/>
        <v>2022</v>
      </c>
      <c r="N90" s="3"/>
      <c r="O90" s="3"/>
    </row>
    <row r="91" spans="8:15">
      <c r="H91" s="29">
        <v>44621</v>
      </c>
      <c r="I91" s="33">
        <v>4.4655046938775511</v>
      </c>
      <c r="J91" s="33">
        <v>4.3035961460975081</v>
      </c>
      <c r="K91" s="33">
        <v>4.3608435841400777</v>
      </c>
      <c r="L91" s="33">
        <v>4.4303955495335874</v>
      </c>
      <c r="M91" s="90">
        <f t="shared" si="6"/>
        <v>2022</v>
      </c>
      <c r="N91" s="3"/>
      <c r="O91" s="3"/>
    </row>
    <row r="92" spans="8:15">
      <c r="H92" s="29">
        <v>44652</v>
      </c>
      <c r="I92" s="33">
        <v>6.3354026530612231</v>
      </c>
      <c r="J92" s="33">
        <v>6.2960354258255791</v>
      </c>
      <c r="K92" s="33">
        <v>6.437747441188141</v>
      </c>
      <c r="L92" s="33">
        <v>6.2197779213785696</v>
      </c>
      <c r="M92" s="90">
        <f t="shared" si="6"/>
        <v>2022</v>
      </c>
      <c r="N92" s="3"/>
      <c r="O92" s="3"/>
    </row>
    <row r="93" spans="8:15">
      <c r="H93" s="29">
        <v>44682</v>
      </c>
      <c r="I93" s="33">
        <v>7.7153546338535408</v>
      </c>
      <c r="J93" s="33">
        <v>7.6683211653455707</v>
      </c>
      <c r="K93" s="33">
        <v>7.8100543040111301</v>
      </c>
      <c r="L93" s="33">
        <v>7.6260740632654107</v>
      </c>
      <c r="M93" s="90">
        <f t="shared" si="6"/>
        <v>2022</v>
      </c>
      <c r="N93" s="3"/>
      <c r="O93" s="3"/>
    </row>
    <row r="94" spans="8:15">
      <c r="H94" s="29">
        <v>44713</v>
      </c>
      <c r="I94" s="33">
        <v>6.9200965306122466</v>
      </c>
      <c r="J94" s="33">
        <v>6.8779637226648598</v>
      </c>
      <c r="K94" s="33">
        <v>7.2110992536482481</v>
      </c>
      <c r="L94" s="33">
        <v>7.2444480883144866</v>
      </c>
      <c r="M94" s="90">
        <f t="shared" si="6"/>
        <v>2022</v>
      </c>
      <c r="N94" s="3"/>
      <c r="O94" s="3"/>
    </row>
    <row r="95" spans="8:15">
      <c r="H95" s="29">
        <v>44743</v>
      </c>
      <c r="I95" s="33">
        <v>6.6692218950437319</v>
      </c>
      <c r="J95" s="33">
        <v>6.6271246343714321</v>
      </c>
      <c r="K95" s="33">
        <v>6.0015550926963819</v>
      </c>
      <c r="L95" s="33">
        <v>6.7193045599041117</v>
      </c>
      <c r="M95" s="90">
        <f t="shared" si="6"/>
        <v>2022</v>
      </c>
      <c r="N95" s="3"/>
      <c r="O95" s="3"/>
    </row>
    <row r="96" spans="8:15">
      <c r="H96" s="29">
        <v>44774</v>
      </c>
      <c r="I96" s="33">
        <v>8.3024519727891146</v>
      </c>
      <c r="J96" s="33">
        <v>8.2508389874000159</v>
      </c>
      <c r="K96" s="33">
        <v>8.4395296229212295</v>
      </c>
      <c r="L96" s="33">
        <v>8.1874308301631196</v>
      </c>
      <c r="M96" s="90">
        <f t="shared" si="6"/>
        <v>2022</v>
      </c>
      <c r="N96" s="3"/>
      <c r="O96" s="3"/>
    </row>
    <row r="97" spans="8:15">
      <c r="H97" s="29">
        <v>44805</v>
      </c>
      <c r="I97" s="33">
        <v>7.2231577551020409</v>
      </c>
      <c r="J97" s="33">
        <v>7.1780453492221117</v>
      </c>
      <c r="K97" s="33">
        <v>7.3577262739997416</v>
      </c>
      <c r="L97" s="33">
        <v>6.9349771674744209</v>
      </c>
      <c r="M97" s="90">
        <f t="shared" si="6"/>
        <v>2022</v>
      </c>
      <c r="N97" s="3"/>
      <c r="O97" s="3"/>
    </row>
    <row r="98" spans="8:15">
      <c r="H98" s="29">
        <v>44835</v>
      </c>
      <c r="I98" s="33">
        <v>5.1451265426170476</v>
      </c>
      <c r="J98" s="33">
        <v>5.1113919199440421</v>
      </c>
      <c r="K98" s="33">
        <v>5.3263118986685019</v>
      </c>
      <c r="L98" s="33">
        <v>4.948921788524677</v>
      </c>
      <c r="M98" s="90">
        <f t="shared" si="6"/>
        <v>2022</v>
      </c>
      <c r="N98" s="3"/>
      <c r="O98" s="3"/>
    </row>
    <row r="99" spans="8:15">
      <c r="H99" s="29">
        <v>44866</v>
      </c>
      <c r="I99" s="33">
        <v>8.3246707741027421</v>
      </c>
      <c r="J99" s="33">
        <v>8.2725560018982538</v>
      </c>
      <c r="K99" s="33">
        <v>9.4779063852269978</v>
      </c>
      <c r="L99" s="33">
        <v>4.9654025848142176</v>
      </c>
      <c r="M99" s="90">
        <f t="shared" si="6"/>
        <v>2022</v>
      </c>
      <c r="N99" s="3"/>
      <c r="O99" s="3"/>
    </row>
    <row r="100" spans="8:15">
      <c r="H100" s="29">
        <v>44896</v>
      </c>
      <c r="I100" s="33">
        <v>27.79220537414966</v>
      </c>
      <c r="J100" s="33">
        <v>27.622894480850444</v>
      </c>
      <c r="K100" s="33">
        <v>29.778634360547162</v>
      </c>
      <c r="L100" s="33">
        <v>7.5203820001042283</v>
      </c>
      <c r="M100" s="90">
        <f t="shared" si="6"/>
        <v>2022</v>
      </c>
      <c r="N100" s="3"/>
      <c r="O100" s="3"/>
    </row>
    <row r="101" spans="8:15">
      <c r="H101" s="29">
        <v>44927</v>
      </c>
      <c r="I101" s="33">
        <v>15.509201204739966</v>
      </c>
      <c r="J101" s="33">
        <v>15.421308063737328</v>
      </c>
      <c r="K101" s="33">
        <v>14.949258196243322</v>
      </c>
      <c r="L101" s="33">
        <v>3.6519547761738513</v>
      </c>
      <c r="M101" s="90">
        <f t="shared" si="6"/>
        <v>2023</v>
      </c>
      <c r="N101" s="3"/>
      <c r="O101" s="3"/>
    </row>
    <row r="102" spans="8:15">
      <c r="H102" s="29">
        <v>44958</v>
      </c>
      <c r="I102" s="33">
        <v>6.3115251020408163</v>
      </c>
      <c r="J102" s="33">
        <v>6.2736772186521659</v>
      </c>
      <c r="K102" s="33">
        <v>6.7532858793758104</v>
      </c>
      <c r="L102" s="33">
        <v>2.327471301638588</v>
      </c>
      <c r="M102" s="90">
        <f t="shared" si="6"/>
        <v>2023</v>
      </c>
      <c r="N102" s="3"/>
      <c r="O102" s="3"/>
    </row>
    <row r="103" spans="8:15">
      <c r="H103" s="29">
        <v>44986</v>
      </c>
      <c r="I103" s="33">
        <v>5.921808183015143</v>
      </c>
      <c r="J103" s="33">
        <v>5.8857949497620314</v>
      </c>
      <c r="K103" s="33">
        <v>5.4512548570192383</v>
      </c>
      <c r="L103" s="33">
        <v>2.3448908332899059</v>
      </c>
      <c r="M103" s="90">
        <f t="shared" si="6"/>
        <v>2023</v>
      </c>
      <c r="N103" s="3"/>
      <c r="O103" s="3"/>
    </row>
    <row r="104" spans="8:15">
      <c r="H104" s="29">
        <v>45017</v>
      </c>
      <c r="I104" s="33">
        <v>3.8803006122448989</v>
      </c>
      <c r="J104" s="33">
        <v>3.855460979110191</v>
      </c>
      <c r="K104" s="33">
        <v>4.1010357266283979</v>
      </c>
      <c r="L104" s="33">
        <v>1.9309383952611745</v>
      </c>
      <c r="M104" s="90">
        <f t="shared" si="6"/>
        <v>2023</v>
      </c>
      <c r="N104" s="3"/>
      <c r="O104" s="3"/>
    </row>
    <row r="105" spans="8:15">
      <c r="H105" s="29">
        <v>45047</v>
      </c>
      <c r="I105" s="33">
        <v>1.769076122448979</v>
      </c>
      <c r="J105" s="33">
        <v>1.7552766467065861</v>
      </c>
      <c r="K105" s="33">
        <v>1.6870976826424164</v>
      </c>
      <c r="L105" s="33">
        <v>1.8169190786388036</v>
      </c>
      <c r="M105" s="90">
        <f t="shared" si="6"/>
        <v>2023</v>
      </c>
      <c r="N105" s="3"/>
      <c r="O105" s="3"/>
    </row>
    <row r="106" spans="8:15">
      <c r="H106" s="29">
        <v>45078</v>
      </c>
      <c r="I106" s="33">
        <v>1.9816611564625854</v>
      </c>
      <c r="J106" s="33">
        <v>1.9662230215827341</v>
      </c>
      <c r="K106" s="33">
        <v>2.0747521416768437</v>
      </c>
      <c r="L106" s="33">
        <v>1.9354820140010773</v>
      </c>
      <c r="M106" s="90">
        <f t="shared" si="6"/>
        <v>2023</v>
      </c>
      <c r="N106" s="3"/>
      <c r="O106" s="3"/>
    </row>
    <row r="107" spans="8:15">
      <c r="H107" s="29">
        <v>45108</v>
      </c>
      <c r="I107" s="33">
        <v>3.075198571428571</v>
      </c>
      <c r="J107" s="33">
        <v>3.0211000000000001</v>
      </c>
      <c r="K107" s="33">
        <v>2.8681260075339772</v>
      </c>
      <c r="L107" s="33">
        <v>2.4906449111470117</v>
      </c>
      <c r="M107" s="90">
        <f t="shared" si="6"/>
        <v>2023</v>
      </c>
      <c r="N107" s="3"/>
      <c r="O107" s="3"/>
    </row>
    <row r="108" spans="8:15">
      <c r="H108" s="29">
        <v>45139</v>
      </c>
      <c r="I108" s="33">
        <v>3.2262189795918363</v>
      </c>
      <c r="J108" s="33">
        <v>3.2048999999999999</v>
      </c>
      <c r="K108" s="33">
        <v>3.0731794509448931</v>
      </c>
      <c r="L108" s="33">
        <v>2.5088193861066244</v>
      </c>
      <c r="M108" s="90">
        <f t="shared" si="6"/>
        <v>2023</v>
      </c>
      <c r="N108" s="3"/>
      <c r="O108" s="3"/>
    </row>
    <row r="109" spans="8:15">
      <c r="H109" s="29">
        <v>45170</v>
      </c>
      <c r="I109" s="33">
        <v>3.074178163265306</v>
      </c>
      <c r="J109" s="33">
        <v>3.0537999999999998</v>
      </c>
      <c r="K109" s="33">
        <v>3.0146667259311717</v>
      </c>
      <c r="L109" s="33">
        <v>2.4290536348949923</v>
      </c>
      <c r="M109" s="90">
        <f t="shared" si="6"/>
        <v>2023</v>
      </c>
      <c r="N109" s="3"/>
      <c r="O109" s="3"/>
    </row>
    <row r="110" spans="8:15">
      <c r="H110" s="29">
        <v>45200</v>
      </c>
      <c r="I110" s="33">
        <v>2.990504693877551</v>
      </c>
      <c r="J110" s="33">
        <v>2.9706999999999999</v>
      </c>
      <c r="K110" s="33">
        <v>3.0397805946317513</v>
      </c>
      <c r="L110" s="33">
        <v>2.4472281098546045</v>
      </c>
      <c r="M110" s="90">
        <f t="shared" si="6"/>
        <v>2023</v>
      </c>
      <c r="N110" s="3"/>
      <c r="O110" s="3"/>
    </row>
    <row r="111" spans="8:15">
      <c r="H111" s="29">
        <v>45231</v>
      </c>
      <c r="I111" s="33">
        <v>3.9894842857142856</v>
      </c>
      <c r="J111" s="33">
        <v>3.9632999999999998</v>
      </c>
      <c r="K111" s="33">
        <v>4.6659683194599859</v>
      </c>
      <c r="L111" s="33">
        <v>2.9561134087237484</v>
      </c>
      <c r="M111" s="90">
        <f t="shared" si="6"/>
        <v>2023</v>
      </c>
      <c r="N111" s="3"/>
      <c r="O111" s="3"/>
    </row>
    <row r="112" spans="8:15">
      <c r="H112" s="29">
        <v>45261</v>
      </c>
      <c r="I112" s="33">
        <v>6.6333618367346938</v>
      </c>
      <c r="J112" s="33">
        <v>6.5903</v>
      </c>
      <c r="K112" s="33">
        <v>7.1020135834161806</v>
      </c>
      <c r="L112" s="33">
        <v>3.9390495961227794</v>
      </c>
      <c r="M112" s="90">
        <f t="shared" si="6"/>
        <v>2023</v>
      </c>
      <c r="N112" s="3"/>
      <c r="O112" s="3"/>
    </row>
    <row r="113" spans="8:15">
      <c r="H113" s="29">
        <v>45292</v>
      </c>
      <c r="I113" s="33">
        <v>6.8879536734693882</v>
      </c>
      <c r="J113" s="33">
        <v>6.8432000000000004</v>
      </c>
      <c r="K113" s="33">
        <v>7.3837031622432967</v>
      </c>
      <c r="L113" s="33">
        <v>5.0037709208400658</v>
      </c>
      <c r="M113" s="90">
        <f t="shared" ref="M113:M159" si="7">YEAR(H113)</f>
        <v>2024</v>
      </c>
      <c r="N113" s="3"/>
      <c r="O113" s="3"/>
    </row>
    <row r="114" spans="8:15">
      <c r="H114" s="29">
        <v>45323</v>
      </c>
      <c r="I114" s="33">
        <v>6.4961169387755104</v>
      </c>
      <c r="J114" s="33">
        <v>6.4539</v>
      </c>
      <c r="K114" s="33">
        <v>6.6540028782668772</v>
      </c>
      <c r="L114" s="33">
        <v>4.8886659127625212</v>
      </c>
      <c r="M114" s="90">
        <f t="shared" si="7"/>
        <v>2024</v>
      </c>
      <c r="N114" s="3"/>
      <c r="O114" s="3"/>
    </row>
    <row r="115" spans="8:15">
      <c r="H115" s="29">
        <v>45352</v>
      </c>
      <c r="I115" s="33">
        <v>4.0246883673469389</v>
      </c>
      <c r="J115" s="33">
        <v>3.9983</v>
      </c>
      <c r="K115" s="33">
        <v>4.4318138570599448</v>
      </c>
      <c r="L115" s="33">
        <v>3.1853137318255258</v>
      </c>
      <c r="M115" s="90">
        <f t="shared" si="7"/>
        <v>2024</v>
      </c>
      <c r="N115" s="3"/>
      <c r="O115" s="3"/>
    </row>
    <row r="116" spans="8:15">
      <c r="H116" s="29">
        <v>45383</v>
      </c>
      <c r="I116" s="33">
        <v>3.167035306122449</v>
      </c>
      <c r="J116" s="33">
        <v>3.1461000000000001</v>
      </c>
      <c r="K116" s="33">
        <v>2.999546623538246</v>
      </c>
      <c r="L116" s="33">
        <v>2.8288920840064624</v>
      </c>
      <c r="M116" s="90">
        <f t="shared" si="7"/>
        <v>2024</v>
      </c>
      <c r="N116" s="3"/>
      <c r="O116" s="3"/>
    </row>
    <row r="117" spans="8:15">
      <c r="H117" s="29">
        <v>45413</v>
      </c>
      <c r="I117" s="33">
        <v>2.865504693877551</v>
      </c>
      <c r="J117" s="33">
        <v>2.8464999999999998</v>
      </c>
      <c r="K117" s="33">
        <v>2.7181159505740218</v>
      </c>
      <c r="L117" s="33">
        <v>2.7349906300484657</v>
      </c>
      <c r="M117" s="90">
        <f t="shared" si="7"/>
        <v>2024</v>
      </c>
      <c r="N117" s="3"/>
      <c r="O117" s="3"/>
    </row>
    <row r="118" spans="8:15">
      <c r="H118" s="29">
        <v>45444</v>
      </c>
      <c r="I118" s="33">
        <v>3.0369332653061223</v>
      </c>
      <c r="J118" s="33">
        <v>3.0167999999999999</v>
      </c>
      <c r="K118" s="33">
        <v>2.8279955987856287</v>
      </c>
      <c r="L118" s="33">
        <v>2.914715993537965</v>
      </c>
      <c r="M118" s="90">
        <f t="shared" si="7"/>
        <v>2024</v>
      </c>
      <c r="N118" s="3"/>
      <c r="O118" s="3"/>
    </row>
    <row r="119" spans="8:15">
      <c r="H119" s="29">
        <v>45474</v>
      </c>
      <c r="I119" s="33">
        <v>3.3512189795918368</v>
      </c>
      <c r="J119" s="33">
        <v>3.3290999999999999</v>
      </c>
      <c r="K119" s="33">
        <v>3.1903602444900705</v>
      </c>
      <c r="L119" s="33">
        <v>3.0212386106623592</v>
      </c>
      <c r="M119" s="90">
        <f t="shared" si="7"/>
        <v>2024</v>
      </c>
      <c r="N119" s="3"/>
      <c r="O119" s="3"/>
    </row>
    <row r="120" spans="8:15">
      <c r="H120" s="29">
        <v>45505</v>
      </c>
      <c r="I120" s="33">
        <v>3.4007087755102043</v>
      </c>
      <c r="J120" s="33">
        <v>3.3782999999999999</v>
      </c>
      <c r="K120" s="33">
        <v>3.2929905285406851</v>
      </c>
      <c r="L120" s="33">
        <v>3.1206933764135711</v>
      </c>
      <c r="M120" s="90">
        <f t="shared" si="7"/>
        <v>2024</v>
      </c>
      <c r="N120" s="3"/>
      <c r="O120" s="3"/>
    </row>
    <row r="121" spans="8:15">
      <c r="H121" s="29">
        <v>45536</v>
      </c>
      <c r="I121" s="33">
        <v>3.2956067346938775</v>
      </c>
      <c r="J121" s="33">
        <v>3.2738</v>
      </c>
      <c r="K121" s="33">
        <v>3.2038233493604835</v>
      </c>
      <c r="L121" s="33">
        <v>2.9965011308562204</v>
      </c>
      <c r="M121" s="90">
        <f t="shared" si="7"/>
        <v>2024</v>
      </c>
      <c r="N121" s="3"/>
      <c r="O121" s="3"/>
    </row>
    <row r="122" spans="8:15">
      <c r="H122" s="29">
        <v>45566</v>
      </c>
      <c r="I122" s="33">
        <v>3.2032597959183673</v>
      </c>
      <c r="J122" s="33">
        <v>3.1821000000000002</v>
      </c>
      <c r="K122" s="33">
        <v>3.1851821272322187</v>
      </c>
      <c r="L122" s="33">
        <v>3.0111416801292412</v>
      </c>
      <c r="M122" s="90">
        <f t="shared" si="7"/>
        <v>2024</v>
      </c>
      <c r="N122" s="3"/>
      <c r="O122" s="3"/>
    </row>
    <row r="123" spans="8:15">
      <c r="H123" s="29">
        <v>45597</v>
      </c>
      <c r="I123" s="33">
        <v>4.2639740816326537</v>
      </c>
      <c r="J123" s="33">
        <v>4.2359999999999998</v>
      </c>
      <c r="K123" s="33">
        <v>4.6293590304469765</v>
      </c>
      <c r="L123" s="33">
        <v>3.5255802907915998</v>
      </c>
      <c r="M123" s="90">
        <f t="shared" si="7"/>
        <v>2024</v>
      </c>
      <c r="N123" s="3"/>
      <c r="O123" s="3"/>
    </row>
    <row r="124" spans="8:15">
      <c r="H124" s="29">
        <v>45627</v>
      </c>
      <c r="I124" s="33">
        <v>6.1736679591836738</v>
      </c>
      <c r="J124" s="33">
        <v>6.1334999999999997</v>
      </c>
      <c r="K124" s="33">
        <v>6.2154163465268617</v>
      </c>
      <c r="L124" s="33">
        <v>4.4433912762520205</v>
      </c>
      <c r="M124" s="90">
        <f t="shared" si="7"/>
        <v>2024</v>
      </c>
      <c r="N124" s="3"/>
      <c r="O124" s="3"/>
    </row>
    <row r="125" spans="8:15">
      <c r="H125" s="29">
        <v>45658</v>
      </c>
      <c r="I125" s="33">
        <v>6.535402653061225</v>
      </c>
      <c r="J125" s="33">
        <v>6.4928999999999997</v>
      </c>
      <c r="K125" s="33">
        <v>6.3825141904377283</v>
      </c>
      <c r="L125" s="33">
        <v>5.2556893376413578</v>
      </c>
      <c r="M125" s="90">
        <f t="shared" si="7"/>
        <v>2025</v>
      </c>
      <c r="N125" s="3"/>
      <c r="O125" s="3"/>
    </row>
    <row r="126" spans="8:15">
      <c r="H126" s="29">
        <v>45689</v>
      </c>
      <c r="I126" s="33">
        <v>6.2899944897959186</v>
      </c>
      <c r="J126" s="33">
        <v>6.2491000000000003</v>
      </c>
      <c r="K126" s="33">
        <v>6.0907272829578005</v>
      </c>
      <c r="L126" s="33">
        <v>5.1769332794830376</v>
      </c>
      <c r="M126" s="90">
        <f t="shared" si="7"/>
        <v>2025</v>
      </c>
      <c r="N126" s="3"/>
      <c r="O126" s="3"/>
    </row>
    <row r="127" spans="8:15">
      <c r="H127" s="29">
        <v>45717</v>
      </c>
      <c r="I127" s="33">
        <v>4.1583618367346942</v>
      </c>
      <c r="J127" s="33">
        <v>4.1311</v>
      </c>
      <c r="K127" s="33">
        <v>4.1506420899586134</v>
      </c>
      <c r="L127" s="33">
        <v>3.7290334410339265</v>
      </c>
      <c r="M127" s="90">
        <f t="shared" si="7"/>
        <v>2025</v>
      </c>
      <c r="N127" s="3"/>
      <c r="O127" s="3"/>
    </row>
    <row r="128" spans="8:15">
      <c r="H128" s="29">
        <v>45748</v>
      </c>
      <c r="I128" s="33">
        <v>3.2854026530612246</v>
      </c>
      <c r="J128" s="33">
        <v>3.2637</v>
      </c>
      <c r="K128" s="33">
        <v>3.1876158423434089</v>
      </c>
      <c r="L128" s="33">
        <v>3.1227127625201945</v>
      </c>
      <c r="M128" s="90">
        <f t="shared" si="7"/>
        <v>2025</v>
      </c>
      <c r="N128" s="3"/>
      <c r="O128" s="3"/>
    </row>
    <row r="129" spans="8:15">
      <c r="H129" s="29">
        <v>45778</v>
      </c>
      <c r="I129" s="33">
        <v>3.1808108163265305</v>
      </c>
      <c r="J129" s="33">
        <v>3.1598000000000002</v>
      </c>
      <c r="K129" s="33">
        <v>3.0542793229537346</v>
      </c>
      <c r="L129" s="33">
        <v>2.9763072697899844</v>
      </c>
      <c r="M129" s="90">
        <f t="shared" si="7"/>
        <v>2025</v>
      </c>
      <c r="N129" s="3"/>
      <c r="O129" s="3"/>
    </row>
    <row r="130" spans="8:15">
      <c r="H130" s="29">
        <v>45809</v>
      </c>
      <c r="I130" s="33">
        <v>3.3547904081632649</v>
      </c>
      <c r="J130" s="33">
        <v>3.3325999999999998</v>
      </c>
      <c r="K130" s="33">
        <v>3.2075515937861367</v>
      </c>
      <c r="L130" s="33">
        <v>3.1535084006462042</v>
      </c>
      <c r="M130" s="90">
        <f t="shared" si="7"/>
        <v>2025</v>
      </c>
      <c r="N130" s="3"/>
      <c r="O130" s="3"/>
    </row>
    <row r="131" spans="8:15">
      <c r="H131" s="29">
        <v>45839</v>
      </c>
      <c r="I131" s="33">
        <v>3.74611693877551</v>
      </c>
      <c r="J131" s="33">
        <v>3.7214999999999998</v>
      </c>
      <c r="K131" s="33">
        <v>3.5205687820232545</v>
      </c>
      <c r="L131" s="33">
        <v>3.4321836833602593</v>
      </c>
      <c r="M131" s="90">
        <f t="shared" si="7"/>
        <v>2025</v>
      </c>
      <c r="N131" s="3"/>
      <c r="O131" s="3"/>
    </row>
    <row r="132" spans="8:15">
      <c r="H132" s="29">
        <v>45870</v>
      </c>
      <c r="I132" s="33">
        <v>3.8262189795918364</v>
      </c>
      <c r="J132" s="33">
        <v>3.8010999999999999</v>
      </c>
      <c r="K132" s="33">
        <v>3.5928035177702817</v>
      </c>
      <c r="L132" s="33">
        <v>3.5114445880452352</v>
      </c>
      <c r="M132" s="90">
        <f t="shared" si="7"/>
        <v>2025</v>
      </c>
      <c r="N132" s="3"/>
      <c r="O132" s="3"/>
    </row>
    <row r="133" spans="8:15">
      <c r="H133" s="29">
        <v>45901</v>
      </c>
      <c r="I133" s="33">
        <v>3.6741781632653061</v>
      </c>
      <c r="J133" s="33">
        <v>3.65</v>
      </c>
      <c r="K133" s="33">
        <v>3.5342907927565603</v>
      </c>
      <c r="L133" s="33">
        <v>3.376145718901455</v>
      </c>
      <c r="M133" s="90">
        <f t="shared" si="7"/>
        <v>2025</v>
      </c>
      <c r="N133" s="3"/>
      <c r="O133" s="3"/>
    </row>
    <row r="134" spans="8:15">
      <c r="H134" s="29">
        <v>45931</v>
      </c>
      <c r="I134" s="33">
        <v>3.5772393877551019</v>
      </c>
      <c r="J134" s="33">
        <v>3.5537000000000001</v>
      </c>
      <c r="K134" s="33">
        <v>3.5614759083602805</v>
      </c>
      <c r="L134" s="33">
        <v>3.34837915993538</v>
      </c>
      <c r="M134" s="90">
        <f t="shared" si="7"/>
        <v>2025</v>
      </c>
      <c r="N134" s="3"/>
      <c r="O134" s="3"/>
    </row>
    <row r="135" spans="8:15">
      <c r="H135" s="29">
        <v>45962</v>
      </c>
      <c r="I135" s="33">
        <v>4.7925455102040813</v>
      </c>
      <c r="J135" s="33">
        <v>4.7611999999999997</v>
      </c>
      <c r="K135" s="33">
        <v>5.1198302971106617</v>
      </c>
      <c r="L135" s="33">
        <v>3.9173411954765762</v>
      </c>
      <c r="M135" s="90">
        <f t="shared" si="7"/>
        <v>2025</v>
      </c>
      <c r="N135" s="3"/>
      <c r="O135" s="3"/>
    </row>
    <row r="136" spans="8:15">
      <c r="H136" s="29">
        <v>45992</v>
      </c>
      <c r="I136" s="33">
        <v>5.884892448979592</v>
      </c>
      <c r="J136" s="33">
        <v>5.8465999999999996</v>
      </c>
      <c r="K136" s="33">
        <v>6.02522409964598</v>
      </c>
      <c r="L136" s="33">
        <v>4.7760851373182556</v>
      </c>
      <c r="M136" s="90">
        <f t="shared" si="7"/>
        <v>2025</v>
      </c>
      <c r="N136" s="3"/>
      <c r="O136" s="3"/>
    </row>
    <row r="137" spans="8:15">
      <c r="H137" s="29">
        <v>46023</v>
      </c>
      <c r="I137" s="33">
        <v>6.2139740816326539</v>
      </c>
      <c r="J137" s="33">
        <v>6.1736000000000004</v>
      </c>
      <c r="K137" s="33">
        <v>6.2012800864129289</v>
      </c>
      <c r="L137" s="33">
        <v>5.5384033925686609</v>
      </c>
      <c r="M137" s="90">
        <f t="shared" ref="M137:M148" si="8">YEAR(H137)</f>
        <v>2026</v>
      </c>
      <c r="N137" s="3"/>
      <c r="O137" s="3"/>
    </row>
    <row r="138" spans="8:15">
      <c r="H138" s="29">
        <v>46054</v>
      </c>
      <c r="I138" s="33">
        <v>5.6988720408163269</v>
      </c>
      <c r="J138" s="33">
        <v>5.6618000000000004</v>
      </c>
      <c r="K138" s="33">
        <v>5.922749159113101</v>
      </c>
      <c r="L138" s="33">
        <v>5.3112224555735068</v>
      </c>
      <c r="M138" s="90">
        <f t="shared" si="8"/>
        <v>2026</v>
      </c>
      <c r="N138" s="3"/>
      <c r="O138" s="3"/>
    </row>
    <row r="139" spans="8:15">
      <c r="H139" s="29">
        <v>46082</v>
      </c>
      <c r="I139" s="33">
        <v>4.0120353061224492</v>
      </c>
      <c r="J139" s="33">
        <v>3.9857</v>
      </c>
      <c r="K139" s="33">
        <v>4.0387947571890228</v>
      </c>
      <c r="L139" s="33">
        <v>3.7764890145395804</v>
      </c>
      <c r="M139" s="90">
        <f t="shared" si="8"/>
        <v>2026</v>
      </c>
      <c r="N139" s="3"/>
      <c r="O139" s="3"/>
    </row>
    <row r="140" spans="8:15">
      <c r="H140" s="29">
        <v>46113</v>
      </c>
      <c r="I140" s="33">
        <v>3.1336679591836734</v>
      </c>
      <c r="J140" s="33">
        <v>3.113</v>
      </c>
      <c r="K140" s="33">
        <v>3.1389415401196055</v>
      </c>
      <c r="L140" s="33">
        <v>3.0752571890145401</v>
      </c>
      <c r="M140" s="90">
        <f t="shared" si="8"/>
        <v>2026</v>
      </c>
      <c r="N140" s="3"/>
      <c r="O140" s="3"/>
    </row>
    <row r="141" spans="8:15">
      <c r="H141" s="29">
        <v>46143</v>
      </c>
      <c r="I141" s="33">
        <v>3.0126475510204083</v>
      </c>
      <c r="J141" s="33">
        <v>2.9927000000000001</v>
      </c>
      <c r="K141" s="33">
        <v>2.9817856813438155</v>
      </c>
      <c r="L141" s="33">
        <v>2.9056287560581588</v>
      </c>
      <c r="M141" s="90">
        <f t="shared" si="8"/>
        <v>2026</v>
      </c>
      <c r="N141" s="3"/>
      <c r="O141" s="3"/>
    </row>
    <row r="142" spans="8:15">
      <c r="H142" s="29">
        <v>46174</v>
      </c>
      <c r="I142" s="33">
        <v>3.1309128571428571</v>
      </c>
      <c r="J142" s="33">
        <v>3.1101999999999999</v>
      </c>
      <c r="K142" s="33">
        <v>3.1257373411120843</v>
      </c>
      <c r="L142" s="33">
        <v>3.0737426494345725</v>
      </c>
      <c r="M142" s="90">
        <f t="shared" si="8"/>
        <v>2026</v>
      </c>
      <c r="N142" s="3"/>
      <c r="O142" s="3"/>
    </row>
    <row r="143" spans="8:15">
      <c r="H143" s="29">
        <v>46204</v>
      </c>
      <c r="I143" s="33">
        <v>3.7181577551020406</v>
      </c>
      <c r="J143" s="33">
        <v>3.6937000000000002</v>
      </c>
      <c r="K143" s="33">
        <v>3.4252914244787886</v>
      </c>
      <c r="L143" s="33">
        <v>3.3392919224555744</v>
      </c>
      <c r="M143" s="90">
        <f t="shared" si="8"/>
        <v>2026</v>
      </c>
      <c r="N143" s="3"/>
      <c r="O143" s="3"/>
    </row>
    <row r="144" spans="8:15">
      <c r="H144" s="29">
        <v>46235</v>
      </c>
      <c r="I144" s="33">
        <v>4.3695863265306132</v>
      </c>
      <c r="J144" s="33">
        <v>4.3335999999999997</v>
      </c>
      <c r="K144" s="33">
        <v>4.3881623285762572</v>
      </c>
      <c r="L144" s="33">
        <v>4.049106138933765</v>
      </c>
      <c r="M144" s="90">
        <f t="shared" si="8"/>
        <v>2026</v>
      </c>
      <c r="N144" s="3"/>
      <c r="O144" s="3"/>
    </row>
    <row r="145" spans="8:15">
      <c r="H145" s="29">
        <v>46266</v>
      </c>
      <c r="I145" s="33">
        <v>4.3215251020408161</v>
      </c>
      <c r="J145" s="33">
        <v>4.2843999999999998</v>
      </c>
      <c r="K145" s="33">
        <v>4.3910620742406552</v>
      </c>
      <c r="L145" s="33">
        <v>4.0166949919224564</v>
      </c>
      <c r="M145" s="90">
        <f t="shared" si="8"/>
        <v>2026</v>
      </c>
      <c r="N145" s="3"/>
      <c r="O145" s="3"/>
    </row>
    <row r="146" spans="8:15">
      <c r="H146" s="29">
        <v>46296</v>
      </c>
      <c r="I146" s="33">
        <v>4.3030557142857147</v>
      </c>
      <c r="J146" s="33">
        <v>4.2649999999999997</v>
      </c>
      <c r="K146" s="33">
        <v>4.4313478265067392</v>
      </c>
      <c r="L146" s="33">
        <v>4.0665738287560593</v>
      </c>
      <c r="M146" s="90">
        <f t="shared" si="8"/>
        <v>2026</v>
      </c>
      <c r="N146" s="3"/>
      <c r="O146" s="3"/>
    </row>
    <row r="147" spans="8:15">
      <c r="H147" s="29">
        <v>46327</v>
      </c>
      <c r="I147" s="33">
        <v>5.123055714285714</v>
      </c>
      <c r="J147" s="33">
        <v>5.0850999999999997</v>
      </c>
      <c r="K147" s="33">
        <v>5.4367310732911678</v>
      </c>
      <c r="L147" s="33">
        <v>4.2443807754442657</v>
      </c>
      <c r="M147" s="90">
        <f t="shared" si="8"/>
        <v>2026</v>
      </c>
      <c r="N147" s="3"/>
      <c r="O147" s="3"/>
    </row>
    <row r="148" spans="8:15">
      <c r="H148" s="29">
        <v>46357</v>
      </c>
      <c r="I148" s="33">
        <v>5.7363210204081634</v>
      </c>
      <c r="J148" s="33">
        <v>5.7009999999999996</v>
      </c>
      <c r="K148" s="33">
        <v>6.0310235909747734</v>
      </c>
      <c r="L148" s="33">
        <v>4.6290738287560584</v>
      </c>
      <c r="M148" s="90">
        <f t="shared" si="8"/>
        <v>2026</v>
      </c>
      <c r="N148" s="3"/>
      <c r="O148" s="3"/>
    </row>
    <row r="149" spans="8:15">
      <c r="H149" s="29">
        <v>46388</v>
      </c>
      <c r="I149" s="33">
        <v>6.0636679591836735</v>
      </c>
      <c r="J149" s="33">
        <v>6.0263</v>
      </c>
      <c r="K149" s="33">
        <v>6.2878582069642039</v>
      </c>
      <c r="L149" s="33">
        <v>5.3896756058158326</v>
      </c>
      <c r="M149" s="90">
        <f t="shared" si="7"/>
        <v>2027</v>
      </c>
      <c r="N149" s="3"/>
      <c r="O149" s="3"/>
    </row>
    <row r="150" spans="8:15">
      <c r="H150" s="29">
        <v>46419</v>
      </c>
      <c r="I150" s="33">
        <v>5.7988720408163266</v>
      </c>
      <c r="J150" s="33">
        <v>5.7596999999999996</v>
      </c>
      <c r="K150" s="33">
        <v>6.0628690121105606</v>
      </c>
      <c r="L150" s="33">
        <v>5.4101723747980621</v>
      </c>
      <c r="M150" s="90">
        <f t="shared" si="7"/>
        <v>2027</v>
      </c>
      <c r="N150" s="3"/>
      <c r="O150" s="3"/>
    </row>
    <row r="151" spans="8:15">
      <c r="H151" s="29">
        <v>46447</v>
      </c>
      <c r="I151" s="33">
        <v>4.1996883673469396</v>
      </c>
      <c r="J151" s="33">
        <v>4.1696</v>
      </c>
      <c r="K151" s="33">
        <v>4.4577562245217806</v>
      </c>
      <c r="L151" s="33">
        <v>3.9622725363489506</v>
      </c>
      <c r="M151" s="90">
        <f t="shared" si="7"/>
        <v>2027</v>
      </c>
      <c r="N151" s="3"/>
      <c r="O151" s="3"/>
    </row>
    <row r="152" spans="8:15">
      <c r="H152" s="29">
        <v>46478</v>
      </c>
      <c r="I152" s="33">
        <v>3.7029536734693878</v>
      </c>
      <c r="J152" s="33">
        <v>3.6707999999999998</v>
      </c>
      <c r="K152" s="33">
        <v>3.7998246457391813</v>
      </c>
      <c r="L152" s="33">
        <v>3.6384639741518585</v>
      </c>
      <c r="M152" s="90">
        <f t="shared" si="7"/>
        <v>2027</v>
      </c>
      <c r="N152" s="3"/>
      <c r="O152" s="3"/>
    </row>
    <row r="153" spans="8:15">
      <c r="H153" s="29">
        <v>46508</v>
      </c>
      <c r="I153" s="33">
        <v>3.617851632653061</v>
      </c>
      <c r="J153" s="33">
        <v>3.5857999999999999</v>
      </c>
      <c r="K153" s="33">
        <v>3.6758605185862185</v>
      </c>
      <c r="L153" s="33">
        <v>3.5044777059773837</v>
      </c>
      <c r="M153" s="90">
        <f t="shared" si="7"/>
        <v>2027</v>
      </c>
      <c r="N153" s="3"/>
      <c r="O153" s="3"/>
    </row>
    <row r="154" spans="8:15">
      <c r="H154" s="29">
        <v>46539</v>
      </c>
      <c r="I154" s="33">
        <v>3.6890761224489799</v>
      </c>
      <c r="J154" s="33">
        <v>3.6572</v>
      </c>
      <c r="K154" s="33">
        <v>3.7739858406225029</v>
      </c>
      <c r="L154" s="33">
        <v>3.6260447495961232</v>
      </c>
      <c r="M154" s="90">
        <f t="shared" si="7"/>
        <v>2027</v>
      </c>
      <c r="N154" s="3"/>
      <c r="O154" s="3"/>
    </row>
    <row r="155" spans="8:15">
      <c r="H155" s="29">
        <v>46569</v>
      </c>
      <c r="I155" s="33">
        <v>4.0598924489795927</v>
      </c>
      <c r="J155" s="33">
        <v>4.0286</v>
      </c>
      <c r="K155" s="33">
        <v>4.0458887778322801</v>
      </c>
      <c r="L155" s="33">
        <v>3.6775390953150251</v>
      </c>
      <c r="M155" s="90">
        <f t="shared" si="7"/>
        <v>2027</v>
      </c>
      <c r="N155" s="3"/>
      <c r="O155" s="3"/>
    </row>
    <row r="156" spans="8:15">
      <c r="H156" s="29">
        <v>46600</v>
      </c>
      <c r="I156" s="33">
        <v>4.9129536734693877</v>
      </c>
      <c r="J156" s="33">
        <v>4.8661000000000003</v>
      </c>
      <c r="K156" s="33">
        <v>5.1834693582096563</v>
      </c>
      <c r="L156" s="33">
        <v>4.5867676898222944</v>
      </c>
      <c r="M156" s="90">
        <f t="shared" si="7"/>
        <v>2027</v>
      </c>
      <c r="N156" s="3"/>
      <c r="O156" s="3"/>
    </row>
    <row r="157" spans="8:15">
      <c r="H157" s="29">
        <v>46631</v>
      </c>
      <c r="I157" s="33">
        <v>4.9688720408163274</v>
      </c>
      <c r="J157" s="33">
        <v>4.9188000000000001</v>
      </c>
      <c r="K157" s="33">
        <v>5.2477815745521701</v>
      </c>
      <c r="L157" s="33">
        <v>4.6572442649434587</v>
      </c>
      <c r="M157" s="90">
        <f t="shared" si="7"/>
        <v>2027</v>
      </c>
      <c r="N157" s="3"/>
      <c r="O157" s="3"/>
    </row>
    <row r="158" spans="8:15">
      <c r="H158" s="29">
        <v>46661</v>
      </c>
      <c r="I158" s="33">
        <v>5.0289740816326534</v>
      </c>
      <c r="J158" s="33">
        <v>4.9763000000000002</v>
      </c>
      <c r="K158" s="33">
        <v>5.3011679634806175</v>
      </c>
      <c r="L158" s="33">
        <v>4.7848694668820686</v>
      </c>
      <c r="M158" s="90">
        <f t="shared" si="7"/>
        <v>2027</v>
      </c>
      <c r="N158" s="3"/>
      <c r="O158" s="3"/>
    </row>
    <row r="159" spans="8:15">
      <c r="H159" s="29">
        <v>46692</v>
      </c>
      <c r="I159" s="33">
        <v>5.4534638775510205</v>
      </c>
      <c r="J159" s="33">
        <v>5.4089</v>
      </c>
      <c r="K159" s="33">
        <v>5.753683630644252</v>
      </c>
      <c r="L159" s="33">
        <v>4.5713193861066239</v>
      </c>
      <c r="M159" s="90">
        <f t="shared" si="7"/>
        <v>2027</v>
      </c>
      <c r="N159" s="3"/>
      <c r="O159" s="3"/>
    </row>
    <row r="160" spans="8:15">
      <c r="H160" s="29">
        <v>46722</v>
      </c>
      <c r="I160" s="33">
        <v>5.5877495918367348</v>
      </c>
      <c r="J160" s="33">
        <v>5.5552999999999999</v>
      </c>
      <c r="K160" s="33">
        <v>6.0368230823035676</v>
      </c>
      <c r="L160" s="33">
        <v>4.4820625201938613</v>
      </c>
      <c r="M160" s="90">
        <f t="shared" ref="M160:M223" si="9">YEAR(H160)</f>
        <v>2027</v>
      </c>
      <c r="N160" s="3"/>
      <c r="O160" s="3"/>
    </row>
    <row r="161" spans="8:15">
      <c r="H161" s="29">
        <v>46753</v>
      </c>
      <c r="I161" s="33">
        <v>5.9134638775510213</v>
      </c>
      <c r="J161" s="33">
        <v>5.8789999999999996</v>
      </c>
      <c r="K161" s="33">
        <v>6.374436327515479</v>
      </c>
      <c r="L161" s="33">
        <v>5.241048788368337</v>
      </c>
      <c r="M161" s="90">
        <f t="shared" si="9"/>
        <v>2028</v>
      </c>
      <c r="N161" s="3"/>
      <c r="O161" s="3"/>
    </row>
    <row r="162" spans="8:15">
      <c r="H162" s="29">
        <v>46784</v>
      </c>
      <c r="I162" s="33">
        <v>5.8988720408163262</v>
      </c>
      <c r="J162" s="33">
        <v>5.8577000000000004</v>
      </c>
      <c r="K162" s="33">
        <v>6.2030406462805976</v>
      </c>
      <c r="L162" s="33">
        <v>5.5090213247172866</v>
      </c>
      <c r="M162" s="90">
        <f t="shared" si="9"/>
        <v>2028</v>
      </c>
      <c r="N162" s="3"/>
      <c r="O162" s="3"/>
    </row>
    <row r="163" spans="8:15">
      <c r="H163" s="29">
        <v>46813</v>
      </c>
      <c r="I163" s="33">
        <v>4.3874434693877555</v>
      </c>
      <c r="J163" s="33">
        <v>4.3536000000000001</v>
      </c>
      <c r="K163" s="33">
        <v>4.8767176918545383</v>
      </c>
      <c r="L163" s="33">
        <v>4.1479550888529895</v>
      </c>
      <c r="M163" s="90">
        <f t="shared" si="9"/>
        <v>2028</v>
      </c>
      <c r="N163" s="3"/>
      <c r="O163" s="3"/>
    </row>
    <row r="164" spans="8:15">
      <c r="H164" s="29">
        <v>46844</v>
      </c>
      <c r="I164" s="33">
        <v>4.2721373469387753</v>
      </c>
      <c r="J164" s="33">
        <v>4.2286000000000001</v>
      </c>
      <c r="K164" s="33">
        <v>4.4607077513587559</v>
      </c>
      <c r="L164" s="33">
        <v>4.2016707592891773</v>
      </c>
      <c r="M164" s="90">
        <f t="shared" si="9"/>
        <v>2028</v>
      </c>
      <c r="N164" s="3"/>
      <c r="O164" s="3"/>
    </row>
    <row r="165" spans="8:15">
      <c r="H165" s="29">
        <v>46874</v>
      </c>
      <c r="I165" s="33">
        <v>4.2230557142857146</v>
      </c>
      <c r="J165" s="33">
        <v>4.1788999999999996</v>
      </c>
      <c r="K165" s="33">
        <v>4.3698317934834643</v>
      </c>
      <c r="L165" s="33">
        <v>4.1033266558966082</v>
      </c>
      <c r="M165" s="90">
        <f t="shared" si="9"/>
        <v>2028</v>
      </c>
      <c r="N165" s="3"/>
      <c r="O165" s="3"/>
    </row>
    <row r="166" spans="8:15">
      <c r="H166" s="29">
        <v>46905</v>
      </c>
      <c r="I166" s="33">
        <v>4.2472393877551022</v>
      </c>
      <c r="J166" s="33">
        <v>4.2042000000000002</v>
      </c>
      <c r="K166" s="33">
        <v>4.4222861213054987</v>
      </c>
      <c r="L166" s="33">
        <v>4.1783468497576743</v>
      </c>
      <c r="M166" s="90">
        <f t="shared" si="9"/>
        <v>2028</v>
      </c>
      <c r="N166" s="3"/>
      <c r="O166" s="3"/>
    </row>
    <row r="167" spans="8:15">
      <c r="H167" s="29">
        <v>46935</v>
      </c>
      <c r="I167" s="33">
        <v>4.4017291836734698</v>
      </c>
      <c r="J167" s="33">
        <v>4.3635999999999999</v>
      </c>
      <c r="K167" s="33">
        <v>4.6664861311857706</v>
      </c>
      <c r="L167" s="33">
        <v>4.0156852988691449</v>
      </c>
      <c r="M167" s="90">
        <f t="shared" si="9"/>
        <v>2028</v>
      </c>
      <c r="N167" s="3"/>
      <c r="O167" s="3"/>
    </row>
    <row r="168" spans="8:15">
      <c r="H168" s="29">
        <v>46966</v>
      </c>
      <c r="I168" s="33">
        <v>5.0493822448979593</v>
      </c>
      <c r="J168" s="33">
        <v>4.9997999999999996</v>
      </c>
      <c r="K168" s="33">
        <v>5.2923651641422707</v>
      </c>
      <c r="L168" s="33">
        <v>4.7217636510500816</v>
      </c>
      <c r="M168" s="90">
        <f t="shared" si="9"/>
        <v>2028</v>
      </c>
      <c r="N168" s="3"/>
      <c r="O168" s="3"/>
    </row>
    <row r="169" spans="8:15">
      <c r="H169" s="29">
        <v>46997</v>
      </c>
      <c r="I169" s="33">
        <v>5.1348924489795928</v>
      </c>
      <c r="J169" s="33">
        <v>5.0815000000000001</v>
      </c>
      <c r="K169" s="33">
        <v>5.3908529543866042</v>
      </c>
      <c r="L169" s="33">
        <v>4.8215213247172874</v>
      </c>
      <c r="M169" s="90">
        <f t="shared" si="9"/>
        <v>2028</v>
      </c>
      <c r="N169" s="3"/>
      <c r="O169" s="3"/>
    </row>
    <row r="170" spans="8:15">
      <c r="H170" s="29">
        <v>47027</v>
      </c>
      <c r="I170" s="33">
        <v>5.2196883673469392</v>
      </c>
      <c r="J170" s="33">
        <v>5.1631999999999998</v>
      </c>
      <c r="K170" s="33">
        <v>5.4875284035906899</v>
      </c>
      <c r="L170" s="33">
        <v>4.9735810985460436</v>
      </c>
      <c r="M170" s="90">
        <f t="shared" si="9"/>
        <v>2028</v>
      </c>
      <c r="N170" s="3"/>
      <c r="O170" s="3"/>
    </row>
    <row r="171" spans="8:15">
      <c r="H171" s="29">
        <v>47058</v>
      </c>
      <c r="I171" s="33">
        <v>5.6443822448979599</v>
      </c>
      <c r="J171" s="33">
        <v>5.5960000000000001</v>
      </c>
      <c r="K171" s="33">
        <v>5.9480183713314156</v>
      </c>
      <c r="L171" s="33">
        <v>4.7602329563812606</v>
      </c>
      <c r="M171" s="90">
        <f t="shared" si="9"/>
        <v>2028</v>
      </c>
      <c r="N171" s="3"/>
      <c r="O171" s="3"/>
    </row>
    <row r="172" spans="8:15">
      <c r="H172" s="29">
        <v>47088</v>
      </c>
      <c r="I172" s="33">
        <v>5.7112189795918376</v>
      </c>
      <c r="J172" s="33">
        <v>5.6764000000000001</v>
      </c>
      <c r="K172" s="33">
        <v>6.2117916644463671</v>
      </c>
      <c r="L172" s="33">
        <v>4.6042353796445887</v>
      </c>
      <c r="M172" s="90">
        <f t="shared" si="9"/>
        <v>2028</v>
      </c>
      <c r="N172" s="3"/>
      <c r="O172" s="3"/>
    </row>
    <row r="173" spans="8:15">
      <c r="H173" s="29">
        <v>47119</v>
      </c>
      <c r="I173" s="33">
        <v>6.2577495918367347</v>
      </c>
      <c r="J173" s="33">
        <v>6.2164999999999999</v>
      </c>
      <c r="K173" s="33">
        <v>6.6965152209538363</v>
      </c>
      <c r="L173" s="33">
        <v>5.5817192245557363</v>
      </c>
      <c r="M173" s="90">
        <f t="shared" si="9"/>
        <v>2029</v>
      </c>
      <c r="N173" s="3"/>
      <c r="O173" s="3"/>
    </row>
    <row r="174" spans="8:15">
      <c r="H174" s="29">
        <v>47150</v>
      </c>
      <c r="I174" s="33">
        <v>6.2899944897959186</v>
      </c>
      <c r="J174" s="33">
        <v>6.2409999999999997</v>
      </c>
      <c r="K174" s="33">
        <v>6.6247465157600169</v>
      </c>
      <c r="L174" s="33">
        <v>5.8961376413570283</v>
      </c>
      <c r="M174" s="90">
        <f t="shared" si="9"/>
        <v>2029</v>
      </c>
      <c r="N174" s="3"/>
      <c r="O174" s="3"/>
    </row>
    <row r="175" spans="8:15">
      <c r="H175" s="29">
        <v>47178</v>
      </c>
      <c r="I175" s="33">
        <v>4.5519332653061229</v>
      </c>
      <c r="J175" s="33">
        <v>4.5147000000000004</v>
      </c>
      <c r="K175" s="33">
        <v>5.0284365275095846</v>
      </c>
      <c r="L175" s="33">
        <v>4.3107176090468506</v>
      </c>
      <c r="M175" s="90">
        <f t="shared" si="9"/>
        <v>2029</v>
      </c>
      <c r="N175" s="3"/>
      <c r="O175" s="3"/>
    </row>
    <row r="176" spans="8:15">
      <c r="H176" s="29">
        <v>47209</v>
      </c>
      <c r="I176" s="33">
        <v>4.4208108163265312</v>
      </c>
      <c r="J176" s="33">
        <v>4.3743999999999996</v>
      </c>
      <c r="K176" s="33">
        <v>4.5678947785962807</v>
      </c>
      <c r="L176" s="33">
        <v>4.3488840064620362</v>
      </c>
      <c r="M176" s="90">
        <f t="shared" si="9"/>
        <v>2029</v>
      </c>
      <c r="N176" s="3"/>
      <c r="O176" s="3"/>
    </row>
    <row r="177" spans="8:15">
      <c r="H177" s="29">
        <v>47239</v>
      </c>
      <c r="I177" s="33">
        <v>4.3568312244897962</v>
      </c>
      <c r="J177" s="33">
        <v>4.3099999999999996</v>
      </c>
      <c r="K177" s="33">
        <v>4.4866501188205916</v>
      </c>
      <c r="L177" s="33">
        <v>4.2356974151857845</v>
      </c>
      <c r="M177" s="90">
        <f t="shared" si="9"/>
        <v>2029</v>
      </c>
      <c r="N177" s="3"/>
      <c r="O177" s="3"/>
    </row>
    <row r="178" spans="8:15">
      <c r="H178" s="29">
        <v>47270</v>
      </c>
      <c r="I178" s="33">
        <v>4.3255046938775514</v>
      </c>
      <c r="J178" s="33">
        <v>4.2808999999999999</v>
      </c>
      <c r="K178" s="33">
        <v>4.5478036836358173</v>
      </c>
      <c r="L178" s="33">
        <v>4.2557903069466887</v>
      </c>
      <c r="M178" s="90">
        <f t="shared" si="9"/>
        <v>2029</v>
      </c>
      <c r="N178" s="3"/>
      <c r="O178" s="3"/>
    </row>
    <row r="179" spans="8:15">
      <c r="H179" s="29">
        <v>47300</v>
      </c>
      <c r="I179" s="33">
        <v>4.4991781632653067</v>
      </c>
      <c r="J179" s="33">
        <v>4.4589999999999996</v>
      </c>
      <c r="K179" s="33">
        <v>4.7591226489287326</v>
      </c>
      <c r="L179" s="33">
        <v>4.1121109854604212</v>
      </c>
      <c r="M179" s="90">
        <f t="shared" si="9"/>
        <v>2029</v>
      </c>
      <c r="N179" s="3"/>
      <c r="O179" s="3"/>
    </row>
    <row r="180" spans="8:15">
      <c r="H180" s="29">
        <v>47331</v>
      </c>
      <c r="I180" s="33">
        <v>5.2025455102040823</v>
      </c>
      <c r="J180" s="33">
        <v>5.1497999999999999</v>
      </c>
      <c r="K180" s="33">
        <v>5.4477086818778124</v>
      </c>
      <c r="L180" s="33">
        <v>4.8733185783521815</v>
      </c>
      <c r="M180" s="90">
        <f t="shared" si="9"/>
        <v>2029</v>
      </c>
      <c r="N180" s="3"/>
      <c r="O180" s="3"/>
    </row>
    <row r="181" spans="8:15">
      <c r="H181" s="29">
        <v>47362</v>
      </c>
      <c r="I181" s="33">
        <v>5.2623414285714292</v>
      </c>
      <c r="J181" s="33">
        <v>5.2064000000000004</v>
      </c>
      <c r="K181" s="33">
        <v>5.5198916364522619</v>
      </c>
      <c r="L181" s="33">
        <v>4.9476319870759298</v>
      </c>
      <c r="M181" s="90">
        <f t="shared" si="9"/>
        <v>2029</v>
      </c>
      <c r="N181" s="3"/>
      <c r="O181" s="3"/>
    </row>
    <row r="182" spans="8:15">
      <c r="H182" s="29">
        <v>47392</v>
      </c>
      <c r="I182" s="33">
        <v>5.3343822448979594</v>
      </c>
      <c r="J182" s="33">
        <v>5.2755999999999998</v>
      </c>
      <c r="K182" s="33">
        <v>5.5736404935887585</v>
      </c>
      <c r="L182" s="33">
        <v>5.0870705977382888</v>
      </c>
      <c r="M182" s="90">
        <f t="shared" si="9"/>
        <v>2029</v>
      </c>
      <c r="N182" s="3"/>
      <c r="O182" s="3"/>
    </row>
    <row r="183" spans="8:15">
      <c r="H183" s="29">
        <v>47423</v>
      </c>
      <c r="I183" s="33">
        <v>5.758157755102042</v>
      </c>
      <c r="J183" s="33">
        <v>5.7074999999999996</v>
      </c>
      <c r="K183" s="33">
        <v>6.0658205389475359</v>
      </c>
      <c r="L183" s="33">
        <v>4.8728137318255262</v>
      </c>
      <c r="M183" s="90">
        <f t="shared" si="9"/>
        <v>2029</v>
      </c>
      <c r="N183" s="3"/>
      <c r="O183" s="3"/>
    </row>
    <row r="184" spans="8:15">
      <c r="H184" s="29">
        <v>47453</v>
      </c>
      <c r="I184" s="33">
        <v>5.8141781632653071</v>
      </c>
      <c r="J184" s="33">
        <v>5.7771999999999997</v>
      </c>
      <c r="K184" s="33">
        <v>6.2866672399948982</v>
      </c>
      <c r="L184" s="33">
        <v>4.7061134087237493</v>
      </c>
      <c r="M184" s="90">
        <f t="shared" si="9"/>
        <v>2029</v>
      </c>
      <c r="N184" s="3"/>
      <c r="O184" s="3"/>
    </row>
    <row r="185" spans="8:15">
      <c r="H185" s="29">
        <v>47484</v>
      </c>
      <c r="I185" s="33">
        <v>6.0733618367346942</v>
      </c>
      <c r="J185" s="33">
        <v>6.0357000000000003</v>
      </c>
      <c r="K185" s="33">
        <v>6.5132616511984756</v>
      </c>
      <c r="L185" s="33">
        <v>5.3992676898222953</v>
      </c>
      <c r="M185" s="90">
        <f t="shared" si="9"/>
        <v>2030</v>
      </c>
      <c r="N185" s="3"/>
      <c r="O185" s="3"/>
    </row>
    <row r="186" spans="8:15">
      <c r="H186" s="29">
        <v>47515</v>
      </c>
      <c r="I186" s="33">
        <v>6.105606734693878</v>
      </c>
      <c r="J186" s="33">
        <v>6.0602999999999998</v>
      </c>
      <c r="K186" s="33">
        <v>6.4660372218068707</v>
      </c>
      <c r="L186" s="33">
        <v>5.7136861066235873</v>
      </c>
      <c r="M186" s="90">
        <f t="shared" si="9"/>
        <v>2030</v>
      </c>
      <c r="N186" s="3"/>
      <c r="O186" s="3"/>
    </row>
    <row r="187" spans="8:15">
      <c r="H187" s="29">
        <v>47543</v>
      </c>
      <c r="I187" s="33">
        <v>4.5681577551020407</v>
      </c>
      <c r="J187" s="33">
        <v>4.5307000000000004</v>
      </c>
      <c r="K187" s="33">
        <v>5.040294416030064</v>
      </c>
      <c r="L187" s="33">
        <v>4.3267717285945082</v>
      </c>
      <c r="M187" s="90">
        <f t="shared" si="9"/>
        <v>2030</v>
      </c>
      <c r="N187" s="3"/>
      <c r="O187" s="3"/>
    </row>
    <row r="188" spans="8:15">
      <c r="H188" s="29">
        <v>47574</v>
      </c>
      <c r="I188" s="33">
        <v>4.4467291836734697</v>
      </c>
      <c r="J188" s="33">
        <v>4.3997000000000002</v>
      </c>
      <c r="K188" s="33">
        <v>4.5746781122040661</v>
      </c>
      <c r="L188" s="33">
        <v>4.3744292407108247</v>
      </c>
      <c r="M188" s="90">
        <f t="shared" si="9"/>
        <v>2030</v>
      </c>
      <c r="N188" s="3"/>
      <c r="O188" s="3"/>
    </row>
    <row r="189" spans="8:15">
      <c r="H189" s="29">
        <v>47604</v>
      </c>
      <c r="I189" s="33">
        <v>4.3918312244897963</v>
      </c>
      <c r="J189" s="33">
        <v>4.3442999999999996</v>
      </c>
      <c r="K189" s="33">
        <v>4.5309748025478003</v>
      </c>
      <c r="L189" s="33">
        <v>4.2703298869143786</v>
      </c>
      <c r="M189" s="90">
        <f t="shared" si="9"/>
        <v>2030</v>
      </c>
      <c r="N189" s="3"/>
      <c r="O189" s="3"/>
    </row>
    <row r="190" spans="8:15">
      <c r="H190" s="29">
        <v>47635</v>
      </c>
      <c r="I190" s="33">
        <v>4.4212189795918375</v>
      </c>
      <c r="J190" s="33">
        <v>4.3746999999999998</v>
      </c>
      <c r="K190" s="33">
        <v>4.5892804028712062</v>
      </c>
      <c r="L190" s="33">
        <v>4.3504995153473347</v>
      </c>
      <c r="M190" s="90">
        <f t="shared" si="9"/>
        <v>2030</v>
      </c>
      <c r="N190" s="3"/>
      <c r="O190" s="3"/>
    </row>
    <row r="191" spans="8:15">
      <c r="H191" s="29">
        <v>47665</v>
      </c>
      <c r="I191" s="33">
        <v>4.6131577551020415</v>
      </c>
      <c r="J191" s="33">
        <v>4.5708000000000002</v>
      </c>
      <c r="K191" s="33">
        <v>4.899760313651977</v>
      </c>
      <c r="L191" s="33">
        <v>4.2249946688206794</v>
      </c>
      <c r="M191" s="90">
        <f t="shared" si="9"/>
        <v>2030</v>
      </c>
      <c r="N191" s="3"/>
      <c r="O191" s="3"/>
    </row>
    <row r="192" spans="8:15">
      <c r="H192" s="29">
        <v>47696</v>
      </c>
      <c r="I192" s="33">
        <v>5.1774434693877556</v>
      </c>
      <c r="J192" s="33">
        <v>5.1252000000000004</v>
      </c>
      <c r="K192" s="33">
        <v>5.458686290464458</v>
      </c>
      <c r="L192" s="33">
        <v>4.8484801292407118</v>
      </c>
      <c r="M192" s="90">
        <f t="shared" si="9"/>
        <v>2030</v>
      </c>
      <c r="N192" s="3"/>
      <c r="O192" s="3"/>
    </row>
    <row r="193" spans="8:15">
      <c r="H193" s="29">
        <v>47727</v>
      </c>
      <c r="I193" s="33">
        <v>5.288055714285715</v>
      </c>
      <c r="J193" s="33">
        <v>5.2314999999999996</v>
      </c>
      <c r="K193" s="33">
        <v>5.531645962627584</v>
      </c>
      <c r="L193" s="33">
        <v>4.9730762520193865</v>
      </c>
      <c r="M193" s="90">
        <f t="shared" si="9"/>
        <v>2030</v>
      </c>
      <c r="N193" s="3"/>
      <c r="O193" s="3"/>
    </row>
    <row r="194" spans="8:15">
      <c r="H194" s="29">
        <v>47757</v>
      </c>
      <c r="I194" s="33">
        <v>5.3491781632653064</v>
      </c>
      <c r="J194" s="33">
        <v>5.2901999999999996</v>
      </c>
      <c r="K194" s="33">
        <v>5.5664429106003466</v>
      </c>
      <c r="L194" s="33">
        <v>5.1017111470113097</v>
      </c>
      <c r="M194" s="90">
        <f t="shared" si="9"/>
        <v>2030</v>
      </c>
      <c r="N194" s="3"/>
      <c r="O194" s="3"/>
    </row>
    <row r="195" spans="8:15">
      <c r="H195" s="29">
        <v>47788</v>
      </c>
      <c r="I195" s="33">
        <v>5.7501985714285722</v>
      </c>
      <c r="J195" s="33">
        <v>5.6997</v>
      </c>
      <c r="K195" s="33">
        <v>6.0312307156650879</v>
      </c>
      <c r="L195" s="33">
        <v>4.8649381260096938</v>
      </c>
      <c r="M195" s="90">
        <f t="shared" si="9"/>
        <v>2030</v>
      </c>
      <c r="N195" s="3"/>
      <c r="O195" s="3"/>
    </row>
    <row r="196" spans="8:15">
      <c r="H196" s="29">
        <v>47818</v>
      </c>
      <c r="I196" s="33">
        <v>5.8237700000000006</v>
      </c>
      <c r="J196" s="33">
        <v>5.7866999999999997</v>
      </c>
      <c r="K196" s="33">
        <v>6.2838192755030802</v>
      </c>
      <c r="L196" s="33">
        <v>4.7156045234248793</v>
      </c>
      <c r="M196" s="90">
        <f t="shared" si="9"/>
        <v>2030</v>
      </c>
      <c r="N196" s="3"/>
      <c r="O196" s="3"/>
    </row>
    <row r="197" spans="8:15">
      <c r="H197" s="29">
        <v>47849</v>
      </c>
      <c r="I197" s="33">
        <v>6.0524434693877556</v>
      </c>
      <c r="J197" s="33">
        <v>6.0152000000000001</v>
      </c>
      <c r="K197" s="33">
        <v>6.4657265347713997</v>
      </c>
      <c r="L197" s="33">
        <v>5.3785689822294032</v>
      </c>
      <c r="M197" s="90">
        <f t="shared" si="9"/>
        <v>2031</v>
      </c>
      <c r="N197" s="3"/>
      <c r="O197" s="3"/>
    </row>
    <row r="198" spans="8:15">
      <c r="H198" s="29">
        <v>47880</v>
      </c>
      <c r="I198" s="33">
        <v>6.0870353061224494</v>
      </c>
      <c r="J198" s="33">
        <v>6.0420999999999996</v>
      </c>
      <c r="K198" s="33">
        <v>6.4508135570687877</v>
      </c>
      <c r="L198" s="33">
        <v>5.6953096930533125</v>
      </c>
      <c r="M198" s="90">
        <f t="shared" si="9"/>
        <v>2031</v>
      </c>
      <c r="N198" s="3"/>
      <c r="O198" s="3"/>
    </row>
    <row r="199" spans="8:15">
      <c r="H199" s="29">
        <v>47908</v>
      </c>
      <c r="I199" s="33">
        <v>4.6684638775510203</v>
      </c>
      <c r="J199" s="33">
        <v>4.6288999999999998</v>
      </c>
      <c r="K199" s="33">
        <v>5.122471136912166</v>
      </c>
      <c r="L199" s="33">
        <v>4.4260245557350579</v>
      </c>
      <c r="M199" s="90">
        <f t="shared" si="9"/>
        <v>2031</v>
      </c>
      <c r="N199" s="3"/>
      <c r="O199" s="3"/>
    </row>
    <row r="200" spans="8:15">
      <c r="H200" s="29">
        <v>47939</v>
      </c>
      <c r="I200" s="33">
        <v>4.552239387755102</v>
      </c>
      <c r="J200" s="33">
        <v>4.5031999999999996</v>
      </c>
      <c r="K200" s="33">
        <v>4.6887520353945327</v>
      </c>
      <c r="L200" s="33">
        <v>4.4789324717285952</v>
      </c>
      <c r="M200" s="90">
        <f t="shared" si="9"/>
        <v>2031</v>
      </c>
      <c r="N200" s="3"/>
      <c r="O200" s="3"/>
    </row>
    <row r="201" spans="8:15">
      <c r="H201" s="29">
        <v>47969</v>
      </c>
      <c r="I201" s="33">
        <v>4.4941781632653059</v>
      </c>
      <c r="J201" s="33">
        <v>4.4446000000000003</v>
      </c>
      <c r="K201" s="33">
        <v>4.6410097942771422</v>
      </c>
      <c r="L201" s="33">
        <v>4.3716021001615513</v>
      </c>
      <c r="M201" s="90">
        <f t="shared" si="9"/>
        <v>2031</v>
      </c>
      <c r="N201" s="3"/>
      <c r="O201" s="3"/>
    </row>
    <row r="202" spans="8:15">
      <c r="H202" s="29">
        <v>48000</v>
      </c>
      <c r="I202" s="33">
        <v>4.4567291836734695</v>
      </c>
      <c r="J202" s="33">
        <v>4.4095000000000004</v>
      </c>
      <c r="K202" s="33">
        <v>4.7031989825439373</v>
      </c>
      <c r="L202" s="33">
        <v>4.3856368336025859</v>
      </c>
      <c r="M202" s="90">
        <f t="shared" si="9"/>
        <v>2031</v>
      </c>
      <c r="N202" s="3"/>
      <c r="O202" s="3"/>
    </row>
    <row r="203" spans="8:15">
      <c r="H203" s="29">
        <v>48030</v>
      </c>
      <c r="I203" s="33">
        <v>5.0381577551020413</v>
      </c>
      <c r="J203" s="33">
        <v>4.9873000000000003</v>
      </c>
      <c r="K203" s="33">
        <v>5.3255568957650983</v>
      </c>
      <c r="L203" s="33">
        <v>4.6454308562197104</v>
      </c>
      <c r="M203" s="90">
        <f t="shared" si="9"/>
        <v>2031</v>
      </c>
      <c r="N203" s="3"/>
      <c r="O203" s="3"/>
    </row>
    <row r="204" spans="8:15">
      <c r="H204" s="29">
        <v>48061</v>
      </c>
      <c r="I204" s="33">
        <v>5.7456067346938777</v>
      </c>
      <c r="J204" s="33">
        <v>5.6821000000000002</v>
      </c>
      <c r="K204" s="33">
        <v>6.0283309700006917</v>
      </c>
      <c r="L204" s="33">
        <v>5.4106772213247183</v>
      </c>
      <c r="M204" s="90">
        <f t="shared" si="9"/>
        <v>2031</v>
      </c>
      <c r="N204" s="3"/>
      <c r="O204" s="3"/>
    </row>
    <row r="205" spans="8:15">
      <c r="H205" s="29">
        <v>48092</v>
      </c>
      <c r="I205" s="33">
        <v>5.7763210204081634</v>
      </c>
      <c r="J205" s="33">
        <v>5.71</v>
      </c>
      <c r="K205" s="33">
        <v>6.0713611244134373</v>
      </c>
      <c r="L205" s="33">
        <v>5.4562143780290802</v>
      </c>
      <c r="M205" s="90">
        <f t="shared" si="9"/>
        <v>2031</v>
      </c>
      <c r="N205" s="3"/>
      <c r="O205" s="3"/>
    </row>
    <row r="206" spans="8:15">
      <c r="H206" s="29">
        <v>48122</v>
      </c>
      <c r="I206" s="33">
        <v>5.8219332653061233</v>
      </c>
      <c r="J206" s="33">
        <v>5.7534999999999998</v>
      </c>
      <c r="K206" s="33">
        <v>6.097199929530114</v>
      </c>
      <c r="L206" s="33">
        <v>5.5695019386106628</v>
      </c>
      <c r="M206" s="90">
        <f t="shared" si="9"/>
        <v>2031</v>
      </c>
      <c r="N206" s="3"/>
      <c r="O206" s="3"/>
    </row>
    <row r="207" spans="8:15">
      <c r="H207" s="29">
        <v>48153</v>
      </c>
      <c r="I207" s="33">
        <v>6.2551985714285721</v>
      </c>
      <c r="J207" s="33">
        <v>6.1946000000000003</v>
      </c>
      <c r="K207" s="33">
        <v>6.5726028749734517</v>
      </c>
      <c r="L207" s="33">
        <v>5.3646352180937003</v>
      </c>
      <c r="M207" s="90">
        <f t="shared" si="9"/>
        <v>2031</v>
      </c>
      <c r="N207" s="3"/>
      <c r="O207" s="3"/>
    </row>
    <row r="208" spans="8:15">
      <c r="H208" s="29">
        <v>48183</v>
      </c>
      <c r="I208" s="33">
        <v>6.3226475510204088</v>
      </c>
      <c r="J208" s="33">
        <v>6.2755999999999998</v>
      </c>
      <c r="K208" s="33">
        <v>6.7469500830453093</v>
      </c>
      <c r="L208" s="33">
        <v>5.2092434571890154</v>
      </c>
      <c r="M208" s="90">
        <f t="shared" si="9"/>
        <v>2031</v>
      </c>
      <c r="N208" s="3"/>
      <c r="O208" s="3"/>
    </row>
    <row r="209" spans="8:15">
      <c r="H209" s="29">
        <v>48214</v>
      </c>
      <c r="I209" s="33">
        <v>6.51877</v>
      </c>
      <c r="J209" s="33">
        <v>6.4722</v>
      </c>
      <c r="K209" s="33">
        <v>6.9339318972263246</v>
      </c>
      <c r="L209" s="33">
        <v>5.8399987075928923</v>
      </c>
      <c r="M209" s="90">
        <f t="shared" si="9"/>
        <v>2032</v>
      </c>
      <c r="N209" s="3"/>
      <c r="O209" s="3"/>
    </row>
    <row r="210" spans="8:15">
      <c r="H210" s="29">
        <v>48245</v>
      </c>
      <c r="I210" s="33">
        <v>6.3813210204081638</v>
      </c>
      <c r="J210" s="33">
        <v>6.3304999999999998</v>
      </c>
      <c r="K210" s="33">
        <v>6.6578346850376882</v>
      </c>
      <c r="L210" s="33">
        <v>5.9865051696284342</v>
      </c>
      <c r="M210" s="90">
        <f t="shared" si="9"/>
        <v>2032</v>
      </c>
      <c r="N210" s="3"/>
      <c r="O210" s="3"/>
    </row>
    <row r="211" spans="8:15">
      <c r="H211" s="29">
        <v>48274</v>
      </c>
      <c r="I211" s="33">
        <v>5.1213210204081641</v>
      </c>
      <c r="J211" s="33">
        <v>5.0728</v>
      </c>
      <c r="K211" s="33">
        <v>5.6105604696372406</v>
      </c>
      <c r="L211" s="33">
        <v>4.8741263327948312</v>
      </c>
      <c r="M211" s="90">
        <f t="shared" si="9"/>
        <v>2032</v>
      </c>
      <c r="N211" s="3"/>
      <c r="O211" s="3"/>
    </row>
    <row r="212" spans="8:15">
      <c r="H212" s="29">
        <v>48305</v>
      </c>
      <c r="I212" s="33">
        <v>5.010504693877551</v>
      </c>
      <c r="J212" s="33">
        <v>4.9522000000000004</v>
      </c>
      <c r="K212" s="33">
        <v>5.2143309370664497</v>
      </c>
      <c r="L212" s="33">
        <v>4.9323856219709219</v>
      </c>
      <c r="M212" s="90">
        <f t="shared" si="9"/>
        <v>2032</v>
      </c>
      <c r="N212" s="3"/>
      <c r="O212" s="3"/>
    </row>
    <row r="213" spans="8:15">
      <c r="H213" s="29">
        <v>48335</v>
      </c>
      <c r="I213" s="33">
        <v>5.0422393877551031</v>
      </c>
      <c r="J213" s="33">
        <v>4.9816000000000003</v>
      </c>
      <c r="K213" s="33">
        <v>5.2079100716667153</v>
      </c>
      <c r="L213" s="33">
        <v>4.9139082390953162</v>
      </c>
      <c r="M213" s="90">
        <f t="shared" si="9"/>
        <v>2032</v>
      </c>
      <c r="N213" s="3"/>
      <c r="O213" s="3"/>
    </row>
    <row r="214" spans="8:15">
      <c r="H214" s="29">
        <v>48366</v>
      </c>
      <c r="I214" s="33">
        <v>5.0710148979591843</v>
      </c>
      <c r="J214" s="33">
        <v>5.0114999999999998</v>
      </c>
      <c r="K214" s="33">
        <v>5.2463834828925497</v>
      </c>
      <c r="L214" s="33">
        <v>4.9934720516962852</v>
      </c>
      <c r="M214" s="90">
        <f t="shared" si="9"/>
        <v>2032</v>
      </c>
      <c r="N214" s="3"/>
      <c r="O214" s="3"/>
    </row>
    <row r="215" spans="8:15">
      <c r="H215" s="29">
        <v>48396</v>
      </c>
      <c r="I215" s="33">
        <v>5.3275455102040823</v>
      </c>
      <c r="J215" s="33">
        <v>5.2709000000000001</v>
      </c>
      <c r="K215" s="33">
        <v>5.6202435489094222</v>
      </c>
      <c r="L215" s="33">
        <v>4.9317798061389349</v>
      </c>
      <c r="M215" s="90">
        <f t="shared" si="9"/>
        <v>2032</v>
      </c>
      <c r="N215" s="3"/>
      <c r="O215" s="3"/>
    </row>
    <row r="216" spans="8:15">
      <c r="H216" s="29">
        <v>48427</v>
      </c>
      <c r="I216" s="33">
        <v>5.833361836734694</v>
      </c>
      <c r="J216" s="33">
        <v>5.7680999999999996</v>
      </c>
      <c r="K216" s="33">
        <v>6.0806817354775689</v>
      </c>
      <c r="L216" s="33">
        <v>5.4975108239095318</v>
      </c>
      <c r="M216" s="90">
        <f t="shared" si="9"/>
        <v>2032</v>
      </c>
      <c r="N216" s="3"/>
      <c r="O216" s="3"/>
    </row>
    <row r="217" spans="8:15">
      <c r="H217" s="29">
        <v>48458</v>
      </c>
      <c r="I217" s="33">
        <v>5.8620353061224497</v>
      </c>
      <c r="J217" s="33">
        <v>5.7941000000000003</v>
      </c>
      <c r="K217" s="33">
        <v>6.1486186339005791</v>
      </c>
      <c r="L217" s="33">
        <v>5.5410285945072708</v>
      </c>
      <c r="M217" s="90">
        <f t="shared" si="9"/>
        <v>2032</v>
      </c>
      <c r="N217" s="3"/>
      <c r="O217" s="3"/>
    </row>
    <row r="218" spans="8:15">
      <c r="H218" s="29">
        <v>48488</v>
      </c>
      <c r="I218" s="33">
        <v>5.900606734693878</v>
      </c>
      <c r="J218" s="33">
        <v>5.8305999999999996</v>
      </c>
      <c r="K218" s="33">
        <v>6.1691239782416707</v>
      </c>
      <c r="L218" s="33">
        <v>5.6473492730210033</v>
      </c>
      <c r="M218" s="90">
        <f t="shared" si="9"/>
        <v>2032</v>
      </c>
      <c r="N218" s="3"/>
      <c r="O218" s="3"/>
    </row>
    <row r="219" spans="8:15">
      <c r="H219" s="29">
        <v>48519</v>
      </c>
      <c r="I219" s="33">
        <v>6.3204026530612243</v>
      </c>
      <c r="J219" s="33">
        <v>6.2584999999999997</v>
      </c>
      <c r="K219" s="33">
        <v>6.6205004596085786</v>
      </c>
      <c r="L219" s="33">
        <v>5.429154604200324</v>
      </c>
      <c r="M219" s="90">
        <f t="shared" si="9"/>
        <v>2032</v>
      </c>
      <c r="N219" s="3"/>
      <c r="O219" s="3"/>
    </row>
    <row r="220" spans="8:15">
      <c r="H220" s="29">
        <v>48549</v>
      </c>
      <c r="I220" s="33">
        <v>6.409790408163266</v>
      </c>
      <c r="J220" s="33">
        <v>6.3609999999999998</v>
      </c>
      <c r="K220" s="33">
        <v>6.8476644637105188</v>
      </c>
      <c r="L220" s="33">
        <v>5.2954712439418428</v>
      </c>
      <c r="M220" s="90">
        <f t="shared" si="9"/>
        <v>2032</v>
      </c>
      <c r="N220" s="3"/>
      <c r="O220" s="3"/>
    </row>
    <row r="221" spans="8:15">
      <c r="H221" s="29">
        <v>48580</v>
      </c>
      <c r="I221" s="33">
        <v>6.919280204081633</v>
      </c>
      <c r="J221" s="33">
        <v>6.8647</v>
      </c>
      <c r="K221" s="33">
        <v>7.2999730061838388</v>
      </c>
      <c r="L221" s="33">
        <v>6.2363032310177715</v>
      </c>
      <c r="M221" s="90">
        <f t="shared" si="9"/>
        <v>2033</v>
      </c>
      <c r="N221" s="3"/>
      <c r="O221" s="3"/>
    </row>
    <row r="222" spans="8:15">
      <c r="H222" s="29">
        <v>48611</v>
      </c>
      <c r="I222" s="33">
        <v>6.8003006122448983</v>
      </c>
      <c r="J222" s="33">
        <v>6.7411000000000003</v>
      </c>
      <c r="K222" s="33">
        <v>7.0547373728519975</v>
      </c>
      <c r="L222" s="33">
        <v>6.4010851373182565</v>
      </c>
      <c r="M222" s="90">
        <f t="shared" si="9"/>
        <v>2033</v>
      </c>
      <c r="N222" s="3"/>
      <c r="O222" s="3"/>
    </row>
    <row r="223" spans="8:15">
      <c r="H223" s="29">
        <v>48639</v>
      </c>
      <c r="I223" s="33">
        <v>5.4077495918367351</v>
      </c>
      <c r="J223" s="33">
        <v>5.3535000000000004</v>
      </c>
      <c r="K223" s="33">
        <v>5.8484949576355127</v>
      </c>
      <c r="L223" s="33">
        <v>5.1575471728594522</v>
      </c>
      <c r="M223" s="90">
        <f t="shared" si="9"/>
        <v>2033</v>
      </c>
      <c r="N223" s="3"/>
      <c r="O223" s="3"/>
    </row>
    <row r="224" spans="8:15">
      <c r="H224" s="29">
        <v>48670</v>
      </c>
      <c r="I224" s="33">
        <v>5.2690761224489799</v>
      </c>
      <c r="J224" s="33">
        <v>5.2055999999999996</v>
      </c>
      <c r="K224" s="33">
        <v>5.4415467223409708</v>
      </c>
      <c r="L224" s="33">
        <v>5.1882418416801306</v>
      </c>
      <c r="M224" s="90">
        <f t="shared" ref="M224:M311" si="10">YEAR(H224)</f>
        <v>2033</v>
      </c>
      <c r="N224" s="3"/>
      <c r="O224" s="3"/>
    </row>
    <row r="225" spans="8:15">
      <c r="H225" s="29">
        <v>48700</v>
      </c>
      <c r="I225" s="33">
        <v>5.294280204081633</v>
      </c>
      <c r="J225" s="33">
        <v>5.2286000000000001</v>
      </c>
      <c r="K225" s="33">
        <v>5.4352812004589692</v>
      </c>
      <c r="L225" s="33">
        <v>5.1633024232633291</v>
      </c>
      <c r="M225" s="90">
        <f t="shared" si="10"/>
        <v>2033</v>
      </c>
      <c r="N225" s="3"/>
      <c r="O225" s="3"/>
    </row>
    <row r="226" spans="8:15">
      <c r="H226" s="29">
        <v>48731</v>
      </c>
      <c r="I226" s="33">
        <v>5.3270353061224496</v>
      </c>
      <c r="J226" s="33">
        <v>5.2624000000000004</v>
      </c>
      <c r="K226" s="33">
        <v>5.5204094481780466</v>
      </c>
      <c r="L226" s="33">
        <v>5.2468040387722148</v>
      </c>
      <c r="M226" s="90">
        <f t="shared" si="10"/>
        <v>2033</v>
      </c>
      <c r="N226" s="3"/>
      <c r="O226" s="3"/>
    </row>
    <row r="227" spans="8:15">
      <c r="H227" s="29">
        <v>48761</v>
      </c>
      <c r="I227" s="33">
        <v>5.3810148979591848</v>
      </c>
      <c r="J227" s="33">
        <v>5.3232999999999997</v>
      </c>
      <c r="K227" s="33">
        <v>5.6564903697143816</v>
      </c>
      <c r="L227" s="33">
        <v>4.984687722132473</v>
      </c>
      <c r="M227" s="90">
        <f t="shared" si="10"/>
        <v>2033</v>
      </c>
      <c r="N227" s="3"/>
      <c r="O227" s="3"/>
    </row>
    <row r="228" spans="8:15">
      <c r="H228" s="29">
        <v>48792</v>
      </c>
      <c r="I228" s="33">
        <v>5.9821373469387753</v>
      </c>
      <c r="J228" s="33">
        <v>5.9138999999999999</v>
      </c>
      <c r="K228" s="33">
        <v>6.2259797057328798</v>
      </c>
      <c r="L228" s="33">
        <v>5.6447240710823925</v>
      </c>
      <c r="M228" s="90">
        <f t="shared" si="10"/>
        <v>2033</v>
      </c>
      <c r="N228" s="3"/>
      <c r="O228" s="3"/>
    </row>
    <row r="229" spans="8:15">
      <c r="H229" s="29">
        <v>48823</v>
      </c>
      <c r="I229" s="33">
        <v>6.0431577551020412</v>
      </c>
      <c r="J229" s="33">
        <v>5.9714999999999998</v>
      </c>
      <c r="K229" s="33">
        <v>6.2780197841742869</v>
      </c>
      <c r="L229" s="33">
        <v>5.7202491114701139</v>
      </c>
      <c r="M229" s="90">
        <f t="shared" si="10"/>
        <v>2033</v>
      </c>
      <c r="N229" s="3"/>
      <c r="O229" s="3"/>
    </row>
    <row r="230" spans="8:15">
      <c r="H230" s="29">
        <v>48853</v>
      </c>
      <c r="I230" s="33">
        <v>6.122749591836735</v>
      </c>
      <c r="J230" s="33">
        <v>6.0481999999999996</v>
      </c>
      <c r="K230" s="33">
        <v>6.323380091353064</v>
      </c>
      <c r="L230" s="33">
        <v>5.8671594507269802</v>
      </c>
      <c r="M230" s="90">
        <f t="shared" si="10"/>
        <v>2033</v>
      </c>
      <c r="N230" s="3"/>
      <c r="O230" s="3"/>
    </row>
    <row r="231" spans="8:15">
      <c r="H231" s="29">
        <v>48884</v>
      </c>
      <c r="I231" s="33">
        <v>6.5874434693877557</v>
      </c>
      <c r="J231" s="33">
        <v>6.5202</v>
      </c>
      <c r="K231" s="33">
        <v>6.8562083571859747</v>
      </c>
      <c r="L231" s="33">
        <v>5.6933912762520205</v>
      </c>
      <c r="M231" s="90">
        <f t="shared" si="10"/>
        <v>2033</v>
      </c>
      <c r="N231" s="3"/>
      <c r="O231" s="3"/>
    </row>
    <row r="232" spans="8:15">
      <c r="H232" s="29">
        <v>48914</v>
      </c>
      <c r="I232" s="33">
        <v>6.6386679591836737</v>
      </c>
      <c r="J232" s="33">
        <v>6.5853000000000002</v>
      </c>
      <c r="K232" s="33">
        <v>7.0692361011739813</v>
      </c>
      <c r="L232" s="33">
        <v>5.521945395799678</v>
      </c>
      <c r="M232" s="90">
        <f t="shared" si="10"/>
        <v>2033</v>
      </c>
      <c r="N232" s="3"/>
      <c r="O232" s="3"/>
    </row>
    <row r="233" spans="8:15">
      <c r="H233" s="29">
        <v>48945</v>
      </c>
      <c r="I233" s="33">
        <v>6.9030557142857152</v>
      </c>
      <c r="J233" s="33">
        <v>6.8489000000000004</v>
      </c>
      <c r="K233" s="33">
        <v>7.2679722415303178</v>
      </c>
      <c r="L233" s="33">
        <v>6.2202491114701148</v>
      </c>
      <c r="M233" s="90">
        <f t="shared" si="10"/>
        <v>2034</v>
      </c>
      <c r="N233" s="3"/>
      <c r="O233" s="3"/>
    </row>
    <row r="234" spans="8:15">
      <c r="H234" s="29">
        <v>48976</v>
      </c>
      <c r="I234" s="33">
        <v>6.928463877551021</v>
      </c>
      <c r="J234" s="33">
        <v>6.8667999999999996</v>
      </c>
      <c r="K234" s="33">
        <v>7.1800478104920007</v>
      </c>
      <c r="L234" s="33">
        <v>6.5279025848142176</v>
      </c>
      <c r="M234" s="90">
        <f t="shared" si="10"/>
        <v>2034</v>
      </c>
      <c r="N234" s="3"/>
      <c r="O234" s="3"/>
    </row>
    <row r="235" spans="8:15">
      <c r="H235" s="29">
        <v>49004</v>
      </c>
      <c r="I235" s="33">
        <v>5.6205046938775522</v>
      </c>
      <c r="J235" s="33">
        <v>5.5618999999999996</v>
      </c>
      <c r="K235" s="33">
        <v>6.0430886041855683</v>
      </c>
      <c r="L235" s="33">
        <v>5.3680681744749608</v>
      </c>
      <c r="M235" s="90">
        <f t="shared" si="10"/>
        <v>2034</v>
      </c>
      <c r="N235" s="3"/>
      <c r="O235" s="3"/>
    </row>
    <row r="236" spans="8:15">
      <c r="H236" s="29">
        <v>49035</v>
      </c>
      <c r="I236" s="33">
        <v>5.4763210204081636</v>
      </c>
      <c r="J236" s="33">
        <v>5.4088000000000003</v>
      </c>
      <c r="K236" s="33">
        <v>5.6584062730997866</v>
      </c>
      <c r="L236" s="33">
        <v>5.3933105008077558</v>
      </c>
      <c r="M236" s="90">
        <f t="shared" si="10"/>
        <v>2034</v>
      </c>
      <c r="N236" s="3"/>
      <c r="O236" s="3"/>
    </row>
    <row r="237" spans="8:15">
      <c r="H237" s="29">
        <v>49065</v>
      </c>
      <c r="I237" s="33">
        <v>5.482953673469388</v>
      </c>
      <c r="J237" s="33">
        <v>5.4135</v>
      </c>
      <c r="K237" s="33">
        <v>5.6384187404844806</v>
      </c>
      <c r="L237" s="33">
        <v>5.3499946688206794</v>
      </c>
      <c r="M237" s="90">
        <f t="shared" si="10"/>
        <v>2034</v>
      </c>
      <c r="N237" s="3"/>
      <c r="O237" s="3"/>
    </row>
    <row r="238" spans="8:15">
      <c r="H238" s="29">
        <v>49096</v>
      </c>
      <c r="I238" s="33">
        <v>5.509586326530612</v>
      </c>
      <c r="J238" s="33">
        <v>5.4413</v>
      </c>
      <c r="K238" s="33">
        <v>5.6839861723535732</v>
      </c>
      <c r="L238" s="33">
        <v>5.4274381260096938</v>
      </c>
      <c r="M238" s="90">
        <f t="shared" si="10"/>
        <v>2034</v>
      </c>
      <c r="N238" s="3"/>
      <c r="O238" s="3"/>
    </row>
    <row r="239" spans="8:15">
      <c r="H239" s="29">
        <v>49126</v>
      </c>
      <c r="I239" s="33">
        <v>5.6664230612244904</v>
      </c>
      <c r="J239" s="33">
        <v>5.6029999999999998</v>
      </c>
      <c r="K239" s="33">
        <v>5.9356426710851515</v>
      </c>
      <c r="L239" s="33">
        <v>5.2670988691437817</v>
      </c>
      <c r="M239" s="90">
        <f t="shared" si="10"/>
        <v>2034</v>
      </c>
      <c r="N239" s="3"/>
      <c r="O239" s="3"/>
    </row>
    <row r="240" spans="8:15">
      <c r="H240" s="29">
        <v>49157</v>
      </c>
      <c r="I240" s="33">
        <v>6.1067291836734698</v>
      </c>
      <c r="J240" s="33">
        <v>6.0358999999999998</v>
      </c>
      <c r="K240" s="33">
        <v>6.3499956140584208</v>
      </c>
      <c r="L240" s="33">
        <v>5.7680075928917613</v>
      </c>
      <c r="M240" s="90">
        <f t="shared" si="10"/>
        <v>2034</v>
      </c>
      <c r="N240" s="3"/>
      <c r="O240" s="3"/>
    </row>
    <row r="241" spans="8:15">
      <c r="H241" s="29">
        <v>49188</v>
      </c>
      <c r="I241" s="33">
        <v>6.2485659183673476</v>
      </c>
      <c r="J241" s="33">
        <v>6.1729000000000003</v>
      </c>
      <c r="K241" s="33">
        <v>6.4820893853062103</v>
      </c>
      <c r="L241" s="33">
        <v>5.923500323101778</v>
      </c>
      <c r="M241" s="90">
        <f t="shared" si="10"/>
        <v>2034</v>
      </c>
      <c r="N241" s="3"/>
      <c r="O241" s="3"/>
    </row>
    <row r="242" spans="8:15">
      <c r="H242" s="29">
        <v>49218</v>
      </c>
      <c r="I242" s="33">
        <v>6.3368312244897966</v>
      </c>
      <c r="J242" s="33">
        <v>6.2580999999999998</v>
      </c>
      <c r="K242" s="33">
        <v>6.5407056726650881</v>
      </c>
      <c r="L242" s="33">
        <v>6.0789930533117937</v>
      </c>
      <c r="M242" s="90">
        <f t="shared" si="10"/>
        <v>2034</v>
      </c>
      <c r="N242" s="3"/>
      <c r="O242" s="3"/>
    </row>
    <row r="243" spans="8:15">
      <c r="H243" s="29">
        <v>49249</v>
      </c>
      <c r="I243" s="33">
        <v>6.7725455102040817</v>
      </c>
      <c r="J243" s="33">
        <v>6.7016</v>
      </c>
      <c r="K243" s="33">
        <v>7.0035775743444253</v>
      </c>
      <c r="L243" s="33">
        <v>5.8765495961227794</v>
      </c>
      <c r="M243" s="90">
        <f t="shared" si="10"/>
        <v>2034</v>
      </c>
      <c r="N243" s="3"/>
      <c r="O243" s="3"/>
    </row>
    <row r="244" spans="8:15">
      <c r="H244" s="29">
        <v>49279</v>
      </c>
      <c r="I244" s="33">
        <v>6.8512189795918372</v>
      </c>
      <c r="J244" s="33">
        <v>6.7935999999999996</v>
      </c>
      <c r="K244" s="33">
        <v>7.2874419624198392</v>
      </c>
      <c r="L244" s="33">
        <v>5.732264458804524</v>
      </c>
      <c r="M244" s="90">
        <f t="shared" si="10"/>
        <v>2034</v>
      </c>
      <c r="N244" s="3"/>
      <c r="O244" s="3"/>
    </row>
    <row r="245" spans="8:15">
      <c r="H245" s="29">
        <v>49310</v>
      </c>
      <c r="I245" s="33">
        <v>7.2930557142857149</v>
      </c>
      <c r="J245" s="33">
        <v>7.2309999999999999</v>
      </c>
      <c r="K245" s="33">
        <v>7.6894192051468444</v>
      </c>
      <c r="L245" s="33">
        <v>6.6061537964458816</v>
      </c>
      <c r="M245" s="90">
        <f t="shared" si="10"/>
        <v>2035</v>
      </c>
      <c r="N245" s="3"/>
      <c r="O245" s="3"/>
    </row>
    <row r="246" spans="8:15">
      <c r="H246" s="29">
        <v>49341</v>
      </c>
      <c r="I246" s="33">
        <v>7.3315251020408168</v>
      </c>
      <c r="J246" s="33">
        <v>7.2617000000000003</v>
      </c>
      <c r="K246" s="33">
        <v>7.6514636056467937</v>
      </c>
      <c r="L246" s="33">
        <v>6.9267313408723767</v>
      </c>
      <c r="M246" s="90">
        <f t="shared" si="10"/>
        <v>2035</v>
      </c>
      <c r="N246" s="3"/>
      <c r="O246" s="3"/>
    </row>
    <row r="247" spans="8:15">
      <c r="H247" s="29">
        <v>49369</v>
      </c>
      <c r="I247" s="33">
        <v>5.7005046938775514</v>
      </c>
      <c r="J247" s="33">
        <v>5.6402999999999999</v>
      </c>
      <c r="K247" s="33">
        <v>6.1316861904674056</v>
      </c>
      <c r="L247" s="33">
        <v>5.4472281098546054</v>
      </c>
      <c r="M247" s="90">
        <f t="shared" si="10"/>
        <v>2035</v>
      </c>
      <c r="N247" s="3"/>
      <c r="O247" s="3"/>
    </row>
    <row r="248" spans="8:15">
      <c r="H248" s="29">
        <v>49400</v>
      </c>
      <c r="I248" s="33">
        <v>5.4418312244897962</v>
      </c>
      <c r="J248" s="33">
        <v>5.3749000000000002</v>
      </c>
      <c r="K248" s="33">
        <v>5.5818219188561642</v>
      </c>
      <c r="L248" s="33">
        <v>5.3591828756058169</v>
      </c>
      <c r="M248" s="90">
        <f t="shared" si="10"/>
        <v>2035</v>
      </c>
      <c r="N248" s="3"/>
      <c r="O248" s="3"/>
    </row>
    <row r="249" spans="8:15">
      <c r="H249" s="29">
        <v>49430</v>
      </c>
      <c r="I249" s="33">
        <v>5.4564230612244904</v>
      </c>
      <c r="J249" s="33">
        <v>5.3875999999999999</v>
      </c>
      <c r="K249" s="33">
        <v>5.6054341335519666</v>
      </c>
      <c r="L249" s="33">
        <v>5.323742649434573</v>
      </c>
      <c r="M249" s="90">
        <f t="shared" si="10"/>
        <v>2035</v>
      </c>
      <c r="N249" s="3"/>
      <c r="O249" s="3"/>
    </row>
    <row r="250" spans="8:15">
      <c r="H250" s="29">
        <v>49461</v>
      </c>
      <c r="I250" s="33">
        <v>5.4753006122448982</v>
      </c>
      <c r="J250" s="33">
        <v>5.4076000000000004</v>
      </c>
      <c r="K250" s="33">
        <v>5.6560761203337542</v>
      </c>
      <c r="L250" s="33">
        <v>5.3935124394184175</v>
      </c>
      <c r="M250" s="90">
        <f t="shared" si="10"/>
        <v>2035</v>
      </c>
      <c r="N250" s="3"/>
      <c r="O250" s="3"/>
    </row>
    <row r="251" spans="8:15">
      <c r="H251" s="29">
        <v>49491</v>
      </c>
      <c r="I251" s="33">
        <v>5.5336679591836733</v>
      </c>
      <c r="J251" s="33">
        <v>5.4729000000000001</v>
      </c>
      <c r="K251" s="33">
        <v>5.7621239617745506</v>
      </c>
      <c r="L251" s="33">
        <v>5.1357378029079168</v>
      </c>
      <c r="M251" s="90">
        <f t="shared" si="10"/>
        <v>2035</v>
      </c>
      <c r="N251" s="3"/>
      <c r="O251" s="3"/>
    </row>
    <row r="252" spans="8:15">
      <c r="H252" s="29">
        <v>49522</v>
      </c>
      <c r="I252" s="33">
        <v>6.1051985714285717</v>
      </c>
      <c r="J252" s="33">
        <v>6.0343999999999998</v>
      </c>
      <c r="K252" s="33">
        <v>6.3098134241374932</v>
      </c>
      <c r="L252" s="33">
        <v>5.7664930533117937</v>
      </c>
      <c r="M252" s="90">
        <f t="shared" si="10"/>
        <v>2035</v>
      </c>
      <c r="N252" s="3"/>
      <c r="O252" s="3"/>
    </row>
    <row r="253" spans="8:15">
      <c r="H253" s="29">
        <v>49553</v>
      </c>
      <c r="I253" s="33">
        <v>6.2622393877551028</v>
      </c>
      <c r="J253" s="33">
        <v>6.1862000000000004</v>
      </c>
      <c r="K253" s="33">
        <v>6.4964327701104594</v>
      </c>
      <c r="L253" s="33">
        <v>5.9370302100161565</v>
      </c>
      <c r="M253" s="90">
        <f t="shared" si="10"/>
        <v>2035</v>
      </c>
      <c r="N253" s="3"/>
      <c r="O253" s="3"/>
    </row>
    <row r="254" spans="8:15">
      <c r="H254" s="29">
        <v>49583</v>
      </c>
      <c r="I254" s="33">
        <v>6.3430557142857147</v>
      </c>
      <c r="J254" s="33">
        <v>6.2641</v>
      </c>
      <c r="K254" s="33">
        <v>6.5431393877762778</v>
      </c>
      <c r="L254" s="33">
        <v>6.0851521809369959</v>
      </c>
      <c r="M254" s="90">
        <f t="shared" si="10"/>
        <v>2035</v>
      </c>
      <c r="N254" s="3"/>
      <c r="O254" s="3"/>
    </row>
    <row r="255" spans="8:15">
      <c r="H255" s="29">
        <v>49614</v>
      </c>
      <c r="I255" s="33">
        <v>6.8281577551020414</v>
      </c>
      <c r="J255" s="33">
        <v>6.7561</v>
      </c>
      <c r="K255" s="33">
        <v>7.0785049310655346</v>
      </c>
      <c r="L255" s="33">
        <v>5.9315778675282722</v>
      </c>
      <c r="M255" s="90">
        <f t="shared" si="10"/>
        <v>2035</v>
      </c>
      <c r="N255" s="3"/>
      <c r="O255" s="3"/>
    </row>
    <row r="256" spans="8:15">
      <c r="H256" s="29">
        <v>49644</v>
      </c>
      <c r="I256" s="33">
        <v>6.8743822448979595</v>
      </c>
      <c r="J256" s="33">
        <v>6.8163</v>
      </c>
      <c r="K256" s="33">
        <v>7.3674438740536434</v>
      </c>
      <c r="L256" s="33">
        <v>5.7551844911147025</v>
      </c>
      <c r="M256" s="90">
        <f t="shared" si="10"/>
        <v>2035</v>
      </c>
      <c r="N256" s="3"/>
      <c r="O256" s="3"/>
    </row>
    <row r="257" spans="8:15">
      <c r="H257" s="29">
        <v>49675</v>
      </c>
      <c r="I257" s="33">
        <v>7.156525102040816</v>
      </c>
      <c r="J257" s="33">
        <v>7.0972</v>
      </c>
      <c r="K257" s="33">
        <v>7.5869442646139653</v>
      </c>
      <c r="L257" s="33">
        <v>6.4710568659127636</v>
      </c>
      <c r="M257" s="90">
        <f t="shared" si="10"/>
        <v>2036</v>
      </c>
      <c r="N257" s="3"/>
      <c r="O257" s="3"/>
    </row>
    <row r="258" spans="8:15">
      <c r="H258" s="29">
        <v>49706</v>
      </c>
      <c r="I258" s="33">
        <v>6.9607087755102048</v>
      </c>
      <c r="J258" s="33">
        <v>6.8983999999999996</v>
      </c>
      <c r="K258" s="33">
        <v>7.2066633331973584</v>
      </c>
      <c r="L258" s="33">
        <v>6.5598088852988701</v>
      </c>
      <c r="M258" s="90">
        <f t="shared" si="10"/>
        <v>2036</v>
      </c>
      <c r="N258" s="3"/>
      <c r="O258" s="3"/>
    </row>
    <row r="259" spans="8:15">
      <c r="H259" s="29">
        <v>49735</v>
      </c>
      <c r="I259" s="33">
        <v>5.8042802040816328</v>
      </c>
      <c r="J259" s="33">
        <v>5.742</v>
      </c>
      <c r="K259" s="33">
        <v>6.2421354315773767</v>
      </c>
      <c r="L259" s="33">
        <v>5.5499138933764138</v>
      </c>
      <c r="M259" s="90">
        <f t="shared" si="10"/>
        <v>2036</v>
      </c>
      <c r="N259" s="3"/>
      <c r="O259" s="3"/>
    </row>
    <row r="260" spans="8:15">
      <c r="H260" s="29">
        <v>49766</v>
      </c>
      <c r="I260" s="33">
        <v>5.6408108163265309</v>
      </c>
      <c r="J260" s="33">
        <v>5.5698999999999996</v>
      </c>
      <c r="K260" s="33">
        <v>5.7852183647445674</v>
      </c>
      <c r="L260" s="33">
        <v>5.5560730210016169</v>
      </c>
      <c r="M260" s="90">
        <f t="shared" si="10"/>
        <v>2036</v>
      </c>
      <c r="N260" s="3"/>
      <c r="O260" s="3"/>
    </row>
    <row r="261" spans="8:15">
      <c r="H261" s="29">
        <v>49796</v>
      </c>
      <c r="I261" s="33">
        <v>5.6590761224489805</v>
      </c>
      <c r="J261" s="33">
        <v>5.5861000000000001</v>
      </c>
      <c r="K261" s="33">
        <v>5.8070182384001221</v>
      </c>
      <c r="L261" s="33">
        <v>5.5242676898222953</v>
      </c>
      <c r="M261" s="90">
        <f t="shared" si="10"/>
        <v>2036</v>
      </c>
      <c r="N261" s="3"/>
      <c r="O261" s="3"/>
    </row>
    <row r="262" spans="8:15">
      <c r="H262" s="29">
        <v>49827</v>
      </c>
      <c r="I262" s="33">
        <v>5.6818312244897964</v>
      </c>
      <c r="J262" s="33">
        <v>5.61</v>
      </c>
      <c r="K262" s="33">
        <v>5.8857774018920423</v>
      </c>
      <c r="L262" s="33">
        <v>5.5978743134087248</v>
      </c>
      <c r="M262" s="90">
        <f t="shared" si="10"/>
        <v>2036</v>
      </c>
      <c r="N262" s="3"/>
      <c r="O262" s="3"/>
    </row>
    <row r="263" spans="8:15">
      <c r="H263" s="29">
        <v>49857</v>
      </c>
      <c r="I263" s="33">
        <v>5.8326475510204085</v>
      </c>
      <c r="J263" s="33">
        <v>5.7659000000000002</v>
      </c>
      <c r="K263" s="33">
        <v>6.1114397519892059</v>
      </c>
      <c r="L263" s="33">
        <v>5.4315778675282722</v>
      </c>
      <c r="M263" s="90">
        <f t="shared" si="10"/>
        <v>2036</v>
      </c>
      <c r="N263" s="3"/>
      <c r="O263" s="3"/>
    </row>
    <row r="264" spans="8:15">
      <c r="H264" s="29">
        <v>49888</v>
      </c>
      <c r="I264" s="33">
        <v>6.2755046938775516</v>
      </c>
      <c r="J264" s="33">
        <v>6.2013999999999996</v>
      </c>
      <c r="K264" s="33">
        <v>6.5964739955321479</v>
      </c>
      <c r="L264" s="33">
        <v>5.9350108239095327</v>
      </c>
      <c r="M264" s="90">
        <f t="shared" si="10"/>
        <v>2036</v>
      </c>
      <c r="N264" s="3"/>
      <c r="O264" s="3"/>
    </row>
    <row r="265" spans="8:15">
      <c r="H265" s="29">
        <v>49919</v>
      </c>
      <c r="I265" s="33">
        <v>6.5209128571428572</v>
      </c>
      <c r="J265" s="33">
        <v>6.4397000000000002</v>
      </c>
      <c r="K265" s="33">
        <v>6.7744458856845</v>
      </c>
      <c r="L265" s="33">
        <v>6.1929873990306961</v>
      </c>
      <c r="M265" s="90">
        <f t="shared" si="10"/>
        <v>2036</v>
      </c>
      <c r="N265" s="3"/>
      <c r="O265" s="3"/>
    </row>
    <row r="266" spans="8:15">
      <c r="H266" s="29">
        <v>49949</v>
      </c>
      <c r="I266" s="33">
        <v>6.6058108163265308</v>
      </c>
      <c r="J266" s="33">
        <v>6.5217000000000001</v>
      </c>
      <c r="K266" s="33">
        <v>6.8245700607405029</v>
      </c>
      <c r="L266" s="33">
        <v>6.3451481421647831</v>
      </c>
      <c r="M266" s="90">
        <f t="shared" si="10"/>
        <v>2036</v>
      </c>
      <c r="N266" s="3"/>
      <c r="O266" s="3"/>
    </row>
    <row r="267" spans="8:15">
      <c r="H267" s="29">
        <v>49980</v>
      </c>
      <c r="I267" s="33">
        <v>7.105300612244899</v>
      </c>
      <c r="J267" s="33">
        <v>7.0277000000000003</v>
      </c>
      <c r="K267" s="33">
        <v>7.3874831878415286</v>
      </c>
      <c r="L267" s="33">
        <v>6.2058105008077558</v>
      </c>
      <c r="M267" s="90">
        <f t="shared" si="10"/>
        <v>2036</v>
      </c>
      <c r="N267" s="3"/>
      <c r="O267" s="3"/>
    </row>
    <row r="268" spans="8:15">
      <c r="H268" s="29">
        <v>50010</v>
      </c>
      <c r="I268" s="33">
        <v>7.1697904081632657</v>
      </c>
      <c r="J268" s="33">
        <v>7.1058000000000003</v>
      </c>
      <c r="K268" s="33">
        <v>7.6674639879735542</v>
      </c>
      <c r="L268" s="33">
        <v>6.0474906300484665</v>
      </c>
      <c r="M268" s="90">
        <f t="shared" si="10"/>
        <v>2036</v>
      </c>
      <c r="N268" s="3"/>
      <c r="O268" s="3"/>
    </row>
    <row r="269" spans="8:15">
      <c r="H269" s="29">
        <v>50041</v>
      </c>
      <c r="I269" s="33">
        <v>7.4455046938775515</v>
      </c>
      <c r="J269" s="33">
        <v>7.3804999999999996</v>
      </c>
      <c r="K269" s="33">
        <v>7.8946279920754963</v>
      </c>
      <c r="L269" s="33">
        <v>6.7570019386106628</v>
      </c>
      <c r="M269" s="90">
        <f t="shared" si="10"/>
        <v>2037</v>
      </c>
      <c r="N269" s="3"/>
      <c r="O269" s="3"/>
    </row>
    <row r="270" spans="8:15">
      <c r="H270" s="29">
        <v>50072</v>
      </c>
      <c r="I270" s="33">
        <v>7.4609128571428576</v>
      </c>
      <c r="J270" s="33">
        <v>7.3886000000000003</v>
      </c>
      <c r="K270" s="33">
        <v>7.7950010160344352</v>
      </c>
      <c r="L270" s="33">
        <v>7.0547604200323111</v>
      </c>
      <c r="M270" s="90">
        <f t="shared" si="10"/>
        <v>2037</v>
      </c>
      <c r="N270" s="3"/>
      <c r="O270" s="3"/>
    </row>
    <row r="271" spans="8:15">
      <c r="H271" s="29">
        <v>50100</v>
      </c>
      <c r="I271" s="33">
        <v>6.1653006122448977</v>
      </c>
      <c r="J271" s="33">
        <v>6.0959000000000003</v>
      </c>
      <c r="K271" s="33">
        <v>6.6175489327716033</v>
      </c>
      <c r="L271" s="33">
        <v>5.9072442649434578</v>
      </c>
      <c r="M271" s="90">
        <f t="shared" si="10"/>
        <v>2037</v>
      </c>
      <c r="N271" s="3"/>
      <c r="O271" s="3"/>
    </row>
    <row r="272" spans="8:15">
      <c r="H272" s="29">
        <v>50131</v>
      </c>
      <c r="I272" s="33">
        <v>6.0184638775510209</v>
      </c>
      <c r="J272" s="33">
        <v>5.94</v>
      </c>
      <c r="K272" s="33">
        <v>6.171454131007704</v>
      </c>
      <c r="L272" s="33">
        <v>5.929760420032312</v>
      </c>
      <c r="M272" s="90">
        <f t="shared" si="10"/>
        <v>2037</v>
      </c>
      <c r="N272" s="3"/>
      <c r="O272" s="3"/>
    </row>
    <row r="273" spans="8:15">
      <c r="H273" s="29">
        <v>50161</v>
      </c>
      <c r="I273" s="33">
        <v>5.943872040816327</v>
      </c>
      <c r="J273" s="33">
        <v>5.8653000000000004</v>
      </c>
      <c r="K273" s="33">
        <v>6.1530718147423311</v>
      </c>
      <c r="L273" s="33">
        <v>5.806073021001616</v>
      </c>
      <c r="M273" s="90">
        <f t="shared" si="10"/>
        <v>2037</v>
      </c>
      <c r="N273" s="3"/>
      <c r="O273" s="3"/>
    </row>
    <row r="274" spans="8:15">
      <c r="H274" s="29">
        <v>50192</v>
      </c>
      <c r="I274" s="33">
        <v>6.0297904081632661</v>
      </c>
      <c r="J274" s="33">
        <v>5.9511000000000003</v>
      </c>
      <c r="K274" s="33">
        <v>6.2259279245603016</v>
      </c>
      <c r="L274" s="33">
        <v>5.9421796445880464</v>
      </c>
      <c r="M274" s="90">
        <f t="shared" si="10"/>
        <v>2037</v>
      </c>
      <c r="N274" s="3"/>
      <c r="O274" s="3"/>
    </row>
    <row r="275" spans="8:15">
      <c r="H275" s="29">
        <v>50222</v>
      </c>
      <c r="I275" s="33">
        <v>5.9898924489795915</v>
      </c>
      <c r="J275" s="33">
        <v>5.92</v>
      </c>
      <c r="K275" s="33">
        <v>6.3361182598073791</v>
      </c>
      <c r="L275" s="33">
        <v>5.5871715670436197</v>
      </c>
      <c r="M275" s="90">
        <f t="shared" si="10"/>
        <v>2037</v>
      </c>
      <c r="N275" s="3"/>
      <c r="O275" s="3"/>
    </row>
    <row r="276" spans="8:15">
      <c r="H276" s="29">
        <v>50253</v>
      </c>
      <c r="I276" s="33">
        <v>6.6375455102040819</v>
      </c>
      <c r="J276" s="33">
        <v>6.5560999999999998</v>
      </c>
      <c r="K276" s="33">
        <v>6.8867592490072971</v>
      </c>
      <c r="L276" s="33">
        <v>6.2932499192245563</v>
      </c>
      <c r="M276" s="90">
        <f t="shared" si="10"/>
        <v>2037</v>
      </c>
      <c r="N276" s="3"/>
      <c r="O276" s="3"/>
    </row>
    <row r="277" spans="8:15">
      <c r="H277" s="29">
        <v>50284</v>
      </c>
      <c r="I277" s="33">
        <v>6.6139740816326533</v>
      </c>
      <c r="J277" s="33">
        <v>6.5308999999999999</v>
      </c>
      <c r="K277" s="33">
        <v>6.9341390219166374</v>
      </c>
      <c r="L277" s="33">
        <v>6.2850714054927312</v>
      </c>
      <c r="M277" s="90">
        <f t="shared" si="10"/>
        <v>2037</v>
      </c>
      <c r="N277" s="3"/>
      <c r="O277" s="3"/>
    </row>
    <row r="278" spans="8:15">
      <c r="H278" s="29">
        <v>50314</v>
      </c>
      <c r="I278" s="33">
        <v>6.8730557142857149</v>
      </c>
      <c r="J278" s="33">
        <v>6.7835999999999999</v>
      </c>
      <c r="K278" s="33">
        <v>7.0871006057135686</v>
      </c>
      <c r="L278" s="33">
        <v>6.6095867528271413</v>
      </c>
      <c r="M278" s="90">
        <f t="shared" si="10"/>
        <v>2037</v>
      </c>
      <c r="N278" s="3"/>
      <c r="O278" s="3"/>
    </row>
    <row r="279" spans="8:15">
      <c r="H279" s="29">
        <v>50345</v>
      </c>
      <c r="I279" s="33">
        <v>7.3809128571428575</v>
      </c>
      <c r="J279" s="33">
        <v>7.2979000000000003</v>
      </c>
      <c r="K279" s="33">
        <v>7.6383111878118513</v>
      </c>
      <c r="L279" s="33">
        <v>6.4785285945072708</v>
      </c>
      <c r="M279" s="90">
        <f t="shared" si="10"/>
        <v>2037</v>
      </c>
      <c r="N279" s="3"/>
      <c r="O279" s="3"/>
    </row>
    <row r="280" spans="8:15">
      <c r="H280" s="29">
        <v>50375</v>
      </c>
      <c r="I280" s="33">
        <v>7.4424434693877561</v>
      </c>
      <c r="J280" s="33">
        <v>7.3728999999999996</v>
      </c>
      <c r="K280" s="33">
        <v>7.96903753707082</v>
      </c>
      <c r="L280" s="33">
        <v>6.3172806138933781</v>
      </c>
      <c r="M280" s="90">
        <f t="shared" si="10"/>
        <v>2037</v>
      </c>
      <c r="N280" s="3"/>
      <c r="O280" s="3"/>
    </row>
    <row r="281" spans="8:15">
      <c r="H281" s="29">
        <v>50406</v>
      </c>
      <c r="I281" s="33">
        <v>7.8084638775510209</v>
      </c>
      <c r="J281" s="33">
        <v>7.7361000000000004</v>
      </c>
      <c r="K281" s="33">
        <v>8.2085772414190252</v>
      </c>
      <c r="L281" s="33">
        <v>7.1161497576736688</v>
      </c>
      <c r="M281" s="90">
        <f t="shared" ref="M281:M304" si="11">YEAR(H281)</f>
        <v>2038</v>
      </c>
      <c r="N281" s="3"/>
      <c r="O281" s="3"/>
    </row>
    <row r="282" spans="8:15">
      <c r="H282" s="29">
        <v>50437</v>
      </c>
      <c r="I282" s="33">
        <v>7.8527495918367354</v>
      </c>
      <c r="J282" s="33">
        <v>7.7725999999999997</v>
      </c>
      <c r="K282" s="33">
        <v>8.1939231695793069</v>
      </c>
      <c r="L282" s="33">
        <v>7.4424825525040399</v>
      </c>
      <c r="M282" s="90">
        <f t="shared" si="11"/>
        <v>2038</v>
      </c>
      <c r="N282" s="3"/>
      <c r="O282" s="3"/>
    </row>
    <row r="283" spans="8:15">
      <c r="H283" s="29">
        <v>50465</v>
      </c>
      <c r="I283" s="33">
        <v>6.4354026530612245</v>
      </c>
      <c r="J283" s="33">
        <v>6.3605999999999998</v>
      </c>
      <c r="K283" s="33">
        <v>6.8832381292719589</v>
      </c>
      <c r="L283" s="33">
        <v>6.1745100161550903</v>
      </c>
      <c r="M283" s="90">
        <f t="shared" si="11"/>
        <v>2038</v>
      </c>
      <c r="N283" s="3"/>
      <c r="O283" s="3"/>
    </row>
    <row r="284" spans="8:15">
      <c r="H284" s="29">
        <v>50496</v>
      </c>
      <c r="I284" s="33">
        <v>6.239790408163266</v>
      </c>
      <c r="J284" s="33">
        <v>6.1569000000000003</v>
      </c>
      <c r="K284" s="33">
        <v>6.4170522325475963</v>
      </c>
      <c r="L284" s="33">
        <v>6.1487628432956392</v>
      </c>
      <c r="M284" s="90">
        <f t="shared" si="11"/>
        <v>2038</v>
      </c>
      <c r="N284" s="3"/>
      <c r="O284" s="3"/>
    </row>
    <row r="285" spans="8:15">
      <c r="H285" s="29">
        <v>50526</v>
      </c>
      <c r="I285" s="33">
        <v>6.2715251020408171</v>
      </c>
      <c r="J285" s="33">
        <v>6.1863000000000001</v>
      </c>
      <c r="K285" s="33">
        <v>6.4195377288313651</v>
      </c>
      <c r="L285" s="33">
        <v>6.1302854604200334</v>
      </c>
      <c r="M285" s="90">
        <f t="shared" si="11"/>
        <v>2038</v>
      </c>
      <c r="N285" s="3"/>
      <c r="O285" s="3"/>
    </row>
    <row r="286" spans="8:15">
      <c r="H286" s="29">
        <v>50557</v>
      </c>
      <c r="I286" s="33">
        <v>6.3103006122448981</v>
      </c>
      <c r="J286" s="33">
        <v>6.226</v>
      </c>
      <c r="K286" s="33">
        <v>6.5258444761350551</v>
      </c>
      <c r="L286" s="33">
        <v>6.2197442649434578</v>
      </c>
      <c r="M286" s="90">
        <f t="shared" si="11"/>
        <v>2038</v>
      </c>
      <c r="N286" s="3"/>
      <c r="O286" s="3"/>
    </row>
    <row r="287" spans="8:15">
      <c r="H287" s="29">
        <v>50587</v>
      </c>
      <c r="I287" s="33">
        <v>6.3138720408163271</v>
      </c>
      <c r="J287" s="33">
        <v>6.2374999999999998</v>
      </c>
      <c r="K287" s="33">
        <v>6.736386723839292</v>
      </c>
      <c r="L287" s="33">
        <v>5.9077491114701139</v>
      </c>
      <c r="M287" s="90">
        <f t="shared" si="11"/>
        <v>2038</v>
      </c>
      <c r="N287" s="3"/>
      <c r="O287" s="3"/>
    </row>
    <row r="288" spans="8:15">
      <c r="H288" s="29">
        <v>50618</v>
      </c>
      <c r="I288" s="33">
        <v>6.9674434693877556</v>
      </c>
      <c r="J288" s="33">
        <v>6.8795000000000002</v>
      </c>
      <c r="K288" s="33">
        <v>7.2508326734068307</v>
      </c>
      <c r="L288" s="33">
        <v>6.6196836833602601</v>
      </c>
      <c r="M288" s="90">
        <f t="shared" si="11"/>
        <v>2038</v>
      </c>
      <c r="N288" s="3"/>
      <c r="O288" s="3"/>
    </row>
    <row r="289" spans="8:15">
      <c r="H289" s="29">
        <v>50649</v>
      </c>
      <c r="I289" s="33">
        <v>7.0584638775510209</v>
      </c>
      <c r="J289" s="33">
        <v>6.9664999999999999</v>
      </c>
      <c r="K289" s="33">
        <v>7.3476116849560738</v>
      </c>
      <c r="L289" s="33">
        <v>6.7248936995153485</v>
      </c>
      <c r="M289" s="90">
        <f t="shared" si="11"/>
        <v>2038</v>
      </c>
      <c r="N289" s="3"/>
      <c r="O289" s="3"/>
    </row>
    <row r="290" spans="8:15">
      <c r="H290" s="29">
        <v>50679</v>
      </c>
      <c r="I290" s="33">
        <v>7.1648924489795922</v>
      </c>
      <c r="J290" s="33">
        <v>7.0696000000000003</v>
      </c>
      <c r="K290" s="33">
        <v>7.4070564710762063</v>
      </c>
      <c r="L290" s="33">
        <v>6.8983589660743148</v>
      </c>
      <c r="M290" s="90">
        <f t="shared" si="11"/>
        <v>2038</v>
      </c>
      <c r="N290" s="3"/>
      <c r="O290" s="3"/>
    </row>
    <row r="291" spans="8:15">
      <c r="H291" s="29">
        <v>50710</v>
      </c>
      <c r="I291" s="33">
        <v>7.7065251020408168</v>
      </c>
      <c r="J291" s="33">
        <v>7.6169000000000002</v>
      </c>
      <c r="K291" s="33">
        <v>8.0496608227755662</v>
      </c>
      <c r="L291" s="33">
        <v>6.8007216478190644</v>
      </c>
      <c r="M291" s="90">
        <f t="shared" si="11"/>
        <v>2038</v>
      </c>
      <c r="N291" s="3"/>
      <c r="O291" s="3"/>
    </row>
    <row r="292" spans="8:15">
      <c r="H292" s="29">
        <v>50740</v>
      </c>
      <c r="I292" s="33">
        <v>7.7641781632653064</v>
      </c>
      <c r="J292" s="33">
        <v>7.6882999999999999</v>
      </c>
      <c r="K292" s="33">
        <v>8.3108450572615915</v>
      </c>
      <c r="L292" s="33">
        <v>6.6356368336025859</v>
      </c>
      <c r="M292" s="90">
        <f t="shared" si="11"/>
        <v>2038</v>
      </c>
      <c r="N292" s="3"/>
      <c r="O292" s="3"/>
    </row>
    <row r="293" spans="8:15">
      <c r="H293" s="29">
        <v>50771</v>
      </c>
      <c r="I293" s="33">
        <v>8.2953006122448976</v>
      </c>
      <c r="J293" s="33">
        <v>8.2133000000000003</v>
      </c>
      <c r="K293" s="33">
        <v>8.759839604689887</v>
      </c>
      <c r="L293" s="33">
        <v>7.5978743134087257</v>
      </c>
      <c r="M293" s="90">
        <f t="shared" si="11"/>
        <v>2039</v>
      </c>
      <c r="N293" s="3"/>
      <c r="O293" s="3"/>
    </row>
    <row r="294" spans="8:15">
      <c r="H294" s="29">
        <v>50802</v>
      </c>
      <c r="I294" s="33">
        <v>8.2344842857142861</v>
      </c>
      <c r="J294" s="33">
        <v>8.1465999999999994</v>
      </c>
      <c r="K294" s="33">
        <v>8.5507990109904259</v>
      </c>
      <c r="L294" s="33">
        <v>7.8202087237479825</v>
      </c>
      <c r="M294" s="90">
        <f t="shared" si="11"/>
        <v>2039</v>
      </c>
      <c r="N294" s="3"/>
      <c r="O294" s="3"/>
    </row>
    <row r="295" spans="8:15">
      <c r="H295" s="29">
        <v>50830</v>
      </c>
      <c r="I295" s="33">
        <v>6.8217291836734706</v>
      </c>
      <c r="J295" s="33">
        <v>6.7392000000000003</v>
      </c>
      <c r="K295" s="33">
        <v>7.2696292390528319</v>
      </c>
      <c r="L295" s="33">
        <v>6.5567798061389349</v>
      </c>
      <c r="M295" s="90">
        <f t="shared" si="11"/>
        <v>2039</v>
      </c>
      <c r="N295" s="3"/>
      <c r="O295" s="3"/>
    </row>
    <row r="296" spans="8:15">
      <c r="H296" s="29">
        <v>50861</v>
      </c>
      <c r="I296" s="33">
        <v>6.6419332653061227</v>
      </c>
      <c r="J296" s="33">
        <v>6.5510000000000002</v>
      </c>
      <c r="K296" s="33">
        <v>6.7879089905549135</v>
      </c>
      <c r="L296" s="33">
        <v>6.5466828756058169</v>
      </c>
      <c r="M296" s="90">
        <f t="shared" si="11"/>
        <v>2039</v>
      </c>
      <c r="N296" s="3"/>
      <c r="O296" s="3"/>
    </row>
    <row r="297" spans="8:15">
      <c r="H297" s="29">
        <v>50891</v>
      </c>
      <c r="I297" s="33">
        <v>6.6053006122448981</v>
      </c>
      <c r="J297" s="33">
        <v>6.5134999999999996</v>
      </c>
      <c r="K297" s="33">
        <v>6.7662644604170961</v>
      </c>
      <c r="L297" s="33">
        <v>6.4605560581583212</v>
      </c>
      <c r="M297" s="90">
        <f t="shared" si="11"/>
        <v>2039</v>
      </c>
      <c r="N297" s="3"/>
      <c r="O297" s="3"/>
    </row>
    <row r="298" spans="8:15">
      <c r="H298" s="29">
        <v>50922</v>
      </c>
      <c r="I298" s="33">
        <v>6.5994842857142864</v>
      </c>
      <c r="J298" s="33">
        <v>6.5094000000000003</v>
      </c>
      <c r="K298" s="33">
        <v>6.8432630640413459</v>
      </c>
      <c r="L298" s="33">
        <v>6.5059922455573513</v>
      </c>
      <c r="M298" s="90">
        <f t="shared" si="11"/>
        <v>2039</v>
      </c>
      <c r="N298" s="3"/>
      <c r="O298" s="3"/>
    </row>
    <row r="299" spans="8:15">
      <c r="H299" s="29">
        <v>50952</v>
      </c>
      <c r="I299" s="33">
        <v>6.6379536734693882</v>
      </c>
      <c r="J299" s="33">
        <v>6.5551000000000004</v>
      </c>
      <c r="K299" s="33">
        <v>7.0084967857393847</v>
      </c>
      <c r="L299" s="33">
        <v>6.2284276252019399</v>
      </c>
      <c r="M299" s="90">
        <f t="shared" si="11"/>
        <v>2039</v>
      </c>
      <c r="N299" s="3"/>
      <c r="O299" s="3"/>
    </row>
    <row r="300" spans="8:15">
      <c r="H300" s="29">
        <v>50983</v>
      </c>
      <c r="I300" s="33">
        <v>7.2371373469387761</v>
      </c>
      <c r="J300" s="33">
        <v>7.1437999999999997</v>
      </c>
      <c r="K300" s="33">
        <v>7.5539078765088732</v>
      </c>
      <c r="L300" s="33">
        <v>6.8865455573505665</v>
      </c>
      <c r="M300" s="90">
        <f t="shared" si="11"/>
        <v>2039</v>
      </c>
      <c r="N300" s="3"/>
      <c r="O300" s="3"/>
    </row>
    <row r="301" spans="8:15">
      <c r="H301" s="29">
        <v>51014</v>
      </c>
      <c r="I301" s="33">
        <v>7.2286679591836736</v>
      </c>
      <c r="J301" s="33">
        <v>7.1334</v>
      </c>
      <c r="K301" s="33">
        <v>7.6152685660144117</v>
      </c>
      <c r="L301" s="33">
        <v>6.8933105008077558</v>
      </c>
      <c r="M301" s="90">
        <f t="shared" si="11"/>
        <v>2039</v>
      </c>
      <c r="N301" s="3"/>
      <c r="O301" s="3"/>
    </row>
    <row r="302" spans="8:15">
      <c r="H302" s="29">
        <v>51044</v>
      </c>
      <c r="I302" s="33">
        <v>7.5238720408163271</v>
      </c>
      <c r="J302" s="33">
        <v>7.4212999999999996</v>
      </c>
      <c r="K302" s="33">
        <v>7.735608011086879</v>
      </c>
      <c r="L302" s="33">
        <v>7.2535689822294032</v>
      </c>
      <c r="M302" s="90">
        <f t="shared" si="11"/>
        <v>2039</v>
      </c>
      <c r="N302" s="3"/>
      <c r="O302" s="3"/>
    </row>
    <row r="303" spans="8:15">
      <c r="H303" s="29">
        <v>51075</v>
      </c>
      <c r="I303" s="33">
        <v>8.1110148979591834</v>
      </c>
      <c r="J303" s="33">
        <v>8.0132999999999992</v>
      </c>
      <c r="K303" s="33">
        <v>8.3659402248851311</v>
      </c>
      <c r="L303" s="33">
        <v>7.2009639741518585</v>
      </c>
      <c r="M303" s="90">
        <f t="shared" si="11"/>
        <v>2039</v>
      </c>
      <c r="N303" s="3"/>
      <c r="O303" s="3"/>
    </row>
    <row r="304" spans="8:15">
      <c r="H304" s="29">
        <v>51105</v>
      </c>
      <c r="I304" s="33">
        <v>8.1815251020408173</v>
      </c>
      <c r="J304" s="33">
        <v>8.0973000000000006</v>
      </c>
      <c r="K304" s="33">
        <v>8.7248873131993907</v>
      </c>
      <c r="L304" s="33">
        <v>7.0486012924071089</v>
      </c>
      <c r="M304" s="90">
        <f t="shared" si="11"/>
        <v>2039</v>
      </c>
      <c r="N304" s="3"/>
      <c r="O304" s="3"/>
    </row>
    <row r="305" spans="8:15">
      <c r="H305" s="29">
        <v>51136</v>
      </c>
      <c r="I305" s="33">
        <v>8.4109128571428577</v>
      </c>
      <c r="J305" s="33">
        <v>8.3264999999999993</v>
      </c>
      <c r="K305" s="33">
        <v>8.8174202685971963</v>
      </c>
      <c r="L305" s="33">
        <v>7.7122725363489515</v>
      </c>
      <c r="M305" s="90">
        <f t="shared" si="10"/>
        <v>2040</v>
      </c>
      <c r="N305" s="3"/>
      <c r="O305" s="3"/>
    </row>
    <row r="306" spans="8:15">
      <c r="H306" s="29">
        <v>51167</v>
      </c>
      <c r="I306" s="33">
        <v>8.2441781632653051</v>
      </c>
      <c r="J306" s="33">
        <v>8.1562000000000001</v>
      </c>
      <c r="K306" s="33">
        <v>8.5080277624405731</v>
      </c>
      <c r="L306" s="33">
        <v>7.8298008077544434</v>
      </c>
      <c r="M306" s="90">
        <f t="shared" si="10"/>
        <v>2040</v>
      </c>
      <c r="N306" s="3"/>
      <c r="O306" s="3"/>
    </row>
    <row r="307" spans="8:15">
      <c r="H307" s="29">
        <v>51196</v>
      </c>
      <c r="I307" s="33">
        <v>7.1184638775510214</v>
      </c>
      <c r="J307" s="33">
        <v>7.03</v>
      </c>
      <c r="K307" s="33">
        <v>7.569390447109849</v>
      </c>
      <c r="L307" s="33">
        <v>6.8502975767366729</v>
      </c>
      <c r="M307" s="90">
        <f t="shared" si="10"/>
        <v>2040</v>
      </c>
      <c r="N307" s="3"/>
      <c r="O307" s="3"/>
    </row>
    <row r="308" spans="8:15">
      <c r="H308" s="29">
        <v>51227</v>
      </c>
      <c r="I308" s="33">
        <v>6.9355046938775518</v>
      </c>
      <c r="J308" s="33">
        <v>6.8387000000000002</v>
      </c>
      <c r="K308" s="33">
        <v>7.102479613969388</v>
      </c>
      <c r="L308" s="33">
        <v>6.8371715670436197</v>
      </c>
      <c r="M308" s="90">
        <f t="shared" si="10"/>
        <v>2040</v>
      </c>
      <c r="N308" s="3"/>
      <c r="O308" s="3"/>
    </row>
    <row r="309" spans="8:15">
      <c r="H309" s="29">
        <v>51257</v>
      </c>
      <c r="I309" s="33">
        <v>6.9320353061224491</v>
      </c>
      <c r="J309" s="33">
        <v>6.8337000000000003</v>
      </c>
      <c r="K309" s="33">
        <v>7.1029456445225936</v>
      </c>
      <c r="L309" s="33">
        <v>6.7838597738287572</v>
      </c>
      <c r="M309" s="90">
        <f t="shared" si="10"/>
        <v>2040</v>
      </c>
      <c r="N309" s="3"/>
      <c r="O309" s="3"/>
    </row>
    <row r="310" spans="8:15">
      <c r="H310" s="29">
        <v>51288</v>
      </c>
      <c r="I310" s="33">
        <v>6.9146883673469395</v>
      </c>
      <c r="J310" s="33">
        <v>6.8182999999999998</v>
      </c>
      <c r="K310" s="33">
        <v>7.2167606618501683</v>
      </c>
      <c r="L310" s="33">
        <v>6.8178864297253652</v>
      </c>
      <c r="M310" s="90">
        <f t="shared" si="10"/>
        <v>2040</v>
      </c>
      <c r="N310" s="3"/>
      <c r="O310" s="3"/>
    </row>
    <row r="311" spans="8:15">
      <c r="H311" s="29">
        <v>51318</v>
      </c>
      <c r="I311" s="33">
        <v>6.9551985714285722</v>
      </c>
      <c r="J311" s="33">
        <v>6.8658999999999999</v>
      </c>
      <c r="K311" s="33">
        <v>7.3779554520870825</v>
      </c>
      <c r="L311" s="33">
        <v>6.5423411954765767</v>
      </c>
      <c r="M311" s="90">
        <f t="shared" si="10"/>
        <v>2040</v>
      </c>
      <c r="N311" s="3"/>
      <c r="O311" s="3"/>
    </row>
    <row r="312" spans="8:15">
      <c r="H312" s="29">
        <v>51349</v>
      </c>
      <c r="I312" s="33">
        <v>7.6018312244897963</v>
      </c>
      <c r="J312" s="33">
        <v>7.5011999999999999</v>
      </c>
      <c r="K312" s="33">
        <v>8.024857641110458</v>
      </c>
      <c r="L312" s="33">
        <v>7.2474098546042018</v>
      </c>
      <c r="M312" s="90">
        <f t="shared" ref="M312:M328" si="12">YEAR(H312)</f>
        <v>2040</v>
      </c>
      <c r="N312" s="3"/>
      <c r="O312" s="3"/>
    </row>
    <row r="313" spans="8:15">
      <c r="H313" s="29">
        <v>51380</v>
      </c>
      <c r="I313" s="33">
        <v>7.7890761224489804</v>
      </c>
      <c r="J313" s="33">
        <v>7.6825000000000001</v>
      </c>
      <c r="K313" s="33">
        <v>8.1206010292081316</v>
      </c>
      <c r="L313" s="33">
        <v>7.4478339256865924</v>
      </c>
      <c r="M313" s="90">
        <f t="shared" si="12"/>
        <v>2040</v>
      </c>
      <c r="N313" s="3"/>
      <c r="O313" s="3"/>
    </row>
    <row r="314" spans="8:15">
      <c r="H314" s="29">
        <v>51410</v>
      </c>
      <c r="I314" s="33">
        <v>7.8840761224489802</v>
      </c>
      <c r="J314" s="33">
        <v>7.7744</v>
      </c>
      <c r="K314" s="33">
        <v>8.239956632001606</v>
      </c>
      <c r="L314" s="33">
        <v>7.6099906300484665</v>
      </c>
      <c r="M314" s="90">
        <f t="shared" si="12"/>
        <v>2040</v>
      </c>
      <c r="N314" s="3"/>
      <c r="O314" s="3"/>
    </row>
    <row r="315" spans="8:15">
      <c r="H315" s="29">
        <v>51441</v>
      </c>
      <c r="I315" s="33">
        <v>8.6265251020408158</v>
      </c>
      <c r="J315" s="33">
        <v>8.5184999999999995</v>
      </c>
      <c r="K315" s="33">
        <v>8.8911566583490007</v>
      </c>
      <c r="L315" s="33">
        <v>7.7110609046849774</v>
      </c>
      <c r="M315" s="90">
        <f t="shared" si="12"/>
        <v>2040</v>
      </c>
      <c r="N315" s="3"/>
      <c r="O315" s="3"/>
    </row>
    <row r="316" spans="8:15">
      <c r="H316" s="29">
        <v>51471</v>
      </c>
      <c r="I316" s="33">
        <v>8.7203006122448965</v>
      </c>
      <c r="J316" s="33">
        <v>8.6252999999999993</v>
      </c>
      <c r="K316" s="33">
        <v>9.3014706698611445</v>
      </c>
      <c r="L316" s="33">
        <v>7.5817192245557363</v>
      </c>
      <c r="M316" s="90">
        <f t="shared" si="12"/>
        <v>2040</v>
      </c>
      <c r="N316" s="3"/>
      <c r="O316" s="3"/>
    </row>
    <row r="317" spans="8:15">
      <c r="H317" s="29">
        <v>51502</v>
      </c>
      <c r="I317" s="33">
        <v>9.007545510204082</v>
      </c>
      <c r="J317" s="33">
        <v>8.9111999999999991</v>
      </c>
      <c r="K317" s="33">
        <v>9.5728040141725579</v>
      </c>
      <c r="L317" s="33">
        <v>8.3026400646203573</v>
      </c>
      <c r="M317" s="90">
        <f t="shared" si="12"/>
        <v>2041</v>
      </c>
      <c r="N317" s="3"/>
      <c r="O317" s="3"/>
    </row>
    <row r="318" spans="8:15">
      <c r="H318" s="29">
        <v>51533</v>
      </c>
      <c r="I318" s="33">
        <v>8.9172393877551031</v>
      </c>
      <c r="J318" s="33">
        <v>8.8156999999999996</v>
      </c>
      <c r="K318" s="33">
        <v>9.2264397507948779</v>
      </c>
      <c r="L318" s="33">
        <v>8.4957943457189042</v>
      </c>
      <c r="M318" s="90">
        <f t="shared" si="12"/>
        <v>2041</v>
      </c>
      <c r="N318" s="3"/>
      <c r="O318" s="3"/>
    </row>
    <row r="319" spans="8:15">
      <c r="H319" s="29">
        <v>51561</v>
      </c>
      <c r="I319" s="33">
        <v>7.5783618367346941</v>
      </c>
      <c r="J319" s="33">
        <v>7.4806999999999997</v>
      </c>
      <c r="K319" s="33">
        <v>8.0657647674474848</v>
      </c>
      <c r="L319" s="33">
        <v>7.3054672051696299</v>
      </c>
      <c r="M319" s="90">
        <f t="shared" si="12"/>
        <v>2041</v>
      </c>
      <c r="N319" s="3"/>
      <c r="O319" s="3"/>
    </row>
    <row r="320" spans="8:15">
      <c r="H320" s="29">
        <v>51592</v>
      </c>
      <c r="I320" s="33">
        <v>7.3349944897959185</v>
      </c>
      <c r="J320" s="33">
        <v>7.2302999999999997</v>
      </c>
      <c r="K320" s="33">
        <v>7.5104116915429211</v>
      </c>
      <c r="L320" s="33">
        <v>7.2324663974151866</v>
      </c>
      <c r="M320" s="90">
        <f t="shared" si="12"/>
        <v>2041</v>
      </c>
      <c r="N320" s="3"/>
      <c r="O320" s="3"/>
    </row>
    <row r="321" spans="8:15">
      <c r="H321" s="29">
        <v>51622</v>
      </c>
      <c r="I321" s="33">
        <v>7.2703006122448981</v>
      </c>
      <c r="J321" s="33">
        <v>7.1651999999999996</v>
      </c>
      <c r="K321" s="33">
        <v>7.4818802654521601</v>
      </c>
      <c r="L321" s="33">
        <v>7.1185730210016169</v>
      </c>
      <c r="M321" s="90">
        <f t="shared" si="12"/>
        <v>2041</v>
      </c>
      <c r="N321" s="3"/>
      <c r="O321" s="3"/>
    </row>
    <row r="322" spans="8:15">
      <c r="H322" s="29">
        <v>51653</v>
      </c>
      <c r="I322" s="33">
        <v>7.2656067346938782</v>
      </c>
      <c r="J322" s="33">
        <v>7.1622000000000003</v>
      </c>
      <c r="K322" s="33">
        <v>7.5905689466944626</v>
      </c>
      <c r="L322" s="33">
        <v>7.1651198707592902</v>
      </c>
      <c r="M322" s="90">
        <f t="shared" si="12"/>
        <v>2041</v>
      </c>
      <c r="N322" s="3"/>
      <c r="O322" s="3"/>
    </row>
    <row r="323" spans="8:15">
      <c r="H323" s="29">
        <v>51683</v>
      </c>
      <c r="I323" s="33">
        <v>7.4056067346938779</v>
      </c>
      <c r="J323" s="33">
        <v>7.3074000000000003</v>
      </c>
      <c r="K323" s="33">
        <v>7.8377204834117089</v>
      </c>
      <c r="L323" s="33">
        <v>6.9880197092084018</v>
      </c>
      <c r="M323" s="90">
        <f t="shared" si="12"/>
        <v>2041</v>
      </c>
      <c r="N323" s="3"/>
      <c r="O323" s="3"/>
    </row>
    <row r="324" spans="8:15">
      <c r="H324" s="29">
        <v>51714</v>
      </c>
      <c r="I324" s="33">
        <v>7.8992802040816326</v>
      </c>
      <c r="J324" s="33">
        <v>7.7927</v>
      </c>
      <c r="K324" s="33">
        <v>8.3675454412350643</v>
      </c>
      <c r="L324" s="33">
        <v>7.5417353796445896</v>
      </c>
      <c r="M324" s="90">
        <f t="shared" si="12"/>
        <v>2041</v>
      </c>
      <c r="N324" s="3"/>
      <c r="O324" s="3"/>
    </row>
    <row r="325" spans="8:15">
      <c r="H325" s="29">
        <v>51745</v>
      </c>
      <c r="I325" s="33">
        <v>8.104382244897959</v>
      </c>
      <c r="J325" s="33">
        <v>7.9916</v>
      </c>
      <c r="K325" s="33">
        <v>8.4341360291710323</v>
      </c>
      <c r="L325" s="33">
        <v>7.7598290791599371</v>
      </c>
      <c r="M325" s="90">
        <f t="shared" si="12"/>
        <v>2041</v>
      </c>
      <c r="N325" s="3"/>
      <c r="O325" s="3"/>
    </row>
    <row r="326" spans="8:15">
      <c r="H326" s="29">
        <v>51775</v>
      </c>
      <c r="I326" s="33">
        <v>8.2727495918367335</v>
      </c>
      <c r="J326" s="33">
        <v>8.1552000000000007</v>
      </c>
      <c r="K326" s="33">
        <v>8.5306043536848062</v>
      </c>
      <c r="L326" s="33">
        <v>7.9945827140549293</v>
      </c>
      <c r="M326" s="90">
        <f t="shared" si="12"/>
        <v>2041</v>
      </c>
      <c r="N326" s="3"/>
      <c r="O326" s="3"/>
    </row>
    <row r="327" spans="8:15">
      <c r="H327" s="29">
        <v>51806</v>
      </c>
      <c r="I327" s="33">
        <v>8.8869332653061228</v>
      </c>
      <c r="J327" s="33">
        <v>8.7736999999999998</v>
      </c>
      <c r="K327" s="33">
        <v>9.1606258804475864</v>
      </c>
      <c r="L327" s="33">
        <v>7.9687345718901472</v>
      </c>
      <c r="M327" s="90">
        <f t="shared" si="12"/>
        <v>2041</v>
      </c>
      <c r="N327" s="3"/>
      <c r="O327" s="3"/>
    </row>
    <row r="328" spans="8:15">
      <c r="H328" s="29">
        <v>51836</v>
      </c>
      <c r="I328" s="33">
        <v>9.0062189795918357</v>
      </c>
      <c r="J328" s="33">
        <v>8.9055</v>
      </c>
      <c r="K328" s="33">
        <v>9.5743574493499146</v>
      </c>
      <c r="L328" s="33">
        <v>7.8646352180937011</v>
      </c>
      <c r="M328" s="90">
        <f t="shared" si="12"/>
        <v>2041</v>
      </c>
      <c r="N328" s="3"/>
      <c r="O328" s="3"/>
    </row>
    <row r="329" spans="8:15">
      <c r="H329" s="29">
        <v>51867</v>
      </c>
      <c r="I329" s="33">
        <v>9.2979536734693866</v>
      </c>
      <c r="J329" s="33">
        <v>9.1959</v>
      </c>
      <c r="K329" s="33">
        <v>9.7706598745950615</v>
      </c>
      <c r="L329" s="33">
        <v>8.5899987075928923</v>
      </c>
      <c r="M329" s="90">
        <f t="shared" ref="M329:M340" si="13">YEAR(H329)</f>
        <v>2042</v>
      </c>
    </row>
    <row r="330" spans="8:15">
      <c r="H330" s="29">
        <v>51898</v>
      </c>
      <c r="I330" s="33">
        <v>9.3434638775510201</v>
      </c>
      <c r="J330" s="33">
        <v>9.2333999999999996</v>
      </c>
      <c r="K330" s="33">
        <v>9.6666832800574056</v>
      </c>
      <c r="L330" s="33">
        <v>8.9175431340872393</v>
      </c>
      <c r="M330" s="90">
        <f t="shared" si="13"/>
        <v>2042</v>
      </c>
    </row>
    <row r="331" spans="8:15">
      <c r="H331" s="29">
        <v>51926</v>
      </c>
      <c r="I331" s="33">
        <v>7.8866271428571437</v>
      </c>
      <c r="J331" s="33">
        <v>7.7827999999999999</v>
      </c>
      <c r="K331" s="33">
        <v>8.3775392075427177</v>
      </c>
      <c r="L331" s="33">
        <v>7.6103945072697909</v>
      </c>
      <c r="M331" s="90">
        <f t="shared" si="13"/>
        <v>2042</v>
      </c>
    </row>
    <row r="332" spans="8:15">
      <c r="H332" s="29">
        <v>51957</v>
      </c>
      <c r="I332" s="33">
        <v>7.7131577551020412</v>
      </c>
      <c r="J332" s="33">
        <v>7.6009000000000002</v>
      </c>
      <c r="K332" s="33">
        <v>7.8990293917446683</v>
      </c>
      <c r="L332" s="33">
        <v>7.6066586429725378</v>
      </c>
      <c r="M332" s="90">
        <f t="shared" si="13"/>
        <v>2042</v>
      </c>
    </row>
    <row r="333" spans="8:15">
      <c r="H333" s="29">
        <v>51987</v>
      </c>
      <c r="I333" s="33">
        <v>7.7082597959183676</v>
      </c>
      <c r="J333" s="33">
        <v>7.5944000000000003</v>
      </c>
      <c r="K333" s="33">
        <v>7.9142530564827522</v>
      </c>
      <c r="L333" s="33">
        <v>7.5519332794830385</v>
      </c>
      <c r="M333" s="90">
        <f t="shared" si="13"/>
        <v>2042</v>
      </c>
    </row>
    <row r="334" spans="8:15">
      <c r="H334" s="29">
        <v>52018</v>
      </c>
      <c r="I334" s="33">
        <v>7.6736679591836738</v>
      </c>
      <c r="J334" s="33">
        <v>7.5620000000000003</v>
      </c>
      <c r="K334" s="33">
        <v>8.0161066229446902</v>
      </c>
      <c r="L334" s="33">
        <v>7.5687951534733449</v>
      </c>
      <c r="M334" s="90">
        <f t="shared" si="13"/>
        <v>2042</v>
      </c>
    </row>
    <row r="335" spans="8:15">
      <c r="H335" s="29">
        <v>52048</v>
      </c>
      <c r="I335" s="33">
        <v>7.8623414285714288</v>
      </c>
      <c r="J335" s="33">
        <v>7.7549999999999999</v>
      </c>
      <c r="K335" s="33">
        <v>8.3384962034185186</v>
      </c>
      <c r="L335" s="33">
        <v>7.4400592891760917</v>
      </c>
      <c r="M335" s="90">
        <f t="shared" si="13"/>
        <v>2042</v>
      </c>
    </row>
    <row r="336" spans="8:15">
      <c r="H336" s="29">
        <v>52079</v>
      </c>
      <c r="I336" s="33">
        <v>8.3606067346938779</v>
      </c>
      <c r="J336" s="33">
        <v>8.2447999999999997</v>
      </c>
      <c r="K336" s="33">
        <v>8.8185076732213439</v>
      </c>
      <c r="L336" s="33">
        <v>7.9982176090468506</v>
      </c>
      <c r="M336" s="90">
        <f t="shared" si="13"/>
        <v>2042</v>
      </c>
    </row>
    <row r="337" spans="8:13">
      <c r="H337" s="29">
        <v>52110</v>
      </c>
      <c r="I337" s="33">
        <v>8.5795863265306114</v>
      </c>
      <c r="J337" s="33">
        <v>8.4572000000000003</v>
      </c>
      <c r="K337" s="33">
        <v>8.9422128945114139</v>
      </c>
      <c r="L337" s="33">
        <v>8.2300431340872375</v>
      </c>
      <c r="M337" s="90">
        <f t="shared" si="13"/>
        <v>2042</v>
      </c>
    </row>
    <row r="338" spans="8:13">
      <c r="H338" s="29">
        <v>52140</v>
      </c>
      <c r="I338" s="33">
        <v>8.7231577551020401</v>
      </c>
      <c r="J338" s="33">
        <v>8.5967000000000002</v>
      </c>
      <c r="K338" s="33">
        <v>9.0096837623812185</v>
      </c>
      <c r="L338" s="33">
        <v>8.4402612277867526</v>
      </c>
      <c r="M338" s="90">
        <f t="shared" si="13"/>
        <v>2042</v>
      </c>
    </row>
    <row r="339" spans="8:13">
      <c r="H339" s="29">
        <v>52171</v>
      </c>
      <c r="I339" s="33">
        <v>9.3796883673469384</v>
      </c>
      <c r="J339" s="33">
        <v>9.2566000000000006</v>
      </c>
      <c r="K339" s="33">
        <v>9.6784376062327269</v>
      </c>
      <c r="L339" s="33">
        <v>8.4563153473344119</v>
      </c>
      <c r="M339" s="90">
        <f t="shared" si="13"/>
        <v>2042</v>
      </c>
    </row>
    <row r="340" spans="8:13">
      <c r="H340" s="29">
        <v>52201</v>
      </c>
      <c r="I340" s="33">
        <v>9.5063210204081621</v>
      </c>
      <c r="J340" s="33">
        <v>9.3956</v>
      </c>
      <c r="K340" s="33">
        <v>10.001862810158126</v>
      </c>
      <c r="L340" s="33">
        <v>8.3594857835218122</v>
      </c>
      <c r="M340" s="90">
        <f t="shared" si="13"/>
        <v>2042</v>
      </c>
    </row>
    <row r="341" spans="8:13">
      <c r="H341" s="29">
        <v>0</v>
      </c>
      <c r="I341" s="33" t="e">
        <v>#N/A</v>
      </c>
      <c r="J341" s="33" t="e">
        <v>#N/A</v>
      </c>
      <c r="K341" s="33" t="e">
        <v>#N/A</v>
      </c>
      <c r="L341" s="33" t="e">
        <v>#N/A</v>
      </c>
      <c r="M341" s="90">
        <f t="shared" ref="M341:M343" si="14">YEAR(H341)</f>
        <v>1900</v>
      </c>
    </row>
    <row r="342" spans="8:13">
      <c r="H342" s="29">
        <v>0</v>
      </c>
      <c r="I342" s="33" t="e">
        <v>#N/A</v>
      </c>
      <c r="J342" s="33" t="e">
        <v>#N/A</v>
      </c>
      <c r="K342" s="33" t="e">
        <v>#N/A</v>
      </c>
      <c r="L342" s="33" t="e">
        <v>#N/A</v>
      </c>
      <c r="M342" s="90">
        <f t="shared" si="14"/>
        <v>1900</v>
      </c>
    </row>
    <row r="343" spans="8:13">
      <c r="H343" s="29">
        <v>0</v>
      </c>
      <c r="I343" s="33" t="e">
        <v>#N/A</v>
      </c>
      <c r="J343" s="33" t="e">
        <v>#N/A</v>
      </c>
      <c r="K343" s="33" t="e">
        <v>#N/A</v>
      </c>
      <c r="L343" s="33" t="e">
        <v>#N/A</v>
      </c>
      <c r="M343" s="90">
        <f t="shared" si="14"/>
        <v>1900</v>
      </c>
    </row>
    <row r="344" spans="8:13">
      <c r="H344" s="29"/>
      <c r="I344" s="33"/>
      <c r="J344" s="33"/>
      <c r="M344" s="90"/>
    </row>
    <row r="345" spans="8:13">
      <c r="H345" s="29"/>
      <c r="I345" s="33"/>
      <c r="J345" s="33"/>
      <c r="M345" s="90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209B3-C9A1-4F62-8A61-8330DE247CEE}">
  <sheetPr>
    <tabColor rgb="FFFFC000"/>
    <pageSetUpPr fitToPage="1"/>
  </sheetPr>
  <dimension ref="B1:AC91"/>
  <sheetViews>
    <sheetView topLeftCell="A43" zoomScale="70" zoomScaleNormal="70" workbookViewId="0">
      <selection activeCell="R76" sqref="R76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PV_.PX.BDG._.PTC.Jim Bridger.PV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30%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PV_.PX.BDG._.PTC.Jim Bridger.PV - 30%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>
        <f t="shared" ref="L13:L37" si="1">(D13+E13+F13)</f>
        <v>0</v>
      </c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>
        <f t="shared" si="1"/>
        <v>0</v>
      </c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>
        <f t="shared" si="1"/>
        <v>0</v>
      </c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>
        <f t="shared" si="1"/>
        <v>0</v>
      </c>
      <c r="R16" s="274">
        <v>1187.3080726195624</v>
      </c>
      <c r="S16" s="284">
        <f>T16-R16</f>
        <v>5.8919273804376644</v>
      </c>
      <c r="T16" s="113">
        <v>1193.2</v>
      </c>
      <c r="X16" s="277">
        <v>21.158014243080867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>
        <f t="shared" si="1"/>
        <v>0</v>
      </c>
      <c r="R17" s="277"/>
      <c r="S17" s="277"/>
      <c r="T17" s="102">
        <f>T16*IRP_PTC_ESC!$Q3</f>
        <v>1604.49604</v>
      </c>
      <c r="X17" s="277">
        <f t="shared" ref="X17:X26" si="2">X16*(1+IRP23_Infl_Rate)</f>
        <v>21.638301166494205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>
        <f t="shared" si="1"/>
        <v>0</v>
      </c>
      <c r="Q18" s="263"/>
      <c r="R18" s="277"/>
      <c r="S18" s="277"/>
      <c r="T18" s="102">
        <f>T17*IRP_PTC_ESC!$Q4</f>
        <v>1604.49604</v>
      </c>
      <c r="X18" s="277">
        <f t="shared" si="2"/>
        <v>22.12949060307119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>
        <f t="shared" si="1"/>
        <v>0</v>
      </c>
      <c r="P19" s="129">
        <f>Q19-I19</f>
        <v>0</v>
      </c>
      <c r="Q19" s="112">
        <v>0</v>
      </c>
      <c r="R19" s="277"/>
      <c r="S19" s="277"/>
      <c r="T19" s="102">
        <f>T18*IRP_PTC_ESC!$Q5</f>
        <v>1604.49604</v>
      </c>
      <c r="U19" s="284"/>
      <c r="X19" s="277">
        <f t="shared" si="2"/>
        <v>22.631830039860688</v>
      </c>
      <c r="Y19" s="284"/>
    </row>
    <row r="20" spans="2:29">
      <c r="B20" s="109">
        <f t="shared" si="0"/>
        <v>2026</v>
      </c>
      <c r="C20" s="113"/>
      <c r="D20" s="111"/>
      <c r="E20" s="111"/>
      <c r="F20" s="165"/>
      <c r="G20" s="112"/>
      <c r="H20" s="111"/>
      <c r="I20" s="111"/>
      <c r="J20" s="112"/>
      <c r="K20" s="112"/>
      <c r="L20" s="111">
        <f t="shared" si="1"/>
        <v>0</v>
      </c>
      <c r="P20" s="129">
        <f t="shared" ref="P20:P36" si="3">Q20-I20</f>
        <v>0</v>
      </c>
      <c r="Q20" s="112">
        <v>0</v>
      </c>
      <c r="T20" s="102">
        <f>T19*IRP_PTC_ESC!$Q6</f>
        <v>1604.49604</v>
      </c>
      <c r="U20" s="284"/>
      <c r="W20" s="129"/>
      <c r="X20" s="277">
        <f t="shared" si="2"/>
        <v>23.145572581867572</v>
      </c>
      <c r="Y20" s="284"/>
    </row>
    <row r="21" spans="2:29">
      <c r="B21" s="109">
        <f t="shared" si="0"/>
        <v>2027</v>
      </c>
      <c r="C21" s="113"/>
      <c r="D21" s="111"/>
      <c r="E21" s="111"/>
      <c r="F21" s="111"/>
      <c r="G21" s="112"/>
      <c r="H21" s="111"/>
      <c r="I21" s="111"/>
      <c r="J21" s="112"/>
      <c r="K21" s="112"/>
      <c r="L21" s="111">
        <f t="shared" si="1"/>
        <v>0</v>
      </c>
      <c r="P21" s="129">
        <f t="shared" si="3"/>
        <v>0</v>
      </c>
      <c r="Q21" s="112">
        <v>0</v>
      </c>
      <c r="T21" s="102">
        <f>T20*IRP_PTC_ESC!$Q7</f>
        <v>1604.49604</v>
      </c>
      <c r="U21" s="284"/>
      <c r="V21" s="129"/>
      <c r="W21" s="129"/>
      <c r="X21" s="277">
        <f t="shared" si="2"/>
        <v>23.670977079580329</v>
      </c>
      <c r="Y21" s="284"/>
    </row>
    <row r="22" spans="2:29">
      <c r="B22" s="109">
        <f t="shared" si="0"/>
        <v>2028</v>
      </c>
      <c r="C22" s="113"/>
      <c r="D22" s="111"/>
      <c r="E22" s="111"/>
      <c r="F22" s="416">
        <f>C60</f>
        <v>39.576129741307163</v>
      </c>
      <c r="G22" s="112"/>
      <c r="H22" s="111"/>
      <c r="I22" s="111"/>
      <c r="J22" s="112"/>
      <c r="K22" s="112"/>
      <c r="L22" s="111">
        <f t="shared" si="1"/>
        <v>39.576129741307163</v>
      </c>
      <c r="P22" s="129">
        <f t="shared" si="3"/>
        <v>0</v>
      </c>
      <c r="Q22" s="112">
        <v>0</v>
      </c>
      <c r="T22" s="102">
        <f>T21*IRP_PTC_ESC!$Q8</f>
        <v>1604.49604</v>
      </c>
      <c r="U22" s="284"/>
      <c r="V22" s="129"/>
      <c r="W22" s="129"/>
      <c r="X22" s="277">
        <f t="shared" si="2"/>
        <v>24.208308259393533</v>
      </c>
      <c r="Y22" s="284"/>
      <c r="AA22" s="129"/>
    </row>
    <row r="23" spans="2:29">
      <c r="B23" s="109">
        <f t="shared" si="0"/>
        <v>2029</v>
      </c>
      <c r="C23" s="113"/>
      <c r="D23" s="111"/>
      <c r="E23" s="111"/>
      <c r="F23" s="261">
        <f>ROUND(F22*(1+IRP23_Infl_Rate),2)+C61</f>
        <v>42.961491987345603</v>
      </c>
      <c r="G23" s="112"/>
      <c r="H23" s="111"/>
      <c r="I23" s="111"/>
      <c r="J23" s="112"/>
      <c r="K23" s="112"/>
      <c r="L23" s="111">
        <f t="shared" si="1"/>
        <v>42.961491987345603</v>
      </c>
      <c r="P23" s="129">
        <f t="shared" si="3"/>
        <v>0</v>
      </c>
      <c r="Q23" s="112">
        <v>0</v>
      </c>
      <c r="T23" s="102">
        <f>T22*IRP_PTC_ESC!$Q9</f>
        <v>1522.6667419600001</v>
      </c>
      <c r="U23" s="284"/>
      <c r="V23" s="129"/>
      <c r="W23" s="129"/>
      <c r="X23" s="277">
        <f t="shared" si="2"/>
        <v>24.75783685699092</v>
      </c>
      <c r="Y23" s="284"/>
      <c r="Z23" s="129"/>
      <c r="AA23" s="129"/>
    </row>
    <row r="24" spans="2:29">
      <c r="B24" s="109">
        <f t="shared" si="0"/>
        <v>2030</v>
      </c>
      <c r="C24" s="113"/>
      <c r="D24" s="111"/>
      <c r="E24" s="111"/>
      <c r="F24" s="111">
        <f t="shared" ref="F24:F37" si="4">ROUND(F23*(1+IRP23_Infl_Rate),2)</f>
        <v>43.94</v>
      </c>
      <c r="G24" s="112"/>
      <c r="H24" s="111"/>
      <c r="I24" s="111"/>
      <c r="J24" s="112"/>
      <c r="K24" s="112"/>
      <c r="L24" s="111">
        <f t="shared" si="1"/>
        <v>43.94</v>
      </c>
      <c r="P24" s="129">
        <f t="shared" si="3"/>
        <v>0</v>
      </c>
      <c r="Q24" s="112">
        <v>0</v>
      </c>
      <c r="T24" s="102">
        <f>T23*IRP_PTC_ESC!$Q10</f>
        <v>1440.4427381328001</v>
      </c>
      <c r="U24" s="284"/>
      <c r="V24" s="129"/>
      <c r="W24" s="129"/>
      <c r="X24" s="277">
        <f t="shared" si="2"/>
        <v>25.319839753756249</v>
      </c>
      <c r="Y24" s="284"/>
      <c r="Z24" s="129"/>
      <c r="AA24" s="129"/>
    </row>
    <row r="25" spans="2:29">
      <c r="B25" s="109">
        <f t="shared" si="0"/>
        <v>2031</v>
      </c>
      <c r="C25" s="113"/>
      <c r="D25" s="111"/>
      <c r="E25" s="111"/>
      <c r="F25" s="111">
        <f t="shared" si="4"/>
        <v>44.94</v>
      </c>
      <c r="G25" s="112"/>
      <c r="H25" s="111"/>
      <c r="I25" s="111"/>
      <c r="J25" s="112"/>
      <c r="K25" s="112"/>
      <c r="L25" s="111">
        <f t="shared" si="1"/>
        <v>44.94</v>
      </c>
      <c r="P25" s="129">
        <f t="shared" si="3"/>
        <v>0</v>
      </c>
      <c r="Q25" s="112">
        <v>0</v>
      </c>
      <c r="T25" s="102">
        <f>T24*IRP_PTC_ESC!$Q11</f>
        <v>1358.3375018539998</v>
      </c>
      <c r="U25" s="284"/>
      <c r="V25" s="129"/>
      <c r="W25" s="129"/>
      <c r="X25" s="277">
        <f t="shared" si="2"/>
        <v>25.894600116280682</v>
      </c>
      <c r="Y25" s="284"/>
      <c r="Z25" s="129"/>
      <c r="AA25" s="129"/>
    </row>
    <row r="26" spans="2:29">
      <c r="B26" s="109">
        <f t="shared" si="0"/>
        <v>2032</v>
      </c>
      <c r="C26" s="274">
        <f>IRP_LTReport!$R$14</f>
        <v>1276.8372860431675</v>
      </c>
      <c r="D26" s="111">
        <f>C26*$C$62</f>
        <v>64.556893182342549</v>
      </c>
      <c r="E26" s="281">
        <f>IRP_LTReport!$L$14</f>
        <v>26.552332685091301</v>
      </c>
      <c r="F26" s="111">
        <f t="shared" si="4"/>
        <v>45.96</v>
      </c>
      <c r="G26" s="112">
        <f t="shared" ref="G26:G37" si="5">(D26+E26+F26)/(8.76*$C$63)</f>
        <v>52.618703317371654</v>
      </c>
      <c r="H26" s="111"/>
      <c r="I26" s="111">
        <v>-41.11</v>
      </c>
      <c r="J26" s="112">
        <f t="shared" ref="J26:J37" si="6">(G26+H26+I26)</f>
        <v>11.508703317371655</v>
      </c>
      <c r="K26" s="112">
        <f t="shared" ref="K26:K37" si="7">ROUND(J26*$C$63*8.76,2)</f>
        <v>29.98</v>
      </c>
      <c r="L26" s="111">
        <f t="shared" si="1"/>
        <v>137.06922586743386</v>
      </c>
      <c r="P26" s="129">
        <f t="shared" si="3"/>
        <v>-6.1035217413518694E-7</v>
      </c>
      <c r="Q26" s="112">
        <v>-41.110000610352174</v>
      </c>
      <c r="T26" s="102">
        <f>T25*IRP_PTC_ESC!$Q12</f>
        <v>1276.8372513847999</v>
      </c>
      <c r="U26" s="284">
        <f t="shared" ref="U26" si="8">T26-C26</f>
        <v>-3.4658367667361745E-5</v>
      </c>
      <c r="V26" s="129"/>
      <c r="W26" s="129"/>
      <c r="X26" s="277">
        <f t="shared" si="2"/>
        <v>26.482407539037013</v>
      </c>
      <c r="Y26" s="284">
        <f t="shared" ref="Y26" si="9">X26-E26</f>
        <v>-6.9925146054288234E-2</v>
      </c>
      <c r="Z26" s="129"/>
      <c r="AA26" s="129"/>
    </row>
    <row r="27" spans="2:29">
      <c r="B27" s="109">
        <f t="shared" si="0"/>
        <v>2033</v>
      </c>
      <c r="C27" s="113"/>
      <c r="D27" s="111">
        <f t="shared" ref="D27:E37" si="10">ROUND(D26*(1+IRP23_Infl_Rate),2)</f>
        <v>66.02</v>
      </c>
      <c r="E27" s="111">
        <f t="shared" si="10"/>
        <v>27.16</v>
      </c>
      <c r="F27" s="111">
        <f t="shared" si="4"/>
        <v>47</v>
      </c>
      <c r="G27" s="112">
        <f t="shared" si="5"/>
        <v>53.812880202321452</v>
      </c>
      <c r="H27" s="111"/>
      <c r="I27" s="111">
        <v>-42.43</v>
      </c>
      <c r="J27" s="112">
        <f t="shared" si="6"/>
        <v>11.382880202321452</v>
      </c>
      <c r="K27" s="112">
        <f t="shared" si="7"/>
        <v>29.65</v>
      </c>
      <c r="L27" s="111">
        <f t="shared" si="1"/>
        <v>140.18</v>
      </c>
      <c r="P27" s="129">
        <f t="shared" si="3"/>
        <v>-3.0517610838387554E-7</v>
      </c>
      <c r="Q27" s="112">
        <v>-42.430000305176108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10"/>
        <v>67.52</v>
      </c>
      <c r="E28" s="111">
        <f t="shared" si="10"/>
        <v>27.78</v>
      </c>
      <c r="F28" s="111">
        <f t="shared" si="4"/>
        <v>48.07</v>
      </c>
      <c r="G28" s="112">
        <f t="shared" si="5"/>
        <v>55.037470642080372</v>
      </c>
      <c r="H28" s="111"/>
      <c r="I28" s="111">
        <v>-43.76</v>
      </c>
      <c r="J28" s="112">
        <f t="shared" si="6"/>
        <v>11.277470642080374</v>
      </c>
      <c r="K28" s="112">
        <f t="shared" si="7"/>
        <v>29.38</v>
      </c>
      <c r="L28" s="111">
        <f t="shared" si="1"/>
        <v>143.37</v>
      </c>
      <c r="P28" s="129">
        <f t="shared" si="3"/>
        <v>-5.2580162446247414E-13</v>
      </c>
      <c r="Q28" s="112">
        <v>-43.760000000000524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10"/>
        <v>69.05</v>
      </c>
      <c r="E29" s="111">
        <f t="shared" si="10"/>
        <v>28.41</v>
      </c>
      <c r="F29" s="111">
        <f t="shared" si="4"/>
        <v>49.16</v>
      </c>
      <c r="G29" s="112">
        <f t="shared" si="5"/>
        <v>56.285094130862973</v>
      </c>
      <c r="H29" s="111"/>
      <c r="I29" s="111">
        <v>-43.76</v>
      </c>
      <c r="J29" s="112">
        <f t="shared" si="6"/>
        <v>12.525094130862975</v>
      </c>
      <c r="K29" s="112">
        <f t="shared" si="7"/>
        <v>32.630000000000003</v>
      </c>
      <c r="L29" s="111">
        <f t="shared" si="1"/>
        <v>146.62</v>
      </c>
      <c r="P29" s="129">
        <f t="shared" si="3"/>
        <v>1.6784663330327021E-6</v>
      </c>
      <c r="Q29" s="112">
        <v>-43.759998321533665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10"/>
        <v>70.62</v>
      </c>
      <c r="E30" s="111">
        <f t="shared" si="10"/>
        <v>29.05</v>
      </c>
      <c r="F30" s="111">
        <f t="shared" si="4"/>
        <v>50.28</v>
      </c>
      <c r="G30" s="112">
        <f t="shared" si="5"/>
        <v>57.563428351677139</v>
      </c>
      <c r="H30" s="111"/>
      <c r="I30" s="111">
        <v>-45.09</v>
      </c>
      <c r="J30" s="112">
        <f t="shared" si="6"/>
        <v>12.473428351677136</v>
      </c>
      <c r="K30" s="112">
        <f t="shared" si="7"/>
        <v>32.49</v>
      </c>
      <c r="L30" s="111">
        <f t="shared" si="1"/>
        <v>149.94999999999999</v>
      </c>
      <c r="P30" s="129">
        <f t="shared" si="3"/>
        <v>9.9981689448540578E-3</v>
      </c>
      <c r="Q30" s="112">
        <v>-45.080001831055149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10"/>
        <v>72.22</v>
      </c>
      <c r="E31" s="111">
        <f t="shared" si="10"/>
        <v>29.71</v>
      </c>
      <c r="F31" s="111">
        <f t="shared" si="4"/>
        <v>51.42</v>
      </c>
      <c r="G31" s="112">
        <f t="shared" si="5"/>
        <v>58.86863446301895</v>
      </c>
      <c r="H31" s="111"/>
      <c r="I31" s="111">
        <v>-46.41</v>
      </c>
      <c r="J31" s="112">
        <f t="shared" si="6"/>
        <v>12.458634463018953</v>
      </c>
      <c r="K31" s="112">
        <f t="shared" si="7"/>
        <v>32.450000000000003</v>
      </c>
      <c r="L31" s="111">
        <f t="shared" si="1"/>
        <v>153.35000000000002</v>
      </c>
      <c r="P31" s="129">
        <f t="shared" si="3"/>
        <v>-5.3290705182007514E-13</v>
      </c>
      <c r="Q31" s="112">
        <v>-46.410000000000529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10"/>
        <v>73.86</v>
      </c>
      <c r="E32" s="111">
        <f t="shared" si="10"/>
        <v>30.38</v>
      </c>
      <c r="F32" s="111">
        <f t="shared" si="4"/>
        <v>52.59</v>
      </c>
      <c r="G32" s="112">
        <f t="shared" si="5"/>
        <v>60.204551306392297</v>
      </c>
      <c r="H32" s="111"/>
      <c r="I32" s="111">
        <v>-46.41</v>
      </c>
      <c r="J32" s="112">
        <f t="shared" si="6"/>
        <v>13.7945513063923</v>
      </c>
      <c r="K32" s="112">
        <f t="shared" si="7"/>
        <v>35.93</v>
      </c>
      <c r="L32" s="111">
        <f t="shared" si="1"/>
        <v>156.82999999999998</v>
      </c>
      <c r="P32" s="129">
        <f t="shared" si="3"/>
        <v>1.5258738272905248E-7</v>
      </c>
      <c r="Q32" s="112">
        <v>-46.409999847412614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10"/>
        <v>75.540000000000006</v>
      </c>
      <c r="E33" s="111">
        <f t="shared" si="10"/>
        <v>31.07</v>
      </c>
      <c r="F33" s="111">
        <f t="shared" si="4"/>
        <v>53.78</v>
      </c>
      <c r="G33" s="112">
        <f t="shared" si="5"/>
        <v>61.571178881797252</v>
      </c>
      <c r="H33" s="111"/>
      <c r="I33" s="111">
        <v>-47.74</v>
      </c>
      <c r="J33" s="112">
        <f t="shared" si="6"/>
        <v>13.83117888179725</v>
      </c>
      <c r="K33" s="112">
        <f t="shared" si="7"/>
        <v>36.03</v>
      </c>
      <c r="L33" s="111">
        <f t="shared" si="1"/>
        <v>160.39000000000001</v>
      </c>
      <c r="P33" s="129">
        <f t="shared" si="3"/>
        <v>-1.6784673633196689E-6</v>
      </c>
      <c r="Q33" s="112">
        <v>-47.740001678467365</v>
      </c>
    </row>
    <row r="34" spans="2:17">
      <c r="B34" s="109">
        <f t="shared" si="0"/>
        <v>2040</v>
      </c>
      <c r="C34" s="113"/>
      <c r="D34" s="111">
        <f t="shared" si="10"/>
        <v>77.25</v>
      </c>
      <c r="E34" s="111">
        <f t="shared" si="10"/>
        <v>31.78</v>
      </c>
      <c r="F34" s="111">
        <f t="shared" si="4"/>
        <v>55</v>
      </c>
      <c r="G34" s="112">
        <f t="shared" si="5"/>
        <v>62.968517189233758</v>
      </c>
      <c r="H34" s="111"/>
      <c r="I34" s="111">
        <v>-49.06</v>
      </c>
      <c r="J34" s="112">
        <f t="shared" si="6"/>
        <v>13.908517189233756</v>
      </c>
      <c r="K34" s="112">
        <f t="shared" si="7"/>
        <v>36.229999999999997</v>
      </c>
      <c r="L34" s="111">
        <f t="shared" si="1"/>
        <v>164.03</v>
      </c>
      <c r="P34" s="129">
        <f t="shared" si="3"/>
        <v>-1.3732914609931868E-6</v>
      </c>
      <c r="Q34" s="112">
        <v>-49.060001373291463</v>
      </c>
    </row>
    <row r="35" spans="2:17">
      <c r="B35" s="109">
        <f t="shared" si="0"/>
        <v>2041</v>
      </c>
      <c r="C35" s="113"/>
      <c r="D35" s="111">
        <f t="shared" si="10"/>
        <v>79</v>
      </c>
      <c r="E35" s="111">
        <f t="shared" si="10"/>
        <v>32.5</v>
      </c>
      <c r="F35" s="111">
        <f t="shared" si="4"/>
        <v>56.25</v>
      </c>
      <c r="G35" s="112">
        <f t="shared" si="5"/>
        <v>64.396566228701843</v>
      </c>
      <c r="H35" s="111"/>
      <c r="I35" s="111">
        <v>-50.39</v>
      </c>
      <c r="J35" s="112">
        <f t="shared" si="6"/>
        <v>14.006566228701843</v>
      </c>
      <c r="K35" s="112">
        <f t="shared" si="7"/>
        <v>36.49</v>
      </c>
      <c r="L35" s="111">
        <f t="shared" si="1"/>
        <v>167.75</v>
      </c>
      <c r="P35" s="129">
        <f t="shared" si="3"/>
        <v>-5.2580162446247414E-13</v>
      </c>
      <c r="Q35" s="112">
        <v>-50.390000000000526</v>
      </c>
    </row>
    <row r="36" spans="2:17">
      <c r="B36" s="109">
        <f t="shared" si="0"/>
        <v>2042</v>
      </c>
      <c r="C36" s="113"/>
      <c r="D36" s="111">
        <f t="shared" si="10"/>
        <v>80.790000000000006</v>
      </c>
      <c r="E36" s="111">
        <f t="shared" si="10"/>
        <v>33.24</v>
      </c>
      <c r="F36" s="111">
        <f t="shared" si="4"/>
        <v>57.53</v>
      </c>
      <c r="G36" s="112">
        <f t="shared" si="5"/>
        <v>65.859164841705436</v>
      </c>
      <c r="H36" s="111"/>
      <c r="I36" s="111"/>
      <c r="J36" s="112">
        <f t="shared" si="6"/>
        <v>65.859164841705436</v>
      </c>
      <c r="K36" s="112">
        <f t="shared" si="7"/>
        <v>171.56</v>
      </c>
      <c r="L36" s="111">
        <f t="shared" si="1"/>
        <v>171.56</v>
      </c>
      <c r="P36" s="129">
        <f t="shared" si="3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10"/>
        <v>82.62</v>
      </c>
      <c r="E37" s="111">
        <f t="shared" si="10"/>
        <v>33.99</v>
      </c>
      <c r="F37" s="111">
        <f t="shared" si="4"/>
        <v>58.84</v>
      </c>
      <c r="G37" s="112">
        <f t="shared" si="5"/>
        <v>67.352474186740622</v>
      </c>
      <c r="H37" s="111"/>
      <c r="I37" s="111"/>
      <c r="J37" s="112">
        <f t="shared" si="6"/>
        <v>67.352474186740622</v>
      </c>
      <c r="K37" s="112">
        <f t="shared" si="7"/>
        <v>175.45</v>
      </c>
      <c r="L37" s="111">
        <f t="shared" si="1"/>
        <v>175.45000000000002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-PMT(Discount_Rate,COUNT(J19:J37),NPV(Discount_Rate,J19:J37))</f>
        <v>18.864873209335787</v>
      </c>
      <c r="K39" s="287">
        <f>-PMT(Discount_Rate,COUNT(K19:K37),NPV(Discount_Rate,K19:K37))</f>
        <v>49.141754208683778</v>
      </c>
      <c r="L39" s="287">
        <f>-PMT(Discount_Rate,COUNT(L19:L37),NPV(Discount_Rate,L19:L37))</f>
        <v>85.254201804067051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29.7%)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PV_.PX.BDG._.PTC.Jim Bridger.PV - 30%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2032</v>
      </c>
      <c r="T54" s="273" t="s">
        <v>433</v>
      </c>
    </row>
    <row r="55" spans="2:20">
      <c r="B55" t="s">
        <v>152</v>
      </c>
      <c r="C55" s="267"/>
      <c r="D55" s="102" t="s">
        <v>65</v>
      </c>
      <c r="P55" s="226">
        <v>938.76599999999996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2028$</v>
      </c>
      <c r="C60" s="378">
        <f>J60</f>
        <v>39.576129741307163</v>
      </c>
      <c r="D60" s="102" t="s">
        <v>137</v>
      </c>
      <c r="F60" s="102" t="s">
        <v>350</v>
      </c>
      <c r="J60" s="102">
        <f>IFERROR(INDEX('Table 3 TransCost'!$39:$39,1,MATCH(F60,'Table 3 TransCost'!$4:$4,0)+2),0)</f>
        <v>39.576129741307163</v>
      </c>
      <c r="L60" s="270"/>
      <c r="M60" s="270"/>
      <c r="N60" s="270"/>
      <c r="P60" s="127"/>
    </row>
    <row r="61" spans="2:20">
      <c r="B61" s="250" t="str">
        <f>LEFT(RIGHT(INDEX('Table 3 TransCost'!$39:$39,1,MATCH(F61,'Table 3 TransCost'!$4:$4,0)),6),5)</f>
        <v>2029$</v>
      </c>
      <c r="C61" s="378">
        <f>J61</f>
        <v>2.4914919873456074</v>
      </c>
      <c r="F61" s="102" t="s">
        <v>348</v>
      </c>
      <c r="J61" s="102">
        <f>IFERROR(INDEX('Table 3 TransCost'!$39:$39,1,MATCH(F61,'Table 3 TransCost'!$4:$4,0)+2),0)</f>
        <v>2.4914919873456074</v>
      </c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J62" s="102">
        <f>IFERROR(INDEX('Table 3 TransCost'!$39:$39,1,MATCH(F62,'Table 3 TransCost'!$4:$4,0)+2),0)</f>
        <v>0</v>
      </c>
      <c r="L62" s="229"/>
      <c r="M62" s="131"/>
      <c r="N62" s="131"/>
      <c r="P62" s="132"/>
    </row>
    <row r="63" spans="2:20">
      <c r="C63" s="272">
        <v>0.29736901360526885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86F3-82BC-4B72-BC07-F7FFD237DBBF}">
  <sheetPr>
    <tabColor rgb="FFFFC000"/>
    <pageSetUpPr fitToPage="1"/>
  </sheetPr>
  <dimension ref="B1:AC91"/>
  <sheetViews>
    <sheetView view="pageBreakPreview" topLeftCell="A41" zoomScale="80" zoomScaleNormal="100" zoomScaleSheetLayoutView="80" workbookViewId="0">
      <selection activeCell="T54" sqref="T5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PV_.PX.UTN._.PTC.PV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32%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PV_.PX.UTN._.PTC.PV - 32%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11"/>
      <c r="F12" s="126"/>
      <c r="G12" s="112"/>
      <c r="H12" s="126"/>
      <c r="I12" s="111"/>
      <c r="J12" s="112"/>
      <c r="K12" s="112"/>
      <c r="L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>
        <f t="shared" ref="L13:L37" si="1">(D13+E13+F13)</f>
        <v>0</v>
      </c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>
        <f t="shared" si="1"/>
        <v>0</v>
      </c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>
        <f t="shared" si="1"/>
        <v>0</v>
      </c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>
        <f t="shared" si="1"/>
        <v>0</v>
      </c>
      <c r="R16" s="274">
        <v>1140.3909027674149</v>
      </c>
      <c r="S16" s="284">
        <f>T16-R16</f>
        <v>5.6590972325850544</v>
      </c>
      <c r="T16" s="113">
        <v>1146.05</v>
      </c>
      <c r="X16" s="277">
        <v>21.158014243080867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>
        <f t="shared" si="1"/>
        <v>0</v>
      </c>
      <c r="R17" s="277"/>
      <c r="S17" s="277"/>
      <c r="T17" s="102">
        <f>T16*IRP_PTC_ESC!$Q3</f>
        <v>1541.093435</v>
      </c>
      <c r="X17" s="277">
        <f t="shared" ref="X17:X28" si="2">X16*(1+IRP23_Infl_Rate)</f>
        <v>21.638301166494205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>
        <f t="shared" si="1"/>
        <v>0</v>
      </c>
      <c r="Q18" s="263"/>
      <c r="R18" s="277"/>
      <c r="S18" s="277"/>
      <c r="T18" s="102">
        <f>T17*IRP_PTC_ESC!$Q4</f>
        <v>1541.093435</v>
      </c>
      <c r="X18" s="277">
        <f t="shared" si="2"/>
        <v>22.12949060307119</v>
      </c>
      <c r="AC18" s="227"/>
    </row>
    <row r="19" spans="2:29">
      <c r="B19" s="109">
        <f t="shared" si="0"/>
        <v>2025</v>
      </c>
      <c r="C19" s="113"/>
      <c r="D19" s="111"/>
      <c r="E19" s="111"/>
      <c r="F19" s="165"/>
      <c r="G19" s="112"/>
      <c r="H19" s="111"/>
      <c r="I19" s="111"/>
      <c r="J19" s="112"/>
      <c r="K19" s="112"/>
      <c r="L19" s="111">
        <f t="shared" si="1"/>
        <v>0</v>
      </c>
      <c r="P19" s="129">
        <f>Q19-I19</f>
        <v>0</v>
      </c>
      <c r="Q19" s="112">
        <v>0</v>
      </c>
      <c r="R19" s="277"/>
      <c r="S19" s="277"/>
      <c r="T19" s="102">
        <f>T18*IRP_PTC_ESC!$Q5</f>
        <v>1541.093435</v>
      </c>
      <c r="U19" s="284"/>
      <c r="X19" s="277">
        <f t="shared" si="2"/>
        <v>22.631830039860688</v>
      </c>
      <c r="Y19" s="284"/>
    </row>
    <row r="20" spans="2:29">
      <c r="B20" s="109">
        <f t="shared" si="0"/>
        <v>2026</v>
      </c>
      <c r="C20" s="113"/>
      <c r="D20" s="111"/>
      <c r="E20" s="111"/>
      <c r="F20" s="165"/>
      <c r="G20" s="112"/>
      <c r="H20" s="111"/>
      <c r="I20" s="111"/>
      <c r="J20" s="112"/>
      <c r="K20" s="112"/>
      <c r="L20" s="111">
        <f t="shared" si="1"/>
        <v>0</v>
      </c>
      <c r="P20" s="129">
        <f t="shared" ref="P20:P36" si="3">Q20-I20</f>
        <v>0</v>
      </c>
      <c r="Q20" s="112">
        <v>0</v>
      </c>
      <c r="T20" s="102">
        <f>T19*IRP_PTC_ESC!$Q6</f>
        <v>1541.093435</v>
      </c>
      <c r="U20" s="284"/>
      <c r="W20" s="129"/>
      <c r="X20" s="277">
        <f t="shared" si="2"/>
        <v>23.145572581867572</v>
      </c>
      <c r="Y20" s="284"/>
    </row>
    <row r="21" spans="2:29">
      <c r="B21" s="109">
        <f t="shared" si="0"/>
        <v>2027</v>
      </c>
      <c r="C21" s="113"/>
      <c r="D21" s="111"/>
      <c r="E21" s="111"/>
      <c r="F21" s="165"/>
      <c r="G21" s="112"/>
      <c r="H21" s="111"/>
      <c r="I21" s="111"/>
      <c r="J21" s="112"/>
      <c r="K21" s="112"/>
      <c r="L21" s="111">
        <f t="shared" si="1"/>
        <v>0</v>
      </c>
      <c r="P21" s="129">
        <f t="shared" si="3"/>
        <v>0</v>
      </c>
      <c r="Q21" s="112">
        <v>0</v>
      </c>
      <c r="T21" s="102">
        <f>T20*IRP_PTC_ESC!$Q7</f>
        <v>1541.093435</v>
      </c>
      <c r="U21" s="284"/>
      <c r="V21" s="129"/>
      <c r="W21" s="129"/>
      <c r="X21" s="277">
        <f t="shared" si="2"/>
        <v>23.670977079580329</v>
      </c>
      <c r="Y21" s="284"/>
      <c r="Z21" s="129"/>
    </row>
    <row r="22" spans="2:29">
      <c r="B22" s="109">
        <f t="shared" si="0"/>
        <v>2028</v>
      </c>
      <c r="C22" s="113"/>
      <c r="D22" s="111"/>
      <c r="E22" s="111"/>
      <c r="F22" s="165"/>
      <c r="G22" s="112"/>
      <c r="H22" s="111"/>
      <c r="I22" s="111"/>
      <c r="J22" s="112"/>
      <c r="K22" s="112"/>
      <c r="L22" s="111">
        <f t="shared" si="1"/>
        <v>0</v>
      </c>
      <c r="P22" s="129">
        <f t="shared" si="3"/>
        <v>0</v>
      </c>
      <c r="Q22" s="112">
        <v>0</v>
      </c>
      <c r="T22" s="102">
        <f>T21*IRP_PTC_ESC!$Q8</f>
        <v>1541.093435</v>
      </c>
      <c r="U22" s="284"/>
      <c r="V22" s="129"/>
      <c r="W22" s="129"/>
      <c r="X22" s="277">
        <f t="shared" si="2"/>
        <v>24.208308259393533</v>
      </c>
      <c r="Y22" s="284"/>
      <c r="Z22" s="129"/>
      <c r="AA22" s="129"/>
    </row>
    <row r="23" spans="2:29">
      <c r="B23" s="109">
        <f t="shared" si="0"/>
        <v>2029</v>
      </c>
      <c r="C23" s="113"/>
      <c r="D23" s="111"/>
      <c r="E23" s="111"/>
      <c r="F23" s="165"/>
      <c r="G23" s="112"/>
      <c r="H23" s="111"/>
      <c r="I23" s="111"/>
      <c r="J23" s="112"/>
      <c r="K23" s="112"/>
      <c r="L23" s="111">
        <f t="shared" si="1"/>
        <v>0</v>
      </c>
      <c r="P23" s="129">
        <f t="shared" si="3"/>
        <v>0</v>
      </c>
      <c r="Q23" s="112">
        <v>0</v>
      </c>
      <c r="T23" s="102">
        <f>T22*IRP_PTC_ESC!$Q9</f>
        <v>1462.4976698150001</v>
      </c>
      <c r="U23" s="284"/>
      <c r="V23" s="129"/>
      <c r="W23" s="129"/>
      <c r="X23" s="277">
        <f t="shared" si="2"/>
        <v>24.75783685699092</v>
      </c>
      <c r="Y23" s="284"/>
      <c r="Z23" s="129"/>
      <c r="AA23" s="129"/>
    </row>
    <row r="24" spans="2:29">
      <c r="B24" s="109">
        <f t="shared" si="0"/>
        <v>2030</v>
      </c>
      <c r="C24" s="113"/>
      <c r="D24" s="111"/>
      <c r="E24" s="111"/>
      <c r="F24" s="165"/>
      <c r="G24" s="112"/>
      <c r="H24" s="111"/>
      <c r="I24" s="111"/>
      <c r="J24" s="112"/>
      <c r="K24" s="112"/>
      <c r="L24" s="111">
        <f t="shared" si="1"/>
        <v>0</v>
      </c>
      <c r="P24" s="129">
        <f t="shared" si="3"/>
        <v>0</v>
      </c>
      <c r="Q24" s="112">
        <v>0</v>
      </c>
      <c r="T24" s="102">
        <f>T23*IRP_PTC_ESC!$Q10</f>
        <v>1383.5227958742</v>
      </c>
      <c r="U24" s="284"/>
      <c r="V24" s="129"/>
      <c r="W24" s="129"/>
      <c r="X24" s="277">
        <f t="shared" si="2"/>
        <v>25.319839753756249</v>
      </c>
      <c r="Y24" s="284"/>
      <c r="Z24" s="129"/>
      <c r="AA24" s="129"/>
    </row>
    <row r="25" spans="2:29">
      <c r="B25" s="109">
        <f t="shared" si="0"/>
        <v>2031</v>
      </c>
      <c r="C25" s="113"/>
      <c r="D25" s="111"/>
      <c r="E25" s="111"/>
      <c r="F25" s="165"/>
      <c r="G25" s="112"/>
      <c r="H25" s="111"/>
      <c r="I25" s="111"/>
      <c r="J25" s="112"/>
      <c r="K25" s="112"/>
      <c r="L25" s="111">
        <f t="shared" si="1"/>
        <v>0</v>
      </c>
      <c r="P25" s="129">
        <f t="shared" si="3"/>
        <v>0</v>
      </c>
      <c r="Q25" s="112">
        <v>0</v>
      </c>
      <c r="T25" s="102">
        <f>T24*IRP_PTC_ESC!$Q11</f>
        <v>1304.6619963122498</v>
      </c>
      <c r="U25" s="284"/>
      <c r="V25" s="129"/>
      <c r="W25" s="129"/>
      <c r="X25" s="277">
        <f t="shared" si="2"/>
        <v>25.894600116280682</v>
      </c>
      <c r="Y25" s="284"/>
      <c r="Z25" s="129"/>
      <c r="AA25" s="129"/>
    </row>
    <row r="26" spans="2:29">
      <c r="B26" s="109">
        <f t="shared" si="0"/>
        <v>2032</v>
      </c>
      <c r="C26" s="113"/>
      <c r="D26" s="111"/>
      <c r="E26" s="111"/>
      <c r="F26" s="165"/>
      <c r="G26" s="112"/>
      <c r="H26" s="111"/>
      <c r="I26" s="111"/>
      <c r="J26" s="112"/>
      <c r="K26" s="112"/>
      <c r="L26" s="111">
        <f t="shared" si="1"/>
        <v>0</v>
      </c>
      <c r="P26" s="129">
        <f t="shared" si="3"/>
        <v>0</v>
      </c>
      <c r="Q26" s="112">
        <v>0</v>
      </c>
      <c r="T26" s="102">
        <f>T25*IRP_PTC_ESC!$Q12</f>
        <v>1226.3822761896997</v>
      </c>
      <c r="U26" s="284"/>
      <c r="V26" s="129"/>
      <c r="W26" s="129"/>
      <c r="X26" s="277">
        <f t="shared" si="2"/>
        <v>26.482407539037013</v>
      </c>
      <c r="Y26" s="284"/>
      <c r="Z26" s="129"/>
      <c r="AA26" s="129"/>
    </row>
    <row r="27" spans="2:29">
      <c r="B27" s="109">
        <f t="shared" si="0"/>
        <v>2033</v>
      </c>
      <c r="C27" s="113"/>
      <c r="D27" s="111"/>
      <c r="E27" s="111"/>
      <c r="F27" s="165"/>
      <c r="G27" s="112"/>
      <c r="H27" s="111"/>
      <c r="I27" s="111"/>
      <c r="J27" s="112"/>
      <c r="K27" s="112"/>
      <c r="L27" s="111">
        <f t="shared" si="1"/>
        <v>0</v>
      </c>
      <c r="P27" s="129">
        <f t="shared" si="3"/>
        <v>0</v>
      </c>
      <c r="Q27" s="112">
        <v>0</v>
      </c>
      <c r="T27" s="102">
        <f>T26*IRP_PTC_ESC!$Q13</f>
        <v>1232.5141880634499</v>
      </c>
      <c r="U27" s="284"/>
      <c r="V27" s="129"/>
      <c r="W27" s="129"/>
      <c r="X27" s="277">
        <f t="shared" si="2"/>
        <v>27.08355819029256</v>
      </c>
      <c r="Y27" s="284"/>
      <c r="Z27" s="129"/>
      <c r="AA27" s="129"/>
    </row>
    <row r="28" spans="2:29">
      <c r="B28" s="109">
        <f t="shared" si="0"/>
        <v>2034</v>
      </c>
      <c r="C28" s="274">
        <f>IRP_LTReport!$R$16</f>
        <v>1234.9792474091</v>
      </c>
      <c r="D28" s="111">
        <f>C28*$C$62</f>
        <v>62.440550749004089</v>
      </c>
      <c r="E28" s="281">
        <f>IRP_LTReport!$L$16</f>
        <v>28.648364548029125</v>
      </c>
      <c r="F28" s="165">
        <f t="shared" ref="F28:F37" si="4">$C$60</f>
        <v>0</v>
      </c>
      <c r="G28" s="112">
        <f t="shared" ref="G28:G37" si="5">(D28+E28+F28)/(8.76*$C$63)</f>
        <v>32.246165487574096</v>
      </c>
      <c r="H28" s="111"/>
      <c r="I28" s="111">
        <v>-43.76</v>
      </c>
      <c r="J28" s="112">
        <f t="shared" ref="J28:J37" si="6">(G28+H28+I28)</f>
        <v>-11.513834512425902</v>
      </c>
      <c r="K28" s="112">
        <f t="shared" ref="K28:K37" si="7">ROUND(J28*$C$63*8.76,2)</f>
        <v>-32.520000000000003</v>
      </c>
      <c r="L28" s="111">
        <f t="shared" si="1"/>
        <v>91.088915297033211</v>
      </c>
      <c r="P28" s="129">
        <f t="shared" si="3"/>
        <v>0</v>
      </c>
      <c r="Q28" s="112">
        <v>-43.760000000000048</v>
      </c>
      <c r="T28" s="102">
        <f>T27*IRP_PTC_ESC!$Q14</f>
        <v>1234.9792166939999</v>
      </c>
      <c r="U28" s="284">
        <f t="shared" ref="U28" si="8">T28-C28</f>
        <v>-3.0715100137967966E-5</v>
      </c>
      <c r="V28" s="129"/>
      <c r="W28" s="129"/>
      <c r="X28" s="277">
        <f t="shared" si="2"/>
        <v>27.698354961334321</v>
      </c>
      <c r="Y28" s="284">
        <f t="shared" ref="Y28" si="9">X28-E28</f>
        <v>-0.9500095866948044</v>
      </c>
      <c r="Z28" s="129"/>
      <c r="AA28" s="129"/>
    </row>
    <row r="29" spans="2:29">
      <c r="B29" s="109">
        <f t="shared" si="0"/>
        <v>2035</v>
      </c>
      <c r="C29" s="113"/>
      <c r="D29" s="111">
        <f t="shared" ref="D29:E35" si="10">ROUND(D28*(1+IRP23_Infl_Rate),2)</f>
        <v>63.86</v>
      </c>
      <c r="E29" s="111">
        <f t="shared" si="10"/>
        <v>29.3</v>
      </c>
      <c r="F29" s="165">
        <f t="shared" si="4"/>
        <v>0</v>
      </c>
      <c r="G29" s="112">
        <f t="shared" si="5"/>
        <v>32.979345148928843</v>
      </c>
      <c r="H29" s="111"/>
      <c r="I29" s="111">
        <v>-43.76</v>
      </c>
      <c r="J29" s="112">
        <f t="shared" si="6"/>
        <v>-10.780654851071155</v>
      </c>
      <c r="K29" s="112">
        <f t="shared" si="7"/>
        <v>-30.45</v>
      </c>
      <c r="L29" s="111">
        <f t="shared" si="1"/>
        <v>93.16</v>
      </c>
      <c r="P29" s="129">
        <f t="shared" si="3"/>
        <v>1.6784657219659493E-6</v>
      </c>
      <c r="Q29" s="112">
        <v>-43.759998321534276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10"/>
        <v>65.31</v>
      </c>
      <c r="E30" s="111">
        <f t="shared" si="10"/>
        <v>29.97</v>
      </c>
      <c r="F30" s="165">
        <f t="shared" si="4"/>
        <v>0</v>
      </c>
      <c r="G30" s="112">
        <f t="shared" si="5"/>
        <v>33.729841195684209</v>
      </c>
      <c r="H30" s="111"/>
      <c r="I30" s="111">
        <v>-45.09</v>
      </c>
      <c r="J30" s="112">
        <f t="shared" si="6"/>
        <v>-11.360158804315795</v>
      </c>
      <c r="K30" s="112">
        <f t="shared" si="7"/>
        <v>-32.090000000000003</v>
      </c>
      <c r="L30" s="111">
        <f t="shared" si="1"/>
        <v>95.28</v>
      </c>
      <c r="P30" s="129">
        <f t="shared" si="3"/>
        <v>9.9981689446053679E-3</v>
      </c>
      <c r="Q30" s="112">
        <v>-45.080001831055398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10"/>
        <v>66.790000000000006</v>
      </c>
      <c r="E31" s="111">
        <f t="shared" si="10"/>
        <v>30.65</v>
      </c>
      <c r="F31" s="165">
        <f t="shared" si="4"/>
        <v>0</v>
      </c>
      <c r="G31" s="112">
        <f t="shared" si="5"/>
        <v>34.494497545208532</v>
      </c>
      <c r="H31" s="111"/>
      <c r="I31" s="111">
        <v>-46.41</v>
      </c>
      <c r="J31" s="112">
        <f t="shared" si="6"/>
        <v>-11.915502454791465</v>
      </c>
      <c r="K31" s="112">
        <f t="shared" si="7"/>
        <v>-33.659999999999997</v>
      </c>
      <c r="L31" s="111">
        <f t="shared" si="1"/>
        <v>97.44</v>
      </c>
      <c r="P31" s="129">
        <f t="shared" si="3"/>
        <v>-8.7396756498492323E-13</v>
      </c>
      <c r="Q31" s="112">
        <v>-46.410000000000871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10"/>
        <v>68.31</v>
      </c>
      <c r="E32" s="111">
        <f t="shared" si="10"/>
        <v>31.35</v>
      </c>
      <c r="F32" s="165">
        <f t="shared" si="4"/>
        <v>0</v>
      </c>
      <c r="G32" s="112">
        <f t="shared" si="5"/>
        <v>35.280394348886311</v>
      </c>
      <c r="H32" s="111"/>
      <c r="I32" s="111">
        <v>-46.41</v>
      </c>
      <c r="J32" s="112">
        <f t="shared" si="6"/>
        <v>-11.129605651113685</v>
      </c>
      <c r="K32" s="112">
        <f t="shared" si="7"/>
        <v>-31.44</v>
      </c>
      <c r="L32" s="111">
        <f t="shared" si="1"/>
        <v>99.66</v>
      </c>
      <c r="P32" s="129">
        <f t="shared" si="3"/>
        <v>1.5258716246080439E-7</v>
      </c>
      <c r="Q32" s="112">
        <v>-46.409999847412834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10"/>
        <v>69.86</v>
      </c>
      <c r="E33" s="111">
        <f t="shared" si="10"/>
        <v>32.06</v>
      </c>
      <c r="F33" s="165">
        <f t="shared" si="4"/>
        <v>0</v>
      </c>
      <c r="G33" s="112">
        <f t="shared" si="5"/>
        <v>36.080451455333062</v>
      </c>
      <c r="H33" s="111"/>
      <c r="I33" s="111">
        <v>-47.74</v>
      </c>
      <c r="J33" s="112">
        <f t="shared" si="6"/>
        <v>-11.65954854466694</v>
      </c>
      <c r="K33" s="112">
        <f t="shared" si="7"/>
        <v>-32.94</v>
      </c>
      <c r="L33" s="111">
        <f t="shared" si="1"/>
        <v>101.92</v>
      </c>
      <c r="P33" s="129">
        <f t="shared" si="3"/>
        <v>-1.6784675409553529E-6</v>
      </c>
      <c r="Q33" s="112">
        <v>-47.740001678467543</v>
      </c>
    </row>
    <row r="34" spans="2:17">
      <c r="B34" s="109">
        <f t="shared" si="0"/>
        <v>2040</v>
      </c>
      <c r="C34" s="113"/>
      <c r="D34" s="111">
        <f t="shared" si="10"/>
        <v>71.45</v>
      </c>
      <c r="E34" s="111">
        <f t="shared" si="10"/>
        <v>32.79</v>
      </c>
      <c r="F34" s="165">
        <f t="shared" si="4"/>
        <v>0</v>
      </c>
      <c r="G34" s="112">
        <f t="shared" si="5"/>
        <v>36.90174901593327</v>
      </c>
      <c r="H34" s="111"/>
      <c r="I34" s="111">
        <v>-49.06</v>
      </c>
      <c r="J34" s="112">
        <f t="shared" si="6"/>
        <v>-12.158250984066733</v>
      </c>
      <c r="K34" s="112">
        <f t="shared" si="7"/>
        <v>-34.340000000000003</v>
      </c>
      <c r="L34" s="111">
        <f t="shared" si="1"/>
        <v>104.24000000000001</v>
      </c>
      <c r="P34" s="129">
        <f t="shared" si="3"/>
        <v>-1.3732919370568197E-6</v>
      </c>
      <c r="Q34" s="112">
        <v>-49.060001373291939</v>
      </c>
    </row>
    <row r="35" spans="2:17">
      <c r="B35" s="109">
        <f t="shared" si="0"/>
        <v>2041</v>
      </c>
      <c r="C35" s="113"/>
      <c r="D35" s="111">
        <f t="shared" si="10"/>
        <v>73.069999999999993</v>
      </c>
      <c r="E35" s="111">
        <f t="shared" si="10"/>
        <v>33.53</v>
      </c>
      <c r="F35" s="165">
        <f t="shared" si="4"/>
        <v>0</v>
      </c>
      <c r="G35" s="112">
        <f t="shared" si="5"/>
        <v>37.737206879302434</v>
      </c>
      <c r="H35" s="111"/>
      <c r="I35" s="111">
        <v>-50.39</v>
      </c>
      <c r="J35" s="112">
        <f t="shared" si="6"/>
        <v>-12.652793120697567</v>
      </c>
      <c r="K35" s="112">
        <f t="shared" si="7"/>
        <v>-35.74</v>
      </c>
      <c r="L35" s="111">
        <f t="shared" si="1"/>
        <v>106.6</v>
      </c>
      <c r="P35" s="129">
        <f t="shared" si="3"/>
        <v>-8.3133500083931722E-13</v>
      </c>
      <c r="Q35" s="112">
        <v>-50.390000000000832</v>
      </c>
    </row>
    <row r="36" spans="2:17">
      <c r="B36" s="109">
        <f t="shared" si="0"/>
        <v>2042</v>
      </c>
      <c r="C36" s="113"/>
      <c r="D36" s="111">
        <f t="shared" ref="D36:E37" si="11">ROUND(D35*(1+IRP23_Infl_Rate),2)</f>
        <v>74.73</v>
      </c>
      <c r="E36" s="111">
        <f t="shared" si="11"/>
        <v>34.29</v>
      </c>
      <c r="F36" s="165">
        <f t="shared" si="4"/>
        <v>0</v>
      </c>
      <c r="G36" s="112">
        <f t="shared" si="5"/>
        <v>38.593905196825069</v>
      </c>
      <c r="H36" s="111"/>
      <c r="I36" s="111">
        <v>-50.39</v>
      </c>
      <c r="J36" s="112">
        <f t="shared" si="6"/>
        <v>-11.796094803174931</v>
      </c>
      <c r="K36" s="112">
        <f t="shared" si="7"/>
        <v>-33.32</v>
      </c>
      <c r="L36" s="111">
        <f t="shared" si="1"/>
        <v>109.02000000000001</v>
      </c>
      <c r="P36" s="129">
        <f t="shared" si="3"/>
        <v>6.1035084542027107E-7</v>
      </c>
      <c r="Q36" s="112">
        <v>-50.389999389649155</v>
      </c>
    </row>
    <row r="37" spans="2:17">
      <c r="B37" s="109">
        <f t="shared" si="0"/>
        <v>2043</v>
      </c>
      <c r="C37" s="113"/>
      <c r="D37" s="111">
        <f t="shared" si="11"/>
        <v>76.430000000000007</v>
      </c>
      <c r="E37" s="111">
        <f t="shared" si="11"/>
        <v>35.07</v>
      </c>
      <c r="F37" s="165">
        <f t="shared" si="4"/>
        <v>0</v>
      </c>
      <c r="G37" s="112">
        <f t="shared" si="5"/>
        <v>39.47184396850114</v>
      </c>
      <c r="H37" s="111"/>
      <c r="I37" s="111">
        <v>-51.72</v>
      </c>
      <c r="J37" s="112">
        <f t="shared" si="6"/>
        <v>-12.248156031498858</v>
      </c>
      <c r="K37" s="112">
        <f t="shared" si="7"/>
        <v>-34.6</v>
      </c>
      <c r="L37" s="111">
        <f t="shared" si="1"/>
        <v>111.5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-PMT(Discount_Rate,COUNT(J19:J37),NPV(Discount_Rate,J19:J37))</f>
        <v>-11.652005359555687</v>
      </c>
      <c r="K39" s="287">
        <f>-PMT(Discount_Rate,COUNT(K19:K37),NPV(Discount_Rate,K19:K37))</f>
        <v>-32.913655226141877</v>
      </c>
      <c r="L39" s="287">
        <f>-PMT(Discount_Rate,COUNT(L19:L37),NPV(Discount_Rate,L19:L37))</f>
        <v>37.352225354372678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32.2%)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PV_.PX.UTN._.PTC.PV - 32%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2034</v>
      </c>
      <c r="T54" s="273" t="s">
        <v>435</v>
      </c>
    </row>
    <row r="55" spans="2:20">
      <c r="B55" t="s">
        <v>152</v>
      </c>
      <c r="C55" s="267"/>
      <c r="D55" s="102" t="s">
        <v>65</v>
      </c>
      <c r="P55" s="226">
        <v>300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0.32246556589655151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66E2-7E14-4E49-9CE2-0B1F53F59425}">
  <sheetPr>
    <tabColor rgb="FFFFC000"/>
    <pageSetUpPr fitToPage="1"/>
  </sheetPr>
  <dimension ref="B1:AC91"/>
  <sheetViews>
    <sheetView topLeftCell="A31" zoomScale="70" zoomScaleNormal="70" workbookViewId="0">
      <selection activeCell="T54" sqref="T5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9.5" style="102" bestFit="1" customWidth="1"/>
    <col min="8" max="8" width="9.6640625" style="102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PVS.PX.UTS._.SER.PV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32%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PVS.PX.UTS._.SER.PV - 32%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>
        <f t="shared" ref="L13:L37" si="1">(D13+E13+F13)</f>
        <v>0</v>
      </c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>
        <f t="shared" si="1"/>
        <v>0</v>
      </c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>
        <f t="shared" si="1"/>
        <v>0</v>
      </c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>
        <f t="shared" si="1"/>
        <v>0</v>
      </c>
      <c r="R16" s="274">
        <v>1140.3909027674149</v>
      </c>
      <c r="S16" s="284">
        <f>T16-R16</f>
        <v>5.6590972325850544</v>
      </c>
      <c r="T16" s="113">
        <v>1146.05</v>
      </c>
      <c r="X16" s="277">
        <v>21.158014243080867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>
        <f t="shared" si="1"/>
        <v>0</v>
      </c>
      <c r="R17" s="277"/>
      <c r="S17" s="277"/>
      <c r="T17" s="102">
        <f>T16*IRP_PTC_ESC!$Q3</f>
        <v>1541.093435</v>
      </c>
      <c r="X17" s="277">
        <f>X16*(1+IRP23_Infl_Rate)</f>
        <v>21.638301166494205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>
        <f t="shared" si="1"/>
        <v>0</v>
      </c>
      <c r="Q18" s="263"/>
      <c r="R18" s="277"/>
      <c r="S18" s="277"/>
      <c r="T18" s="102">
        <f>T17*IRP_PTC_ESC!$Q4</f>
        <v>1541.093435</v>
      </c>
      <c r="X18" s="277">
        <f>X17*(1+IRP23_Infl_Rate)</f>
        <v>22.12949060307119</v>
      </c>
      <c r="AC18" s="227"/>
    </row>
    <row r="19" spans="2:29">
      <c r="B19" s="109">
        <f t="shared" si="0"/>
        <v>2025</v>
      </c>
      <c r="C19" s="274">
        <f>IRP_LTReport!R18</f>
        <v>1541.0934107363291</v>
      </c>
      <c r="D19" s="111">
        <f>C19*$C$62</f>
        <v>77.917682846828797</v>
      </c>
      <c r="E19" s="281">
        <f>IRP_LTReport!L18</f>
        <v>22.323753364077302</v>
      </c>
      <c r="F19" s="111"/>
      <c r="G19" s="112">
        <f t="shared" ref="G19:G37" si="2">(D19+E19+F19)/(8.76*$C$63)</f>
        <v>35.486227168568128</v>
      </c>
      <c r="H19" s="111"/>
      <c r="I19" s="111">
        <v>-35.799999999999997</v>
      </c>
      <c r="J19" s="112">
        <f>(G19+H19+I19)</f>
        <v>-0.31377283143186929</v>
      </c>
      <c r="K19" s="112">
        <f t="shared" ref="K19:K37" si="3">ROUND(J19*$C$63*8.76,2)</f>
        <v>-0.89</v>
      </c>
      <c r="L19" s="111">
        <f t="shared" si="1"/>
        <v>100.2414362109061</v>
      </c>
      <c r="P19" s="129">
        <f>Q19-I19</f>
        <v>7.6294041662094969E-7</v>
      </c>
      <c r="Q19" s="112">
        <v>-35.799999237059581</v>
      </c>
      <c r="R19" s="277"/>
      <c r="S19" s="277"/>
      <c r="T19" s="102">
        <f>T18*IRP_PTC_ESC!$Q5</f>
        <v>1541.093435</v>
      </c>
      <c r="U19" s="284">
        <f>T19-C19</f>
        <v>2.4263670866275788E-5</v>
      </c>
      <c r="X19" s="277">
        <f>X18*(1+IRP23_Infl_Rate)</f>
        <v>22.631830039860688</v>
      </c>
      <c r="Y19" s="284">
        <f>X19-E19</f>
        <v>0.30807667578338638</v>
      </c>
    </row>
    <row r="20" spans="2:29">
      <c r="B20" s="109">
        <f t="shared" si="0"/>
        <v>2026</v>
      </c>
      <c r="C20" s="113"/>
      <c r="D20" s="111">
        <f t="shared" ref="D20:E35" si="4">ROUND(D19*(1+IRP23_Infl_Rate),2)</f>
        <v>79.69</v>
      </c>
      <c r="E20" s="111">
        <f t="shared" si="4"/>
        <v>22.83</v>
      </c>
      <c r="F20" s="165"/>
      <c r="G20" s="112">
        <f t="shared" si="2"/>
        <v>36.292855996867594</v>
      </c>
      <c r="H20" s="111"/>
      <c r="I20" s="111">
        <v>-37.130000000000003</v>
      </c>
      <c r="J20" s="112">
        <f t="shared" ref="J20:J37" si="5">(G20+H20+I20)</f>
        <v>-0.83714400313240844</v>
      </c>
      <c r="K20" s="112">
        <f t="shared" si="3"/>
        <v>-2.36</v>
      </c>
      <c r="L20" s="111">
        <f t="shared" si="1"/>
        <v>102.52</v>
      </c>
      <c r="P20" s="129">
        <f t="shared" ref="P20:P36" si="6">Q20-I20</f>
        <v>-1.0681142725843529E-6</v>
      </c>
      <c r="Q20" s="112">
        <v>-37.130001068114275</v>
      </c>
      <c r="U20" s="129"/>
      <c r="W20" s="129"/>
    </row>
    <row r="21" spans="2:29">
      <c r="B21" s="109">
        <f t="shared" si="0"/>
        <v>2027</v>
      </c>
      <c r="C21" s="113"/>
      <c r="D21" s="111">
        <f t="shared" si="4"/>
        <v>81.5</v>
      </c>
      <c r="E21" s="111">
        <f t="shared" si="4"/>
        <v>23.35</v>
      </c>
      <c r="F21" s="111"/>
      <c r="G21" s="112">
        <f t="shared" si="2"/>
        <v>37.117693633160044</v>
      </c>
      <c r="H21" s="111"/>
      <c r="I21" s="111">
        <v>-38.450000000000003</v>
      </c>
      <c r="J21" s="112">
        <f t="shared" si="5"/>
        <v>-1.3323063668399584</v>
      </c>
      <c r="K21" s="112">
        <f t="shared" si="3"/>
        <v>-3.76</v>
      </c>
      <c r="L21" s="111">
        <f t="shared" si="1"/>
        <v>104.85</v>
      </c>
      <c r="P21" s="129">
        <f t="shared" si="6"/>
        <v>9.7344354799133725E-13</v>
      </c>
      <c r="Q21" s="112">
        <v>-38.449999999999029</v>
      </c>
      <c r="V21" s="129"/>
      <c r="W21" s="129"/>
      <c r="X21" s="129"/>
      <c r="Y21" s="129"/>
      <c r="Z21" s="129"/>
    </row>
    <row r="22" spans="2:29">
      <c r="B22" s="109">
        <f t="shared" si="0"/>
        <v>2028</v>
      </c>
      <c r="C22" s="113"/>
      <c r="D22" s="111">
        <f t="shared" si="4"/>
        <v>83.35</v>
      </c>
      <c r="E22" s="111">
        <f t="shared" si="4"/>
        <v>23.88</v>
      </c>
      <c r="F22" s="111"/>
      <c r="G22" s="112">
        <f t="shared" si="2"/>
        <v>37.960231647913695</v>
      </c>
      <c r="H22" s="111"/>
      <c r="I22" s="111">
        <v>-38.450000000000003</v>
      </c>
      <c r="J22" s="112">
        <f t="shared" si="5"/>
        <v>-0.48976835208630831</v>
      </c>
      <c r="K22" s="112">
        <f t="shared" si="3"/>
        <v>-1.38</v>
      </c>
      <c r="L22" s="111">
        <f t="shared" si="1"/>
        <v>107.22999999999999</v>
      </c>
      <c r="P22" s="129">
        <f t="shared" si="6"/>
        <v>-7.6293889605949516E-7</v>
      </c>
      <c r="Q22" s="112">
        <v>-38.450000762938899</v>
      </c>
      <c r="T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4"/>
        <v>85.24</v>
      </c>
      <c r="E23" s="111">
        <f t="shared" si="4"/>
        <v>24.42</v>
      </c>
      <c r="F23" s="111"/>
      <c r="G23" s="112">
        <f t="shared" si="2"/>
        <v>38.820470041128566</v>
      </c>
      <c r="H23" s="111"/>
      <c r="I23" s="111">
        <v>-39.78</v>
      </c>
      <c r="J23" s="112">
        <f t="shared" si="5"/>
        <v>-0.95952995887143544</v>
      </c>
      <c r="K23" s="112">
        <f t="shared" si="3"/>
        <v>-2.71</v>
      </c>
      <c r="L23" s="111">
        <f t="shared" si="1"/>
        <v>109.66</v>
      </c>
      <c r="P23" s="129">
        <f t="shared" si="6"/>
        <v>8.5975671026972122E-13</v>
      </c>
      <c r="Q23" s="112">
        <v>-39.779999999999141</v>
      </c>
      <c r="T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4"/>
        <v>87.17</v>
      </c>
      <c r="E24" s="111">
        <f t="shared" si="4"/>
        <v>24.97</v>
      </c>
      <c r="F24" s="111"/>
      <c r="G24" s="112">
        <f t="shared" si="2"/>
        <v>39.698408812804644</v>
      </c>
      <c r="H24" s="111"/>
      <c r="I24" s="111">
        <v>-39.78</v>
      </c>
      <c r="J24" s="112">
        <f t="shared" si="5"/>
        <v>-8.1591187195357406E-2</v>
      </c>
      <c r="K24" s="112">
        <f t="shared" si="3"/>
        <v>-0.23</v>
      </c>
      <c r="L24" s="111">
        <f t="shared" si="1"/>
        <v>112.14</v>
      </c>
      <c r="P24" s="129">
        <f t="shared" si="6"/>
        <v>1.2207039077338777E-6</v>
      </c>
      <c r="Q24" s="112">
        <v>-39.779998779296093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4"/>
        <v>89.15</v>
      </c>
      <c r="E25" s="111">
        <f t="shared" si="4"/>
        <v>25.54</v>
      </c>
      <c r="F25" s="111"/>
      <c r="G25" s="112">
        <f t="shared" si="2"/>
        <v>40.601128114326421</v>
      </c>
      <c r="H25" s="111"/>
      <c r="I25" s="111">
        <v>-41.11</v>
      </c>
      <c r="J25" s="112">
        <f t="shared" si="5"/>
        <v>-0.50887188567357811</v>
      </c>
      <c r="K25" s="112">
        <f t="shared" si="3"/>
        <v>-1.44</v>
      </c>
      <c r="L25" s="111">
        <f t="shared" si="1"/>
        <v>114.69</v>
      </c>
      <c r="P25" s="129">
        <f t="shared" si="6"/>
        <v>1.3073986337985843E-12</v>
      </c>
      <c r="Q25" s="112">
        <v>-41.109999999998692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4"/>
        <v>91.17</v>
      </c>
      <c r="E26" s="111">
        <f t="shared" si="4"/>
        <v>26.12</v>
      </c>
      <c r="F26" s="111"/>
      <c r="G26" s="112">
        <f t="shared" si="2"/>
        <v>41.521547794309413</v>
      </c>
      <c r="H26" s="111"/>
      <c r="I26" s="111">
        <v>-41.11</v>
      </c>
      <c r="J26" s="112">
        <f t="shared" si="5"/>
        <v>0.41154779430941346</v>
      </c>
      <c r="K26" s="112">
        <f t="shared" si="3"/>
        <v>1.1599999999999999</v>
      </c>
      <c r="L26" s="111">
        <f t="shared" si="1"/>
        <v>117.29</v>
      </c>
      <c r="P26" s="129">
        <f t="shared" si="6"/>
        <v>-6.103534886392481E-7</v>
      </c>
      <c r="Q26" s="112">
        <v>-41.110000610353488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4"/>
        <v>93.24</v>
      </c>
      <c r="E27" s="111">
        <f t="shared" si="4"/>
        <v>26.71</v>
      </c>
      <c r="F27" s="111"/>
      <c r="G27" s="112">
        <f t="shared" si="2"/>
        <v>42.463207928445847</v>
      </c>
      <c r="H27" s="111"/>
      <c r="I27" s="111">
        <v>-42.43</v>
      </c>
      <c r="J27" s="112">
        <f t="shared" si="5"/>
        <v>3.3207928445847301E-2</v>
      </c>
      <c r="K27" s="112">
        <f t="shared" si="3"/>
        <v>0.09</v>
      </c>
      <c r="L27" s="111">
        <f t="shared" si="1"/>
        <v>119.94999999999999</v>
      </c>
      <c r="P27" s="129">
        <f t="shared" si="6"/>
        <v>42.43</v>
      </c>
      <c r="Q27" s="112">
        <v>0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4"/>
        <v>95.36</v>
      </c>
      <c r="E28" s="111">
        <f t="shared" si="4"/>
        <v>27.32</v>
      </c>
      <c r="F28" s="111"/>
      <c r="G28" s="112">
        <f t="shared" si="2"/>
        <v>43.429648592427988</v>
      </c>
      <c r="H28" s="111"/>
      <c r="I28" s="111">
        <v>-43.76</v>
      </c>
      <c r="J28" s="112">
        <f t="shared" si="5"/>
        <v>-0.3303514075720102</v>
      </c>
      <c r="K28" s="112">
        <f t="shared" si="3"/>
        <v>-0.93</v>
      </c>
      <c r="L28" s="111">
        <f t="shared" si="1"/>
        <v>122.68</v>
      </c>
      <c r="P28" s="129">
        <f t="shared" si="6"/>
        <v>87.52000000000416</v>
      </c>
      <c r="Q28" s="112">
        <v>43.760000000004169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4"/>
        <v>97.52</v>
      </c>
      <c r="E29" s="111">
        <f t="shared" si="4"/>
        <v>27.94</v>
      </c>
      <c r="F29" s="111"/>
      <c r="G29" s="112">
        <f t="shared" si="2"/>
        <v>44.413789634871328</v>
      </c>
      <c r="H29" s="111"/>
      <c r="I29" s="111"/>
      <c r="J29" s="112">
        <f t="shared" si="5"/>
        <v>44.413789634871328</v>
      </c>
      <c r="K29" s="112">
        <f t="shared" si="3"/>
        <v>125.46</v>
      </c>
      <c r="L29" s="111">
        <f t="shared" si="1"/>
        <v>125.46</v>
      </c>
      <c r="P29" s="129">
        <f t="shared" si="6"/>
        <v>0</v>
      </c>
      <c r="Q29" s="112">
        <v>0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4"/>
        <v>99.73</v>
      </c>
      <c r="E30" s="111">
        <f t="shared" si="4"/>
        <v>28.57</v>
      </c>
      <c r="F30" s="111"/>
      <c r="G30" s="112">
        <f t="shared" si="2"/>
        <v>45.419171131468133</v>
      </c>
      <c r="H30" s="111"/>
      <c r="I30" s="111"/>
      <c r="J30" s="112">
        <f t="shared" si="5"/>
        <v>45.419171131468133</v>
      </c>
      <c r="K30" s="112">
        <f t="shared" si="3"/>
        <v>128.30000000000001</v>
      </c>
      <c r="L30" s="111">
        <f t="shared" si="1"/>
        <v>128.30000000000001</v>
      </c>
      <c r="P30" s="129">
        <f t="shared" si="6"/>
        <v>0</v>
      </c>
      <c r="Q30" s="112">
        <v>0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4"/>
        <v>101.99</v>
      </c>
      <c r="E31" s="111">
        <f t="shared" si="4"/>
        <v>29.22</v>
      </c>
      <c r="F31" s="111"/>
      <c r="G31" s="112">
        <f t="shared" si="2"/>
        <v>46.449333157910623</v>
      </c>
      <c r="H31" s="111"/>
      <c r="I31" s="111"/>
      <c r="J31" s="112">
        <f t="shared" si="5"/>
        <v>46.449333157910623</v>
      </c>
      <c r="K31" s="112">
        <f t="shared" si="3"/>
        <v>131.21</v>
      </c>
      <c r="L31" s="111">
        <f t="shared" si="1"/>
        <v>131.20999999999998</v>
      </c>
      <c r="P31" s="129">
        <f t="shared" si="6"/>
        <v>0</v>
      </c>
      <c r="Q31" s="112">
        <v>0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4"/>
        <v>104.31</v>
      </c>
      <c r="E32" s="111">
        <f t="shared" si="4"/>
        <v>29.88</v>
      </c>
      <c r="F32" s="111"/>
      <c r="G32" s="112">
        <f t="shared" si="2"/>
        <v>47.504275714198819</v>
      </c>
      <c r="H32" s="111"/>
      <c r="I32" s="111"/>
      <c r="J32" s="112">
        <f t="shared" si="5"/>
        <v>47.504275714198819</v>
      </c>
      <c r="K32" s="112">
        <f t="shared" si="3"/>
        <v>134.19</v>
      </c>
      <c r="L32" s="111">
        <f t="shared" si="1"/>
        <v>134.19</v>
      </c>
      <c r="P32" s="129">
        <f t="shared" si="6"/>
        <v>0</v>
      </c>
      <c r="Q32" s="112">
        <v>0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4"/>
        <v>106.68</v>
      </c>
      <c r="E33" s="111">
        <f t="shared" si="4"/>
        <v>30.56</v>
      </c>
      <c r="F33" s="111"/>
      <c r="G33" s="112">
        <f t="shared" si="2"/>
        <v>48.583998800332708</v>
      </c>
      <c r="H33" s="111"/>
      <c r="I33" s="111"/>
      <c r="J33" s="112">
        <f t="shared" si="5"/>
        <v>48.583998800332708</v>
      </c>
      <c r="K33" s="112">
        <f t="shared" si="3"/>
        <v>137.24</v>
      </c>
      <c r="L33" s="111">
        <f t="shared" si="1"/>
        <v>137.24</v>
      </c>
      <c r="P33" s="129">
        <f t="shared" si="6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4"/>
        <v>109.1</v>
      </c>
      <c r="E34" s="111">
        <f t="shared" si="4"/>
        <v>31.25</v>
      </c>
      <c r="F34" s="111"/>
      <c r="G34" s="112">
        <f t="shared" si="2"/>
        <v>49.684962340620046</v>
      </c>
      <c r="H34" s="111"/>
      <c r="I34" s="111"/>
      <c r="J34" s="112">
        <f t="shared" si="5"/>
        <v>49.684962340620046</v>
      </c>
      <c r="K34" s="112">
        <f t="shared" si="3"/>
        <v>140.35</v>
      </c>
      <c r="L34" s="111">
        <f t="shared" si="1"/>
        <v>140.35</v>
      </c>
      <c r="P34" s="129">
        <f t="shared" si="6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4"/>
        <v>111.58</v>
      </c>
      <c r="E35" s="111">
        <f t="shared" si="4"/>
        <v>31.96</v>
      </c>
      <c r="F35" s="111"/>
      <c r="G35" s="112">
        <f t="shared" si="2"/>
        <v>50.814246486445327</v>
      </c>
      <c r="H35" s="111"/>
      <c r="I35" s="111"/>
      <c r="J35" s="112">
        <f t="shared" si="5"/>
        <v>50.814246486445327</v>
      </c>
      <c r="K35" s="112">
        <f t="shared" si="3"/>
        <v>143.54</v>
      </c>
      <c r="L35" s="111">
        <f t="shared" si="1"/>
        <v>143.54</v>
      </c>
      <c r="P35" s="129">
        <f t="shared" si="6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ref="D36:E37" si="7">ROUND(D35*(1+IRP23_Infl_Rate),2)</f>
        <v>114.11</v>
      </c>
      <c r="E36" s="111">
        <f t="shared" si="7"/>
        <v>32.69</v>
      </c>
      <c r="F36" s="111"/>
      <c r="G36" s="112">
        <f t="shared" si="2"/>
        <v>51.968311162116308</v>
      </c>
      <c r="H36" s="111"/>
      <c r="I36" s="111"/>
      <c r="J36" s="112">
        <f t="shared" si="5"/>
        <v>51.968311162116308</v>
      </c>
      <c r="K36" s="112">
        <f t="shared" si="3"/>
        <v>146.80000000000001</v>
      </c>
      <c r="L36" s="111">
        <f t="shared" si="1"/>
        <v>146.80000000000001</v>
      </c>
      <c r="P36" s="129">
        <f t="shared" si="6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7"/>
        <v>116.7</v>
      </c>
      <c r="E37" s="111">
        <f t="shared" si="7"/>
        <v>33.43</v>
      </c>
      <c r="F37" s="111"/>
      <c r="G37" s="112">
        <f t="shared" si="2"/>
        <v>53.147156367632974</v>
      </c>
      <c r="H37" s="111"/>
      <c r="I37" s="111"/>
      <c r="J37" s="112">
        <f t="shared" si="5"/>
        <v>53.147156367632974</v>
      </c>
      <c r="K37" s="112">
        <f t="shared" si="3"/>
        <v>150.13</v>
      </c>
      <c r="L37" s="111">
        <f t="shared" si="1"/>
        <v>150.13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-PMT(Discount_Rate,COUNT(J19:J37),NPV(Discount_Rate,J19:J37))</f>
        <v>15.330004658053415</v>
      </c>
      <c r="K39" s="287">
        <f>-PMT(Discount_Rate,COUNT(K19:K37),NPV(Discount_Rate,K19:K37))</f>
        <v>43.304496863731742</v>
      </c>
      <c r="L39" s="287">
        <f>-PMT(Discount_Rate,COUNT(L19:L37),NPV(Discount_Rate,L19:L37))</f>
        <v>118.35157523978593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32.2%)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PVS.PX.UTS._.SER.PV - 32%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2025</v>
      </c>
      <c r="T54" s="273" t="s">
        <v>233</v>
      </c>
    </row>
    <row r="55" spans="2:20">
      <c r="B55" t="s">
        <v>152</v>
      </c>
      <c r="C55" s="267"/>
      <c r="D55" s="102" t="s">
        <v>65</v>
      </c>
      <c r="P55" s="226">
        <v>158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0.32246556589655151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87CD0-6FF8-4754-81C3-959B97AF7DD3}">
  <sheetPr>
    <tabColor rgb="FFFFC000"/>
    <pageSetUpPr fitToPage="1"/>
  </sheetPr>
  <dimension ref="B1:AC91"/>
  <sheetViews>
    <sheetView view="pageBreakPreview" topLeftCell="A27" zoomScale="80" zoomScaleNormal="90" zoomScaleSheetLayoutView="80" workbookViewId="0">
      <selection activeCell="T54" sqref="T5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18.1640625" style="102" customWidth="1"/>
    <col min="20" max="20" width="9.33203125" style="102"/>
    <col min="21" max="21" width="15.5" style="102" customWidth="1"/>
    <col min="22" max="22" width="8" style="102" customWidth="1"/>
    <col min="23" max="23" width="31.33203125" style="102" customWidth="1"/>
    <col min="24" max="27" width="9.33203125" style="102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PVS.PX.UWY._.SER.PV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30%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S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S6" s="225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</row>
    <row r="8" spans="2:27" ht="6" customHeight="1"/>
    <row r="9" spans="2:27" ht="15.75">
      <c r="B9" s="39" t="str">
        <f>C52</f>
        <v>PVS.PX.UWY._.SER.PV - 30%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>
        <f t="shared" ref="L13:L37" si="1">(D13+E13+F13)</f>
        <v>0</v>
      </c>
      <c r="R13" s="102" t="s">
        <v>545</v>
      </c>
      <c r="S13" s="129"/>
      <c r="T13" s="102" t="s">
        <v>265</v>
      </c>
      <c r="U13" s="129"/>
      <c r="W13" s="129" t="s">
        <v>276</v>
      </c>
      <c r="X13" s="102" t="s">
        <v>247</v>
      </c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>
        <f t="shared" si="1"/>
        <v>0</v>
      </c>
      <c r="P14" s="114"/>
      <c r="Q14" s="265"/>
      <c r="R14" s="115" t="s">
        <v>232</v>
      </c>
      <c r="S14" s="129" t="s">
        <v>275</v>
      </c>
      <c r="T14" s="102" t="s">
        <v>238</v>
      </c>
      <c r="U14" s="129"/>
      <c r="X14" s="115" t="s">
        <v>232</v>
      </c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>
        <f t="shared" si="1"/>
        <v>0</v>
      </c>
      <c r="P15" s="266"/>
      <c r="Q15" s="265"/>
      <c r="R15" s="115"/>
      <c r="T15" s="102" t="s">
        <v>273</v>
      </c>
      <c r="U15" s="129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>
        <f t="shared" si="1"/>
        <v>0</v>
      </c>
      <c r="R16" s="274">
        <v>1187.3080726195624</v>
      </c>
      <c r="S16" s="284">
        <f>T16-R16</f>
        <v>5.8919273804376644</v>
      </c>
      <c r="T16" s="113">
        <v>1193.2</v>
      </c>
      <c r="U16" s="113"/>
      <c r="X16" s="129">
        <v>21.158014243080867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>
        <f t="shared" si="1"/>
        <v>0</v>
      </c>
      <c r="R17" s="113"/>
      <c r="T17" s="113">
        <f>T16*IRP_PTC_ESC!$Q3</f>
        <v>1604.49604</v>
      </c>
      <c r="U17" s="113"/>
      <c r="V17" s="129"/>
      <c r="X17" s="277">
        <f>X16*(1+IRP23_Infl_Rate)</f>
        <v>21.638301166494205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>
        <f t="shared" si="1"/>
        <v>0</v>
      </c>
      <c r="Q18" s="263"/>
      <c r="R18" s="113"/>
      <c r="T18" s="113">
        <f>T17*IRP_PTC_ESC!$Q4</f>
        <v>1604.49604</v>
      </c>
      <c r="U18" s="113"/>
      <c r="V18" s="129"/>
      <c r="X18" s="277">
        <f>X17*(1+IRP23_Infl_Rate)</f>
        <v>22.12949060307119</v>
      </c>
      <c r="Z18" s="253"/>
      <c r="AC18" s="227"/>
    </row>
    <row r="19" spans="2:29">
      <c r="B19" s="109">
        <f t="shared" si="0"/>
        <v>2025</v>
      </c>
      <c r="C19" s="274">
        <f>+IRP_LTReport!R22</f>
        <v>1604.4960147380882</v>
      </c>
      <c r="D19" s="111">
        <f>C19*$C$62</f>
        <v>81.123318505157727</v>
      </c>
      <c r="E19" s="281">
        <f>IRP_LTReport!L22</f>
        <v>22.323753364081846</v>
      </c>
      <c r="F19" s="111"/>
      <c r="G19" s="112">
        <f t="shared" ref="G19:G37" si="2">(D19+E19+F19)/(8.76*$C$63)</f>
        <v>39.711691295336905</v>
      </c>
      <c r="H19" s="111"/>
      <c r="I19" s="111">
        <v>-35.799999999999997</v>
      </c>
      <c r="J19" s="112">
        <f>(G19+H19+I19)</f>
        <v>3.9116912953369081</v>
      </c>
      <c r="K19" s="112">
        <f t="shared" ref="K19:K37" si="3">ROUND(J19*$C$63*8.76,2)</f>
        <v>10.19</v>
      </c>
      <c r="L19" s="111">
        <f t="shared" si="1"/>
        <v>103.44707186923958</v>
      </c>
      <c r="P19" s="129">
        <f>Q19-I19</f>
        <v>7.629394431774017E-7</v>
      </c>
      <c r="Q19" s="112">
        <v>-35.799999237060554</v>
      </c>
      <c r="R19" s="113"/>
      <c r="T19" s="113">
        <f>T18*IRP_PTC_ESC!$Q5</f>
        <v>1604.49604</v>
      </c>
      <c r="U19" s="284">
        <f>T19-C19</f>
        <v>2.5261911787310964E-5</v>
      </c>
      <c r="W19" s="129"/>
      <c r="X19" s="277">
        <f>X18*(1+IRP23_Infl_Rate)</f>
        <v>22.631830039860688</v>
      </c>
      <c r="Y19" s="129">
        <f>X19-E19</f>
        <v>0.30807667577884246</v>
      </c>
    </row>
    <row r="20" spans="2:29">
      <c r="B20" s="109">
        <f t="shared" si="0"/>
        <v>2026</v>
      </c>
      <c r="C20" s="113"/>
      <c r="D20" s="111">
        <f t="shared" ref="D20:E35" si="4">ROUND(D19*(1+IRP23_Infl_Rate),2)</f>
        <v>82.96</v>
      </c>
      <c r="E20" s="111">
        <f t="shared" si="4"/>
        <v>22.83</v>
      </c>
      <c r="F20" s="165"/>
      <c r="G20" s="112">
        <f t="shared" si="2"/>
        <v>40.611104270249577</v>
      </c>
      <c r="H20" s="111"/>
      <c r="I20" s="111">
        <v>-37.130000000000003</v>
      </c>
      <c r="J20" s="112">
        <f t="shared" ref="J20:J37" si="5">(G20+H20+I20)</f>
        <v>3.481104270249574</v>
      </c>
      <c r="K20" s="112">
        <f t="shared" si="3"/>
        <v>9.07</v>
      </c>
      <c r="L20" s="111">
        <f t="shared" si="1"/>
        <v>105.78999999999999</v>
      </c>
      <c r="P20" s="129">
        <f t="shared" ref="P20:P36" si="6">Q20-I20</f>
        <v>-1.0681154449798669E-6</v>
      </c>
      <c r="Q20" s="112">
        <v>-37.130001068115448</v>
      </c>
      <c r="S20" s="129"/>
      <c r="V20" s="129"/>
      <c r="W20" s="129"/>
      <c r="Y20" s="129"/>
    </row>
    <row r="21" spans="2:29">
      <c r="B21" s="109">
        <f t="shared" si="0"/>
        <v>2027</v>
      </c>
      <c r="C21" s="113"/>
      <c r="D21" s="111">
        <f t="shared" si="4"/>
        <v>84.84</v>
      </c>
      <c r="E21" s="111">
        <f t="shared" si="4"/>
        <v>23.35</v>
      </c>
      <c r="F21" s="111"/>
      <c r="G21" s="112">
        <f t="shared" si="2"/>
        <v>41.53242623119673</v>
      </c>
      <c r="H21" s="111"/>
      <c r="I21" s="111">
        <v>-38.450000000000003</v>
      </c>
      <c r="J21" s="112">
        <f t="shared" si="5"/>
        <v>3.0824262311967274</v>
      </c>
      <c r="K21" s="112">
        <f t="shared" si="3"/>
        <v>8.0299999999999994</v>
      </c>
      <c r="L21" s="111">
        <f t="shared" si="1"/>
        <v>108.19</v>
      </c>
      <c r="P21" s="129">
        <f t="shared" si="6"/>
        <v>0</v>
      </c>
      <c r="Q21" s="112">
        <v>-38.450000000000031</v>
      </c>
      <c r="S21" s="129"/>
      <c r="V21" s="129"/>
      <c r="W21" s="129"/>
      <c r="Y21" s="129"/>
      <c r="Z21" s="129"/>
      <c r="AA21" s="129"/>
    </row>
    <row r="22" spans="2:29">
      <c r="B22" s="109">
        <f t="shared" si="0"/>
        <v>2028</v>
      </c>
      <c r="C22" s="113"/>
      <c r="D22" s="111">
        <f t="shared" si="4"/>
        <v>86.77</v>
      </c>
      <c r="E22" s="111">
        <f t="shared" si="4"/>
        <v>23.88</v>
      </c>
      <c r="F22" s="111"/>
      <c r="G22" s="112">
        <f t="shared" si="2"/>
        <v>42.476781241167558</v>
      </c>
      <c r="H22" s="111"/>
      <c r="I22" s="111">
        <v>-38.450000000000003</v>
      </c>
      <c r="J22" s="112">
        <f t="shared" si="5"/>
        <v>4.026781241167555</v>
      </c>
      <c r="K22" s="112">
        <f t="shared" si="3"/>
        <v>10.49</v>
      </c>
      <c r="L22" s="111">
        <f t="shared" si="1"/>
        <v>110.64999999999999</v>
      </c>
      <c r="P22" s="129">
        <f t="shared" si="6"/>
        <v>-7.6293945028282906E-7</v>
      </c>
      <c r="Q22" s="112">
        <v>-38.450000762939453</v>
      </c>
      <c r="S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4"/>
        <v>88.74</v>
      </c>
      <c r="E23" s="111">
        <f t="shared" si="4"/>
        <v>24.42</v>
      </c>
      <c r="F23" s="111"/>
      <c r="G23" s="112">
        <f t="shared" si="2"/>
        <v>43.440330458658124</v>
      </c>
      <c r="H23" s="111"/>
      <c r="I23" s="111">
        <v>-39.78</v>
      </c>
      <c r="J23" s="112">
        <f t="shared" si="5"/>
        <v>3.6603304586581231</v>
      </c>
      <c r="K23" s="112">
        <f t="shared" si="3"/>
        <v>9.5299999999999994</v>
      </c>
      <c r="L23" s="111">
        <f t="shared" si="1"/>
        <v>113.16</v>
      </c>
      <c r="P23" s="129">
        <f t="shared" si="6"/>
        <v>-3.3395508580724709E-13</v>
      </c>
      <c r="Q23" s="112">
        <v>-39.780000000000335</v>
      </c>
      <c r="S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4"/>
        <v>90.75</v>
      </c>
      <c r="E24" s="111">
        <f t="shared" si="4"/>
        <v>24.97</v>
      </c>
      <c r="F24" s="111"/>
      <c r="G24" s="112">
        <f t="shared" si="2"/>
        <v>44.423073883668415</v>
      </c>
      <c r="H24" s="111"/>
      <c r="I24" s="111">
        <v>-39.78</v>
      </c>
      <c r="J24" s="112">
        <f t="shared" si="5"/>
        <v>4.6430738836684142</v>
      </c>
      <c r="K24" s="112">
        <f t="shared" si="3"/>
        <v>12.09</v>
      </c>
      <c r="L24" s="111">
        <f t="shared" si="1"/>
        <v>115.72</v>
      </c>
      <c r="P24" s="129">
        <f t="shared" si="6"/>
        <v>1.2207033606159712E-6</v>
      </c>
      <c r="Q24" s="112">
        <v>-39.779998779296641</v>
      </c>
      <c r="S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4"/>
        <v>92.81</v>
      </c>
      <c r="E25" s="111">
        <f t="shared" si="4"/>
        <v>25.54</v>
      </c>
      <c r="F25" s="111"/>
      <c r="G25" s="112">
        <f t="shared" si="2"/>
        <v>45.43268919920633</v>
      </c>
      <c r="H25" s="111"/>
      <c r="I25" s="111">
        <v>-41.11</v>
      </c>
      <c r="J25" s="112">
        <f t="shared" si="5"/>
        <v>4.3226891992063301</v>
      </c>
      <c r="K25" s="112">
        <f t="shared" si="3"/>
        <v>11.26</v>
      </c>
      <c r="L25" s="111">
        <f t="shared" si="1"/>
        <v>118.35</v>
      </c>
      <c r="P25" s="129">
        <f t="shared" si="6"/>
        <v>0</v>
      </c>
      <c r="Q25" s="112">
        <v>-41.109999999999971</v>
      </c>
      <c r="S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4"/>
        <v>94.92</v>
      </c>
      <c r="E26" s="111">
        <f t="shared" si="4"/>
        <v>26.12</v>
      </c>
      <c r="F26" s="111"/>
      <c r="G26" s="112">
        <f t="shared" si="2"/>
        <v>46.465337563767932</v>
      </c>
      <c r="H26" s="111"/>
      <c r="I26" s="111">
        <v>-41.11</v>
      </c>
      <c r="J26" s="112">
        <f t="shared" si="5"/>
        <v>5.3553375637679324</v>
      </c>
      <c r="K26" s="112">
        <f t="shared" si="3"/>
        <v>13.95</v>
      </c>
      <c r="L26" s="111">
        <f t="shared" si="1"/>
        <v>121.04</v>
      </c>
      <c r="P26" s="129">
        <f t="shared" si="6"/>
        <v>-6.1035051146518526E-7</v>
      </c>
      <c r="Q26" s="112">
        <v>-41.110000610350511</v>
      </c>
      <c r="S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4"/>
        <v>97.07</v>
      </c>
      <c r="E27" s="111">
        <f t="shared" si="4"/>
        <v>26.71</v>
      </c>
      <c r="F27" s="111"/>
      <c r="G27" s="112">
        <f t="shared" si="2"/>
        <v>47.517180135849259</v>
      </c>
      <c r="H27" s="111"/>
      <c r="I27" s="111">
        <v>-42.43</v>
      </c>
      <c r="J27" s="112">
        <f t="shared" si="5"/>
        <v>5.087180135849259</v>
      </c>
      <c r="K27" s="112">
        <f t="shared" si="3"/>
        <v>13.25</v>
      </c>
      <c r="L27" s="111">
        <f t="shared" si="1"/>
        <v>123.78</v>
      </c>
      <c r="P27" s="129">
        <f t="shared" si="6"/>
        <v>42.43</v>
      </c>
      <c r="Q27" s="112">
        <v>0</v>
      </c>
      <c r="S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4"/>
        <v>99.27</v>
      </c>
      <c r="E28" s="111">
        <f t="shared" si="4"/>
        <v>27.32</v>
      </c>
      <c r="F28" s="111"/>
      <c r="G28" s="112">
        <f t="shared" si="2"/>
        <v>48.595894598458216</v>
      </c>
      <c r="H28" s="111"/>
      <c r="I28" s="111">
        <v>-43.76</v>
      </c>
      <c r="J28" s="112">
        <f t="shared" si="5"/>
        <v>4.8358945984582178</v>
      </c>
      <c r="K28" s="112">
        <f t="shared" si="3"/>
        <v>12.6</v>
      </c>
      <c r="L28" s="111">
        <f t="shared" si="1"/>
        <v>126.59</v>
      </c>
      <c r="P28" s="129">
        <f t="shared" si="6"/>
        <v>87.520000000004003</v>
      </c>
      <c r="Q28" s="112">
        <v>43.760000000004005</v>
      </c>
      <c r="S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4"/>
        <v>101.52</v>
      </c>
      <c r="E29" s="111">
        <f t="shared" si="4"/>
        <v>27.94</v>
      </c>
      <c r="F29" s="111"/>
      <c r="G29" s="112">
        <f t="shared" si="2"/>
        <v>49.697642110090854</v>
      </c>
      <c r="H29" s="111"/>
      <c r="I29" s="111"/>
      <c r="J29" s="112">
        <f t="shared" si="5"/>
        <v>49.697642110090854</v>
      </c>
      <c r="K29" s="112">
        <f t="shared" si="3"/>
        <v>129.46</v>
      </c>
      <c r="L29" s="111">
        <f t="shared" si="1"/>
        <v>129.46</v>
      </c>
      <c r="P29" s="129">
        <f t="shared" si="6"/>
        <v>0</v>
      </c>
      <c r="Q29" s="112">
        <v>0</v>
      </c>
      <c r="S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4"/>
        <v>103.82</v>
      </c>
      <c r="E30" s="111">
        <f t="shared" si="4"/>
        <v>28.57</v>
      </c>
      <c r="F30" s="111"/>
      <c r="G30" s="112">
        <f t="shared" si="2"/>
        <v>50.822422670747159</v>
      </c>
      <c r="H30" s="111"/>
      <c r="I30" s="111"/>
      <c r="J30" s="112">
        <f t="shared" si="5"/>
        <v>50.822422670747159</v>
      </c>
      <c r="K30" s="112">
        <f t="shared" si="3"/>
        <v>132.38999999999999</v>
      </c>
      <c r="L30" s="111">
        <f t="shared" si="1"/>
        <v>132.38999999999999</v>
      </c>
      <c r="P30" s="129">
        <f t="shared" si="6"/>
        <v>0</v>
      </c>
      <c r="Q30" s="112">
        <v>0</v>
      </c>
      <c r="S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4"/>
        <v>106.18</v>
      </c>
      <c r="E31" s="111">
        <f t="shared" si="4"/>
        <v>29.22</v>
      </c>
      <c r="F31" s="111"/>
      <c r="G31" s="112">
        <f t="shared" si="2"/>
        <v>51.97791396343505</v>
      </c>
      <c r="H31" s="111"/>
      <c r="I31" s="111"/>
      <c r="J31" s="112">
        <f t="shared" si="5"/>
        <v>51.97791396343505</v>
      </c>
      <c r="K31" s="112">
        <f t="shared" si="3"/>
        <v>135.4</v>
      </c>
      <c r="L31" s="111">
        <f t="shared" si="1"/>
        <v>135.4</v>
      </c>
      <c r="P31" s="129">
        <f t="shared" si="6"/>
        <v>0</v>
      </c>
      <c r="Q31" s="112">
        <v>0</v>
      </c>
      <c r="S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4"/>
        <v>108.59</v>
      </c>
      <c r="E32" s="111">
        <f t="shared" si="4"/>
        <v>29.88</v>
      </c>
      <c r="F32" s="111"/>
      <c r="G32" s="112">
        <f t="shared" si="2"/>
        <v>53.156438305146608</v>
      </c>
      <c r="H32" s="111"/>
      <c r="I32" s="111"/>
      <c r="J32" s="112">
        <f t="shared" si="5"/>
        <v>53.156438305146608</v>
      </c>
      <c r="K32" s="112">
        <f t="shared" si="3"/>
        <v>138.47</v>
      </c>
      <c r="L32" s="111">
        <f t="shared" si="1"/>
        <v>138.47</v>
      </c>
      <c r="P32" s="129">
        <f t="shared" si="6"/>
        <v>0</v>
      </c>
      <c r="Q32" s="112">
        <v>0</v>
      </c>
      <c r="S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4"/>
        <v>111.05</v>
      </c>
      <c r="E33" s="111">
        <f t="shared" si="4"/>
        <v>30.56</v>
      </c>
      <c r="F33" s="111"/>
      <c r="G33" s="112">
        <f t="shared" si="2"/>
        <v>54.361834537385789</v>
      </c>
      <c r="H33" s="111"/>
      <c r="I33" s="111"/>
      <c r="J33" s="112">
        <f t="shared" si="5"/>
        <v>54.361834537385789</v>
      </c>
      <c r="K33" s="112">
        <f t="shared" si="3"/>
        <v>141.61000000000001</v>
      </c>
      <c r="L33" s="111">
        <f t="shared" si="1"/>
        <v>141.60999999999999</v>
      </c>
      <c r="P33" s="129">
        <f t="shared" si="6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4"/>
        <v>113.57</v>
      </c>
      <c r="E34" s="111">
        <f t="shared" si="4"/>
        <v>31.25</v>
      </c>
      <c r="F34" s="111"/>
      <c r="G34" s="112">
        <f t="shared" si="2"/>
        <v>55.594102660152608</v>
      </c>
      <c r="H34" s="111"/>
      <c r="I34" s="111"/>
      <c r="J34" s="112">
        <f t="shared" si="5"/>
        <v>55.594102660152608</v>
      </c>
      <c r="K34" s="112">
        <f t="shared" si="3"/>
        <v>144.82</v>
      </c>
      <c r="L34" s="111">
        <f t="shared" si="1"/>
        <v>144.82</v>
      </c>
      <c r="P34" s="129">
        <f t="shared" si="6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4"/>
        <v>116.15</v>
      </c>
      <c r="E35" s="111">
        <f t="shared" si="4"/>
        <v>31.96</v>
      </c>
      <c r="F35" s="111"/>
      <c r="G35" s="112">
        <f t="shared" si="2"/>
        <v>56.857081514950998</v>
      </c>
      <c r="H35" s="111"/>
      <c r="I35" s="111"/>
      <c r="J35" s="112">
        <f t="shared" si="5"/>
        <v>56.857081514950998</v>
      </c>
      <c r="K35" s="112">
        <f t="shared" si="3"/>
        <v>148.11000000000001</v>
      </c>
      <c r="L35" s="111">
        <f t="shared" si="1"/>
        <v>148.11000000000001</v>
      </c>
      <c r="P35" s="129">
        <f t="shared" si="6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ref="D36:E37" si="7">ROUND(D35*(1+IRP23_Infl_Rate),2)</f>
        <v>118.79</v>
      </c>
      <c r="E36" s="111">
        <f t="shared" si="7"/>
        <v>32.69</v>
      </c>
      <c r="F36" s="111"/>
      <c r="G36" s="112">
        <f t="shared" si="2"/>
        <v>58.150771101780954</v>
      </c>
      <c r="H36" s="111"/>
      <c r="I36" s="111"/>
      <c r="J36" s="112">
        <f t="shared" si="5"/>
        <v>58.150771101780954</v>
      </c>
      <c r="K36" s="112">
        <f t="shared" si="3"/>
        <v>151.47999999999999</v>
      </c>
      <c r="L36" s="111">
        <f t="shared" si="1"/>
        <v>151.48000000000002</v>
      </c>
      <c r="P36" s="129">
        <f t="shared" si="6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7"/>
        <v>121.49</v>
      </c>
      <c r="E37" s="111">
        <f t="shared" si="7"/>
        <v>33.43</v>
      </c>
      <c r="F37" s="111"/>
      <c r="G37" s="112">
        <f t="shared" si="2"/>
        <v>59.471332579138526</v>
      </c>
      <c r="H37" s="111"/>
      <c r="I37" s="111"/>
      <c r="J37" s="112">
        <f t="shared" si="5"/>
        <v>59.471332579138526</v>
      </c>
      <c r="K37" s="112">
        <f t="shared" si="3"/>
        <v>154.91999999999999</v>
      </c>
      <c r="L37" s="111">
        <f t="shared" si="1"/>
        <v>154.91999999999999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-PMT(Discount_Rate,COUNT(J19:J37),NPV(Discount_Rate,J19:J37))</f>
        <v>20.315346892976098</v>
      </c>
      <c r="K39" s="287">
        <f>-PMT(Discount_Rate,COUNT(K19:K37),NPV(Discount_Rate,K19:K37))</f>
        <v>52.920085114789053</v>
      </c>
      <c r="L39" s="287">
        <f>-PMT(Discount_Rate,COUNT(L19:L37),NPV(Discount_Rate,L19:L37))</f>
        <v>122.1271981435554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29.7%)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1">
      <c r="C49" s="119" t="str">
        <f>K7</f>
        <v>(h)</v>
      </c>
      <c r="D49" t="str">
        <f>D44</f>
        <v>Plant Costs  - 2023 IRP - Table 7.1 &amp; 7.2</v>
      </c>
    </row>
    <row r="50" spans="2:21">
      <c r="C50" s="119"/>
      <c r="D50" s="112"/>
    </row>
    <row r="51" spans="2:21" ht="13.5" thickBot="1"/>
    <row r="52" spans="2:21" ht="13.5" thickBot="1">
      <c r="C52" s="38" t="str">
        <f>B2&amp;" - "&amp;B3</f>
        <v>PVS.PX.UWY._.SER.PV - 30%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1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1">
      <c r="Q54" s="102" t="s">
        <v>98</v>
      </c>
      <c r="R54" s="102">
        <v>2025</v>
      </c>
      <c r="S54" s="273"/>
      <c r="T54" s="273" t="s">
        <v>248</v>
      </c>
    </row>
    <row r="55" spans="2:21">
      <c r="B55" t="s">
        <v>152</v>
      </c>
      <c r="C55" s="267"/>
      <c r="D55" s="102" t="s">
        <v>65</v>
      </c>
      <c r="P55" s="226">
        <v>272</v>
      </c>
      <c r="Q55" s="102" t="s">
        <v>32</v>
      </c>
      <c r="S55" s="273"/>
    </row>
    <row r="56" spans="2:21">
      <c r="B56" t="s">
        <v>152</v>
      </c>
      <c r="C56" s="126"/>
      <c r="D56" s="102" t="s">
        <v>68</v>
      </c>
    </row>
    <row r="57" spans="2:21" ht="24" customHeight="1">
      <c r="B57"/>
      <c r="C57" s="129"/>
      <c r="D57" s="102" t="s">
        <v>99</v>
      </c>
      <c r="R57" s="175"/>
    </row>
    <row r="58" spans="2:21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  <c r="U58" s="102" t="s">
        <v>508</v>
      </c>
    </row>
    <row r="59" spans="2:21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1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L60" s="270"/>
      <c r="M60" s="270"/>
      <c r="N60" s="270"/>
      <c r="P60" s="127"/>
    </row>
    <row r="61" spans="2:21">
      <c r="B61"/>
      <c r="C61" s="166"/>
      <c r="L61" s="270"/>
      <c r="M61" s="270"/>
      <c r="N61" s="270"/>
      <c r="P61" s="270"/>
    </row>
    <row r="62" spans="2:21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1">
      <c r="C63" s="272">
        <v>0.29736901360526885</v>
      </c>
      <c r="D63" s="102" t="s">
        <v>37</v>
      </c>
    </row>
    <row r="64" spans="2:21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BBEE1-1574-402E-B6AB-6DC35FF1E39F}">
  <sheetPr>
    <tabColor rgb="FFFFC000"/>
    <pageSetUpPr fitToPage="1"/>
  </sheetPr>
  <dimension ref="B1:AC91"/>
  <sheetViews>
    <sheetView zoomScale="70" zoomScaleNormal="70" workbookViewId="0">
      <selection activeCell="B3" sqref="B3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18.1640625" style="102" customWidth="1"/>
    <col min="20" max="20" width="9.33203125" style="102"/>
    <col min="21" max="21" width="22.33203125" style="102" customWidth="1"/>
    <col min="22" max="22" width="18.1640625" style="102" customWidth="1"/>
    <col min="23" max="23" width="9.6640625" style="102" bestFit="1" customWidth="1"/>
    <col min="24" max="27" width="9.33203125" style="102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PVS.PX.WYE._.SER.PV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30%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S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S6" s="225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</row>
    <row r="8" spans="2:27" ht="6" customHeight="1"/>
    <row r="9" spans="2:27" ht="15.75">
      <c r="B9" s="39" t="str">
        <f>C52</f>
        <v>PVS.PX.WYE._.SER.PV - 30%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>
        <f t="shared" ref="L13:L37" si="1">(D13+E13+F13)</f>
        <v>0</v>
      </c>
      <c r="R13" s="102" t="s">
        <v>545</v>
      </c>
      <c r="S13" s="129"/>
      <c r="T13" s="102" t="s">
        <v>265</v>
      </c>
      <c r="U13" s="129"/>
      <c r="W13" s="129"/>
      <c r="X13" s="102" t="s">
        <v>247</v>
      </c>
      <c r="Z13" s="129"/>
      <c r="AA13" s="129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>
        <f t="shared" si="1"/>
        <v>0</v>
      </c>
      <c r="P14" s="114"/>
      <c r="Q14" s="265"/>
      <c r="R14" s="115" t="s">
        <v>232</v>
      </c>
      <c r="S14" s="129" t="s">
        <v>275</v>
      </c>
      <c r="T14" s="102" t="s">
        <v>238</v>
      </c>
      <c r="U14" s="129"/>
      <c r="X14" s="115" t="s">
        <v>232</v>
      </c>
      <c r="Z14" s="129"/>
      <c r="AA14" s="129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>
        <f t="shared" si="1"/>
        <v>0</v>
      </c>
      <c r="P15" s="266"/>
      <c r="Q15" s="265"/>
      <c r="R15" s="115"/>
      <c r="W15" s="129"/>
      <c r="Z15" s="129"/>
      <c r="AA15" s="129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>
        <f t="shared" si="1"/>
        <v>0</v>
      </c>
      <c r="R16" s="274">
        <v>1187.3080726195624</v>
      </c>
      <c r="S16" s="284">
        <f>T16-R16</f>
        <v>5.8919273804376644</v>
      </c>
      <c r="T16" s="113">
        <v>1193.2</v>
      </c>
      <c r="U16" s="113"/>
      <c r="X16" s="129">
        <v>21.158014243080867</v>
      </c>
      <c r="Z16" s="129"/>
      <c r="AA16" s="129"/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>
        <f t="shared" si="1"/>
        <v>0</v>
      </c>
      <c r="R17" s="113"/>
      <c r="T17" s="113">
        <f>T16*IRP_PTC_ESC!$Q3</f>
        <v>1604.49604</v>
      </c>
      <c r="U17" s="113"/>
      <c r="V17" s="129"/>
      <c r="X17" s="277">
        <f>X16*(1+IRP23_Infl_Rate)</f>
        <v>21.638301166494205</v>
      </c>
      <c r="Z17" s="129"/>
      <c r="AA17" s="129"/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>
        <f t="shared" si="1"/>
        <v>0</v>
      </c>
      <c r="Q18" s="263"/>
      <c r="R18" s="113"/>
      <c r="T18" s="113">
        <f>T17*IRP_PTC_ESC!$Q4</f>
        <v>1604.49604</v>
      </c>
      <c r="U18" s="113"/>
      <c r="V18" s="129"/>
      <c r="X18" s="277">
        <f>X17*(1+IRP23_Infl_Rate)</f>
        <v>22.12949060307119</v>
      </c>
      <c r="Z18" s="129"/>
      <c r="AA18" s="129"/>
      <c r="AB18" s="253"/>
      <c r="AC18" s="227"/>
    </row>
    <row r="19" spans="2:29">
      <c r="B19" s="109">
        <f t="shared" si="0"/>
        <v>2025</v>
      </c>
      <c r="C19" s="274">
        <f>+IRP_LTReport!R26</f>
        <v>1604.4960147380757</v>
      </c>
      <c r="D19" s="111">
        <f>C19*$C$62</f>
        <v>81.123318505157101</v>
      </c>
      <c r="E19" s="281">
        <f>IRP_LTReport!L26</f>
        <v>22.323753364080709</v>
      </c>
      <c r="F19" s="111"/>
      <c r="G19" s="112">
        <f t="shared" ref="G19:G37" si="2">(D19+E19+F19)/(8.76*$C$63)</f>
        <v>39.711691295336223</v>
      </c>
      <c r="H19" s="111"/>
      <c r="I19" s="111">
        <v>-35.799999999999997</v>
      </c>
      <c r="J19" s="112">
        <f>(G19+H19+I19)</f>
        <v>3.9116912953362259</v>
      </c>
      <c r="K19" s="112">
        <f t="shared" ref="K19:K37" si="3">ROUND(J19*$C$63*8.76,2)</f>
        <v>10.19</v>
      </c>
      <c r="L19" s="111">
        <f t="shared" si="1"/>
        <v>103.44707186923782</v>
      </c>
      <c r="P19" s="129">
        <f>Q19-I19</f>
        <v>7.6293732576004913E-7</v>
      </c>
      <c r="Q19" s="112">
        <v>-35.799999237062671</v>
      </c>
      <c r="R19" s="113"/>
      <c r="T19" s="113">
        <f>T18*IRP_PTC_ESC!$Q5</f>
        <v>1604.49604</v>
      </c>
      <c r="U19" s="284">
        <f>T19-C19</f>
        <v>2.5261924292863114E-5</v>
      </c>
      <c r="W19" s="129"/>
      <c r="X19" s="277">
        <f>X18*(1+IRP23_Infl_Rate)</f>
        <v>22.631830039860688</v>
      </c>
      <c r="Y19" s="129">
        <f>X19-E19</f>
        <v>0.30807667577997933</v>
      </c>
      <c r="Z19" s="129"/>
      <c r="AA19" s="129"/>
    </row>
    <row r="20" spans="2:29">
      <c r="B20" s="109">
        <f t="shared" si="0"/>
        <v>2026</v>
      </c>
      <c r="C20" s="113"/>
      <c r="D20" s="111">
        <f t="shared" ref="D20:E35" si="4">ROUND(D19*(1+IRP23_Infl_Rate),2)</f>
        <v>82.96</v>
      </c>
      <c r="E20" s="111">
        <f t="shared" si="4"/>
        <v>22.83</v>
      </c>
      <c r="F20" s="165"/>
      <c r="G20" s="112">
        <f t="shared" si="2"/>
        <v>40.611104270249577</v>
      </c>
      <c r="H20" s="111"/>
      <c r="I20" s="111">
        <v>-37.130000000000003</v>
      </c>
      <c r="J20" s="112">
        <f t="shared" ref="J20:J37" si="5">(G20+H20+I20)</f>
        <v>3.481104270249574</v>
      </c>
      <c r="K20" s="112">
        <f t="shared" si="3"/>
        <v>9.07</v>
      </c>
      <c r="L20" s="111">
        <f t="shared" si="1"/>
        <v>105.78999999999999</v>
      </c>
      <c r="P20" s="129">
        <f t="shared" ref="P20:P36" si="6">Q20-I20</f>
        <v>-1.0681172994964072E-6</v>
      </c>
      <c r="Q20" s="112">
        <v>-37.130001068117302</v>
      </c>
      <c r="S20" s="129"/>
      <c r="V20" s="129"/>
      <c r="W20" s="129"/>
      <c r="Y20" s="129"/>
      <c r="Z20" s="129"/>
      <c r="AA20" s="129"/>
    </row>
    <row r="21" spans="2:29">
      <c r="B21" s="109">
        <f t="shared" si="0"/>
        <v>2027</v>
      </c>
      <c r="C21" s="113"/>
      <c r="D21" s="111">
        <f t="shared" si="4"/>
        <v>84.84</v>
      </c>
      <c r="E21" s="111">
        <f t="shared" si="4"/>
        <v>23.35</v>
      </c>
      <c r="F21" s="111"/>
      <c r="G21" s="112">
        <f t="shared" si="2"/>
        <v>41.53242623119673</v>
      </c>
      <c r="H21" s="111"/>
      <c r="I21" s="111">
        <v>-38.450000000000003</v>
      </c>
      <c r="J21" s="112">
        <f t="shared" si="5"/>
        <v>3.0824262311967274</v>
      </c>
      <c r="K21" s="112">
        <f t="shared" si="3"/>
        <v>8.0299999999999994</v>
      </c>
      <c r="L21" s="111">
        <f t="shared" si="1"/>
        <v>108.19</v>
      </c>
      <c r="P21" s="129">
        <f t="shared" si="6"/>
        <v>-2.3803181647963356E-12</v>
      </c>
      <c r="Q21" s="112">
        <v>-38.450000000002383</v>
      </c>
      <c r="S21" s="129"/>
      <c r="V21" s="129"/>
      <c r="W21" s="129"/>
      <c r="Y21" s="129"/>
      <c r="Z21" s="129"/>
      <c r="AA21" s="129"/>
    </row>
    <row r="22" spans="2:29">
      <c r="B22" s="109">
        <f t="shared" si="0"/>
        <v>2028</v>
      </c>
      <c r="C22" s="113"/>
      <c r="D22" s="111">
        <f t="shared" si="4"/>
        <v>86.77</v>
      </c>
      <c r="E22" s="111">
        <f t="shared" si="4"/>
        <v>23.88</v>
      </c>
      <c r="F22" s="111"/>
      <c r="G22" s="112">
        <f t="shared" si="2"/>
        <v>42.476781241167558</v>
      </c>
      <c r="H22" s="111"/>
      <c r="I22" s="111">
        <v>-38.450000000000003</v>
      </c>
      <c r="J22" s="112">
        <f t="shared" si="5"/>
        <v>4.026781241167555</v>
      </c>
      <c r="K22" s="112">
        <f t="shared" si="3"/>
        <v>10.49</v>
      </c>
      <c r="L22" s="111">
        <f t="shared" si="1"/>
        <v>110.64999999999999</v>
      </c>
      <c r="P22" s="129">
        <f t="shared" si="6"/>
        <v>-7.6294148243505333E-7</v>
      </c>
      <c r="Q22" s="112">
        <v>-38.450000762941485</v>
      </c>
      <c r="S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4"/>
        <v>88.74</v>
      </c>
      <c r="E23" s="111">
        <f t="shared" si="4"/>
        <v>24.42</v>
      </c>
      <c r="F23" s="111"/>
      <c r="G23" s="112">
        <f t="shared" si="2"/>
        <v>43.440330458658124</v>
      </c>
      <c r="H23" s="111"/>
      <c r="I23" s="111">
        <v>-39.78</v>
      </c>
      <c r="J23" s="112">
        <f t="shared" si="5"/>
        <v>3.6603304586581231</v>
      </c>
      <c r="K23" s="112">
        <f t="shared" si="3"/>
        <v>9.5299999999999994</v>
      </c>
      <c r="L23" s="111">
        <f t="shared" si="1"/>
        <v>113.16</v>
      </c>
      <c r="P23" s="129">
        <f t="shared" si="6"/>
        <v>-2.5437429940211587E-12</v>
      </c>
      <c r="Q23" s="112">
        <v>-39.780000000002545</v>
      </c>
      <c r="S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4"/>
        <v>90.75</v>
      </c>
      <c r="E24" s="111">
        <f t="shared" si="4"/>
        <v>24.97</v>
      </c>
      <c r="F24" s="111"/>
      <c r="G24" s="112">
        <f t="shared" si="2"/>
        <v>44.423073883668415</v>
      </c>
      <c r="H24" s="111"/>
      <c r="I24" s="111">
        <v>-39.78</v>
      </c>
      <c r="J24" s="112">
        <f t="shared" si="5"/>
        <v>4.6430738836684142</v>
      </c>
      <c r="K24" s="112">
        <f t="shared" si="3"/>
        <v>12.09</v>
      </c>
      <c r="L24" s="111">
        <f t="shared" si="1"/>
        <v>115.72</v>
      </c>
      <c r="P24" s="129">
        <f t="shared" si="6"/>
        <v>1.2207000068542584E-6</v>
      </c>
      <c r="Q24" s="112">
        <v>-39.779998779299994</v>
      </c>
      <c r="S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4"/>
        <v>92.81</v>
      </c>
      <c r="E25" s="111">
        <f t="shared" si="4"/>
        <v>25.54</v>
      </c>
      <c r="F25" s="111"/>
      <c r="G25" s="112">
        <f t="shared" si="2"/>
        <v>45.43268919920633</v>
      </c>
      <c r="H25" s="111"/>
      <c r="I25" s="111">
        <v>-41.11</v>
      </c>
      <c r="J25" s="112">
        <f t="shared" si="5"/>
        <v>4.3226891992063301</v>
      </c>
      <c r="K25" s="112">
        <f t="shared" si="3"/>
        <v>11.26</v>
      </c>
      <c r="L25" s="111">
        <f t="shared" si="1"/>
        <v>118.35</v>
      </c>
      <c r="P25" s="129">
        <f t="shared" si="6"/>
        <v>-2.1174173525650986E-12</v>
      </c>
      <c r="Q25" s="112">
        <v>-41.110000000002117</v>
      </c>
      <c r="S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4"/>
        <v>94.92</v>
      </c>
      <c r="E26" s="111">
        <f t="shared" si="4"/>
        <v>26.12</v>
      </c>
      <c r="F26" s="111"/>
      <c r="G26" s="112">
        <f t="shared" si="2"/>
        <v>46.465337563767932</v>
      </c>
      <c r="H26" s="111"/>
      <c r="I26" s="111">
        <v>-41.11</v>
      </c>
      <c r="J26" s="112">
        <f t="shared" si="5"/>
        <v>5.3553375637679324</v>
      </c>
      <c r="K26" s="112">
        <f t="shared" si="3"/>
        <v>13.95</v>
      </c>
      <c r="L26" s="111">
        <f t="shared" si="1"/>
        <v>121.04</v>
      </c>
      <c r="P26" s="129">
        <f t="shared" si="6"/>
        <v>-6.1035427734168479E-7</v>
      </c>
      <c r="Q26" s="112">
        <v>-41.110000610354277</v>
      </c>
      <c r="S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4"/>
        <v>97.07</v>
      </c>
      <c r="E27" s="111">
        <f t="shared" si="4"/>
        <v>26.71</v>
      </c>
      <c r="F27" s="111"/>
      <c r="G27" s="112">
        <f t="shared" si="2"/>
        <v>47.517180135849259</v>
      </c>
      <c r="H27" s="111"/>
      <c r="I27" s="111">
        <v>-42.43</v>
      </c>
      <c r="J27" s="112">
        <f t="shared" si="5"/>
        <v>5.087180135849259</v>
      </c>
      <c r="K27" s="112">
        <f t="shared" si="3"/>
        <v>13.25</v>
      </c>
      <c r="L27" s="111">
        <f t="shared" si="1"/>
        <v>123.78</v>
      </c>
      <c r="P27" s="129">
        <f t="shared" si="6"/>
        <v>-3.0517840343691205E-7</v>
      </c>
      <c r="Q27" s="112">
        <v>-42.430000305178403</v>
      </c>
      <c r="S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4"/>
        <v>99.27</v>
      </c>
      <c r="E28" s="111">
        <f t="shared" si="4"/>
        <v>27.32</v>
      </c>
      <c r="F28" s="111"/>
      <c r="G28" s="112">
        <f t="shared" si="2"/>
        <v>48.595894598458216</v>
      </c>
      <c r="H28" s="111"/>
      <c r="I28" s="111">
        <v>-43.76</v>
      </c>
      <c r="J28" s="112">
        <f t="shared" si="5"/>
        <v>4.8358945984582178</v>
      </c>
      <c r="K28" s="112">
        <f t="shared" si="3"/>
        <v>12.6</v>
      </c>
      <c r="L28" s="111">
        <f t="shared" si="1"/>
        <v>126.59</v>
      </c>
      <c r="P28" s="129">
        <f t="shared" si="6"/>
        <v>-3.2969182939268649E-12</v>
      </c>
      <c r="Q28" s="112">
        <v>-43.760000000003295</v>
      </c>
      <c r="S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4"/>
        <v>101.52</v>
      </c>
      <c r="E29" s="111">
        <f t="shared" si="4"/>
        <v>27.94</v>
      </c>
      <c r="F29" s="111"/>
      <c r="G29" s="112">
        <f t="shared" si="2"/>
        <v>49.697642110090854</v>
      </c>
      <c r="H29" s="111"/>
      <c r="I29" s="111"/>
      <c r="J29" s="112">
        <f t="shared" si="5"/>
        <v>49.697642110090854</v>
      </c>
      <c r="K29" s="112">
        <f t="shared" si="3"/>
        <v>129.46</v>
      </c>
      <c r="L29" s="111">
        <f t="shared" si="1"/>
        <v>129.46</v>
      </c>
      <c r="P29" s="129">
        <f t="shared" si="6"/>
        <v>0</v>
      </c>
      <c r="Q29" s="112">
        <v>0</v>
      </c>
      <c r="S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4"/>
        <v>103.82</v>
      </c>
      <c r="E30" s="111">
        <f t="shared" si="4"/>
        <v>28.57</v>
      </c>
      <c r="F30" s="111"/>
      <c r="G30" s="112">
        <f t="shared" si="2"/>
        <v>50.822422670747159</v>
      </c>
      <c r="H30" s="111"/>
      <c r="I30" s="111"/>
      <c r="J30" s="112">
        <f t="shared" si="5"/>
        <v>50.822422670747159</v>
      </c>
      <c r="K30" s="112">
        <f t="shared" si="3"/>
        <v>132.38999999999999</v>
      </c>
      <c r="L30" s="111">
        <f t="shared" si="1"/>
        <v>132.38999999999999</v>
      </c>
      <c r="P30" s="129">
        <f t="shared" si="6"/>
        <v>0</v>
      </c>
      <c r="Q30" s="112">
        <v>0</v>
      </c>
      <c r="S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4"/>
        <v>106.18</v>
      </c>
      <c r="E31" s="111">
        <f t="shared" si="4"/>
        <v>29.22</v>
      </c>
      <c r="F31" s="111"/>
      <c r="G31" s="112">
        <f t="shared" si="2"/>
        <v>51.97791396343505</v>
      </c>
      <c r="H31" s="111"/>
      <c r="I31" s="111"/>
      <c r="J31" s="112">
        <f t="shared" si="5"/>
        <v>51.97791396343505</v>
      </c>
      <c r="K31" s="112">
        <f t="shared" si="3"/>
        <v>135.4</v>
      </c>
      <c r="L31" s="111">
        <f t="shared" si="1"/>
        <v>135.4</v>
      </c>
      <c r="P31" s="129">
        <f t="shared" si="6"/>
        <v>0</v>
      </c>
      <c r="Q31" s="112">
        <v>0</v>
      </c>
      <c r="S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4"/>
        <v>108.59</v>
      </c>
      <c r="E32" s="111">
        <f t="shared" si="4"/>
        <v>29.88</v>
      </c>
      <c r="F32" s="111"/>
      <c r="G32" s="112">
        <f t="shared" si="2"/>
        <v>53.156438305146608</v>
      </c>
      <c r="H32" s="111"/>
      <c r="I32" s="111"/>
      <c r="J32" s="112">
        <f t="shared" si="5"/>
        <v>53.156438305146608</v>
      </c>
      <c r="K32" s="112">
        <f t="shared" si="3"/>
        <v>138.47</v>
      </c>
      <c r="L32" s="111">
        <f t="shared" si="1"/>
        <v>138.47</v>
      </c>
      <c r="P32" s="129">
        <f t="shared" si="6"/>
        <v>0</v>
      </c>
      <c r="Q32" s="112">
        <v>0</v>
      </c>
      <c r="S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4"/>
        <v>111.05</v>
      </c>
      <c r="E33" s="111">
        <f t="shared" si="4"/>
        <v>30.56</v>
      </c>
      <c r="F33" s="111"/>
      <c r="G33" s="112">
        <f t="shared" si="2"/>
        <v>54.361834537385789</v>
      </c>
      <c r="H33" s="111"/>
      <c r="I33" s="111"/>
      <c r="J33" s="112">
        <f t="shared" si="5"/>
        <v>54.361834537385789</v>
      </c>
      <c r="K33" s="112">
        <f t="shared" si="3"/>
        <v>141.61000000000001</v>
      </c>
      <c r="L33" s="111">
        <f t="shared" si="1"/>
        <v>141.60999999999999</v>
      </c>
      <c r="P33" s="129">
        <f t="shared" si="6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4"/>
        <v>113.57</v>
      </c>
      <c r="E34" s="111">
        <f t="shared" si="4"/>
        <v>31.25</v>
      </c>
      <c r="F34" s="111"/>
      <c r="G34" s="112">
        <f t="shared" si="2"/>
        <v>55.594102660152608</v>
      </c>
      <c r="H34" s="111"/>
      <c r="I34" s="111"/>
      <c r="J34" s="112">
        <f t="shared" si="5"/>
        <v>55.594102660152608</v>
      </c>
      <c r="K34" s="112">
        <f t="shared" si="3"/>
        <v>144.82</v>
      </c>
      <c r="L34" s="111">
        <f t="shared" si="1"/>
        <v>144.82</v>
      </c>
      <c r="P34" s="129">
        <f t="shared" si="6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4"/>
        <v>116.15</v>
      </c>
      <c r="E35" s="111">
        <f t="shared" si="4"/>
        <v>31.96</v>
      </c>
      <c r="F35" s="111"/>
      <c r="G35" s="112">
        <f t="shared" si="2"/>
        <v>56.857081514950998</v>
      </c>
      <c r="H35" s="111"/>
      <c r="I35" s="111"/>
      <c r="J35" s="112">
        <f t="shared" si="5"/>
        <v>56.857081514950998</v>
      </c>
      <c r="K35" s="112">
        <f t="shared" si="3"/>
        <v>148.11000000000001</v>
      </c>
      <c r="L35" s="111">
        <f t="shared" si="1"/>
        <v>148.11000000000001</v>
      </c>
      <c r="P35" s="129">
        <f t="shared" si="6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ref="D36:E37" si="7">ROUND(D35*(1+IRP23_Infl_Rate),2)</f>
        <v>118.79</v>
      </c>
      <c r="E36" s="111">
        <f t="shared" si="7"/>
        <v>32.69</v>
      </c>
      <c r="F36" s="111"/>
      <c r="G36" s="112">
        <f t="shared" si="2"/>
        <v>58.150771101780954</v>
      </c>
      <c r="H36" s="111"/>
      <c r="I36" s="111"/>
      <c r="J36" s="112">
        <f t="shared" si="5"/>
        <v>58.150771101780954</v>
      </c>
      <c r="K36" s="112">
        <f t="shared" si="3"/>
        <v>151.47999999999999</v>
      </c>
      <c r="L36" s="111">
        <f t="shared" si="1"/>
        <v>151.48000000000002</v>
      </c>
      <c r="P36" s="129">
        <f t="shared" si="6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7"/>
        <v>121.49</v>
      </c>
      <c r="E37" s="111">
        <f t="shared" si="7"/>
        <v>33.43</v>
      </c>
      <c r="F37" s="111"/>
      <c r="G37" s="112">
        <f t="shared" si="2"/>
        <v>59.471332579138526</v>
      </c>
      <c r="H37" s="111"/>
      <c r="I37" s="111"/>
      <c r="J37" s="112">
        <f t="shared" si="5"/>
        <v>59.471332579138526</v>
      </c>
      <c r="K37" s="112">
        <f t="shared" si="3"/>
        <v>154.91999999999999</v>
      </c>
      <c r="L37" s="111">
        <f t="shared" si="1"/>
        <v>154.91999999999999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-PMT(Discount_Rate,COUNT(J19:J37),NPV(Discount_Rate,J19:J37))</f>
        <v>20.315346892976031</v>
      </c>
      <c r="K39" s="287">
        <f>-PMT(Discount_Rate,COUNT(K19:K37),NPV(Discount_Rate,K19:K37))</f>
        <v>52.920085114789053</v>
      </c>
      <c r="L39" s="287">
        <f>-PMT(Discount_Rate,COUNT(L19:L37),NPV(Discount_Rate,L19:L37))</f>
        <v>122.12719814355525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29.7%)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PVS.PX.WYE._.SER.PV - 30%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2025</v>
      </c>
      <c r="S54" s="273"/>
      <c r="T54" s="273" t="s">
        <v>256</v>
      </c>
    </row>
    <row r="55" spans="2:20">
      <c r="B55" t="s">
        <v>152</v>
      </c>
      <c r="C55" s="267"/>
      <c r="D55" s="102" t="s">
        <v>65</v>
      </c>
      <c r="P55" s="226">
        <v>314.89999999999998</v>
      </c>
      <c r="Q55" s="102" t="s">
        <v>32</v>
      </c>
      <c r="S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0.29736901360526885</v>
      </c>
      <c r="D63" s="102" t="s">
        <v>37</v>
      </c>
    </row>
    <row r="64" spans="2:20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81599-34DF-4F28-9A9A-8910B42776E6}">
  <sheetPr>
    <tabColor rgb="FFFFC000"/>
    <pageSetUpPr fitToPage="1"/>
  </sheetPr>
  <dimension ref="B1:AC91"/>
  <sheetViews>
    <sheetView topLeftCell="A31" zoomScale="70" zoomScaleNormal="70" workbookViewId="0">
      <selection activeCell="T54" sqref="T5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PVS.PX.WMV._.222.PV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29%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PVS.PX.WMV._.222.PV - 29%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>
        <f t="shared" ref="L13:L37" si="1">(D13+E13+F13)</f>
        <v>0</v>
      </c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>
        <f t="shared" si="1"/>
        <v>0</v>
      </c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>
        <f t="shared" si="1"/>
        <v>0</v>
      </c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>
        <f t="shared" si="1"/>
        <v>0</v>
      </c>
      <c r="R16" s="274">
        <v>1234.2252424717099</v>
      </c>
      <c r="S16" s="284">
        <f>T16-R16</f>
        <v>-17.45524247170988</v>
      </c>
      <c r="T16" s="113">
        <v>1216.77</v>
      </c>
      <c r="X16" s="277">
        <v>21.158014243080867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>
        <f t="shared" si="1"/>
        <v>0</v>
      </c>
      <c r="R17" s="277"/>
      <c r="S17" s="277"/>
      <c r="T17" s="102">
        <f>T16*IRP_PTC_ESC!$Q3</f>
        <v>1636.190619</v>
      </c>
      <c r="X17" s="277">
        <f>X16*(1+IRP23_Infl_Rate)</f>
        <v>21.638301166494205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>
        <f t="shared" si="1"/>
        <v>0</v>
      </c>
      <c r="Q18" s="263"/>
      <c r="R18" s="277"/>
      <c r="S18" s="277"/>
      <c r="T18" s="102">
        <f>T17*IRP_PTC_ESC!$Q4</f>
        <v>1636.190619</v>
      </c>
      <c r="X18" s="277">
        <f>X17*(1+IRP23_Infl_Rate)</f>
        <v>22.12949060307119</v>
      </c>
      <c r="AC18" s="227"/>
    </row>
    <row r="19" spans="2:29">
      <c r="B19" s="109">
        <f t="shared" si="0"/>
        <v>2025</v>
      </c>
      <c r="C19" s="274">
        <f>IRP_LTReport!$R$58</f>
        <v>1636.1905932388888</v>
      </c>
      <c r="D19" s="111">
        <f>C19*$C$62</f>
        <v>82.725796394158209</v>
      </c>
      <c r="E19" s="281">
        <f>IRP_LTReport!$L$58</f>
        <v>22.323753364205501</v>
      </c>
      <c r="F19" s="165">
        <f>$C$60</f>
        <v>3.856622155181344</v>
      </c>
      <c r="G19" s="112">
        <f t="shared" ref="G19" si="2">(D19+E19+F19)/(8.76*$C$63)</f>
        <v>42.438541206995708</v>
      </c>
      <c r="H19" s="111"/>
      <c r="I19" s="111">
        <v>-35.799999999999997</v>
      </c>
      <c r="J19" s="112">
        <f>(G19+H19+I19)</f>
        <v>6.6385412069957113</v>
      </c>
      <c r="K19" s="112">
        <f t="shared" ref="K19" si="3">ROUND(J19*$C$63*8.76,2)</f>
        <v>17.04</v>
      </c>
      <c r="L19" s="111">
        <f t="shared" si="1"/>
        <v>108.90617191354505</v>
      </c>
      <c r="P19" s="129">
        <f>Q19-I19</f>
        <v>7.6264659298885817E-7</v>
      </c>
      <c r="Q19" s="112">
        <v>-35.799999237353404</v>
      </c>
      <c r="R19" s="277"/>
      <c r="S19" s="277"/>
      <c r="T19" s="102">
        <f>T18*IRP_PTC_ESC!$Q5</f>
        <v>1636.190619</v>
      </c>
      <c r="U19" s="284">
        <f>T19-C19</f>
        <v>2.5761111146493931E-5</v>
      </c>
      <c r="X19" s="277">
        <f>X18*(1+IRP23_Infl_Rate)</f>
        <v>22.631830039860688</v>
      </c>
      <c r="Y19" s="284">
        <f>X19-E19</f>
        <v>0.3080766756551867</v>
      </c>
    </row>
    <row r="20" spans="2:29">
      <c r="B20" s="109">
        <f t="shared" si="0"/>
        <v>2026</v>
      </c>
      <c r="C20" s="113"/>
      <c r="D20" s="111">
        <f t="shared" ref="D20:F36" si="4">ROUND(D19*(1+IRP23_Infl_Rate),2)</f>
        <v>84.6</v>
      </c>
      <c r="E20" s="111">
        <f t="shared" si="4"/>
        <v>22.83</v>
      </c>
      <c r="F20" s="111">
        <f t="shared" si="4"/>
        <v>3.94</v>
      </c>
      <c r="G20" s="112">
        <f t="shared" ref="G20:G37" si="5">(D20+E20+F20)/(8.76*$C$63)</f>
        <v>43.398645376821612</v>
      </c>
      <c r="H20" s="111"/>
      <c r="I20" s="111">
        <v>-37.130000000000003</v>
      </c>
      <c r="J20" s="112">
        <f>(G20+H20+I20)</f>
        <v>6.2686453768216097</v>
      </c>
      <c r="K20" s="112">
        <f t="shared" ref="K20:K37" si="6">ROUND(J20*$C$63*8.76,2)</f>
        <v>16.09</v>
      </c>
      <c r="L20" s="111">
        <f t="shared" si="1"/>
        <v>111.36999999999999</v>
      </c>
      <c r="P20" s="129">
        <f t="shared" ref="P20:P36" si="7">Q20-I20</f>
        <v>-1.0684241686931273E-6</v>
      </c>
      <c r="Q20" s="112">
        <v>-37.130001068424171</v>
      </c>
      <c r="U20" s="284"/>
      <c r="W20" s="129"/>
      <c r="X20" s="277"/>
      <c r="Y20" s="284"/>
    </row>
    <row r="21" spans="2:29">
      <c r="B21" s="109">
        <f t="shared" si="0"/>
        <v>2027</v>
      </c>
      <c r="C21" s="113"/>
      <c r="D21" s="111">
        <f t="shared" si="4"/>
        <v>86.52</v>
      </c>
      <c r="E21" s="111">
        <f t="shared" si="4"/>
        <v>23.35</v>
      </c>
      <c r="F21" s="111">
        <f t="shared" si="4"/>
        <v>4.03</v>
      </c>
      <c r="G21" s="112">
        <f t="shared" si="5"/>
        <v>44.384535408278552</v>
      </c>
      <c r="H21" s="111"/>
      <c r="I21" s="111">
        <v>-38.450000000000003</v>
      </c>
      <c r="J21" s="112">
        <f t="shared" ref="J21:J37" si="8">(G21+H21+I21)</f>
        <v>5.9345354082785491</v>
      </c>
      <c r="K21" s="112">
        <f t="shared" si="6"/>
        <v>15.23</v>
      </c>
      <c r="L21" s="111">
        <f t="shared" si="1"/>
        <v>113.9</v>
      </c>
      <c r="P21" s="129">
        <f t="shared" si="7"/>
        <v>-3.2529356985833147E-10</v>
      </c>
      <c r="Q21" s="112">
        <v>-38.450000000325296</v>
      </c>
      <c r="V21" s="129"/>
      <c r="W21" s="129"/>
      <c r="X21" s="129"/>
      <c r="Y21" s="129"/>
      <c r="Z21" s="129"/>
    </row>
    <row r="22" spans="2:29">
      <c r="B22" s="109">
        <f t="shared" si="0"/>
        <v>2028</v>
      </c>
      <c r="C22" s="113"/>
      <c r="D22" s="111">
        <f t="shared" si="4"/>
        <v>88.48</v>
      </c>
      <c r="E22" s="111">
        <f t="shared" si="4"/>
        <v>23.88</v>
      </c>
      <c r="F22" s="111">
        <f t="shared" si="4"/>
        <v>4.12</v>
      </c>
      <c r="G22" s="112">
        <f t="shared" si="5"/>
        <v>45.389909432452029</v>
      </c>
      <c r="H22" s="111"/>
      <c r="I22" s="111">
        <v>-38.450000000000003</v>
      </c>
      <c r="J22" s="112">
        <f t="shared" si="8"/>
        <v>6.9399094324520263</v>
      </c>
      <c r="K22" s="112">
        <f t="shared" si="6"/>
        <v>17.809999999999999</v>
      </c>
      <c r="L22" s="111">
        <f t="shared" si="1"/>
        <v>116.48</v>
      </c>
      <c r="P22" s="129">
        <f t="shared" si="7"/>
        <v>-7.6326654863123622E-7</v>
      </c>
      <c r="Q22" s="112">
        <v>-38.450000763266551</v>
      </c>
      <c r="T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4"/>
        <v>90.49</v>
      </c>
      <c r="E23" s="111">
        <f t="shared" si="4"/>
        <v>24.42</v>
      </c>
      <c r="F23" s="111">
        <f t="shared" si="4"/>
        <v>4.21</v>
      </c>
      <c r="G23" s="112">
        <f t="shared" si="5"/>
        <v>46.418664247885346</v>
      </c>
      <c r="H23" s="111"/>
      <c r="I23" s="111">
        <v>-39.78</v>
      </c>
      <c r="J23" s="112">
        <f t="shared" si="8"/>
        <v>6.6386642478853446</v>
      </c>
      <c r="K23" s="112">
        <f t="shared" si="6"/>
        <v>17.04</v>
      </c>
      <c r="L23" s="111">
        <f t="shared" si="1"/>
        <v>119.11999999999999</v>
      </c>
      <c r="P23" s="129">
        <f t="shared" si="7"/>
        <v>-3.0826896590951947E-10</v>
      </c>
      <c r="Q23" s="112">
        <v>-39.78000000030827</v>
      </c>
      <c r="T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4"/>
        <v>92.54</v>
      </c>
      <c r="E24" s="111">
        <f t="shared" si="4"/>
        <v>24.97</v>
      </c>
      <c r="F24" s="111">
        <f t="shared" si="4"/>
        <v>4.3099999999999996</v>
      </c>
      <c r="G24" s="112">
        <f t="shared" si="5"/>
        <v>47.470799854578523</v>
      </c>
      <c r="H24" s="111"/>
      <c r="I24" s="111">
        <v>-39.78</v>
      </c>
      <c r="J24" s="112">
        <f t="shared" si="8"/>
        <v>7.6907998545785219</v>
      </c>
      <c r="K24" s="112">
        <f t="shared" si="6"/>
        <v>19.739999999999998</v>
      </c>
      <c r="L24" s="111">
        <f t="shared" si="1"/>
        <v>121.82000000000001</v>
      </c>
      <c r="P24" s="129">
        <f t="shared" si="7"/>
        <v>1.2203646164721249E-6</v>
      </c>
      <c r="Q24" s="112">
        <v>-39.779998779635385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4"/>
        <v>94.64</v>
      </c>
      <c r="E25" s="111">
        <f t="shared" si="4"/>
        <v>25.54</v>
      </c>
      <c r="F25" s="111">
        <f t="shared" si="4"/>
        <v>4.41</v>
      </c>
      <c r="G25" s="112">
        <f t="shared" si="5"/>
        <v>48.550213051074849</v>
      </c>
      <c r="H25" s="111"/>
      <c r="I25" s="111">
        <v>-41.11</v>
      </c>
      <c r="J25" s="112">
        <f t="shared" si="8"/>
        <v>7.4402130510748492</v>
      </c>
      <c r="K25" s="112">
        <f t="shared" si="6"/>
        <v>19.09</v>
      </c>
      <c r="L25" s="111">
        <f t="shared" si="1"/>
        <v>124.59</v>
      </c>
      <c r="P25" s="129">
        <f t="shared" si="7"/>
        <v>-3.2893154866542318E-10</v>
      </c>
      <c r="Q25" s="112">
        <v>-41.110000000328931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4"/>
        <v>96.79</v>
      </c>
      <c r="E26" s="111">
        <f t="shared" si="4"/>
        <v>26.12</v>
      </c>
      <c r="F26" s="111">
        <f t="shared" si="4"/>
        <v>4.51</v>
      </c>
      <c r="G26" s="112">
        <f t="shared" si="5"/>
        <v>49.653007038831028</v>
      </c>
      <c r="H26" s="111"/>
      <c r="I26" s="111">
        <v>-41.11</v>
      </c>
      <c r="J26" s="112">
        <f t="shared" si="8"/>
        <v>8.5430070388310284</v>
      </c>
      <c r="K26" s="112">
        <f t="shared" si="6"/>
        <v>21.92</v>
      </c>
      <c r="L26" s="111">
        <f t="shared" si="1"/>
        <v>127.42000000000002</v>
      </c>
      <c r="P26" s="129">
        <f t="shared" si="7"/>
        <v>-6.1069300016924899E-7</v>
      </c>
      <c r="Q26" s="112">
        <v>-41.110000610693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4"/>
        <v>98.99</v>
      </c>
      <c r="E27" s="111">
        <f t="shared" si="4"/>
        <v>26.71</v>
      </c>
      <c r="F27" s="111">
        <f t="shared" si="4"/>
        <v>4.6100000000000003</v>
      </c>
      <c r="G27" s="112">
        <f t="shared" si="5"/>
        <v>50.779181817847039</v>
      </c>
      <c r="H27" s="111"/>
      <c r="I27" s="111">
        <v>-42.43</v>
      </c>
      <c r="J27" s="112">
        <f t="shared" si="8"/>
        <v>8.3491818178470396</v>
      </c>
      <c r="K27" s="112">
        <f t="shared" si="6"/>
        <v>21.43</v>
      </c>
      <c r="L27" s="111">
        <f t="shared" si="1"/>
        <v>130.31</v>
      </c>
      <c r="P27" s="129">
        <f t="shared" si="7"/>
        <v>-3.0550766183523592E-7</v>
      </c>
      <c r="Q27" s="112">
        <v>-42.430000305507662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4"/>
        <v>101.24</v>
      </c>
      <c r="E28" s="111">
        <f t="shared" si="4"/>
        <v>27.32</v>
      </c>
      <c r="F28" s="111">
        <f t="shared" si="4"/>
        <v>4.71</v>
      </c>
      <c r="G28" s="112">
        <f t="shared" si="5"/>
        <v>51.932634186666228</v>
      </c>
      <c r="H28" s="111"/>
      <c r="I28" s="111">
        <v>-43.76</v>
      </c>
      <c r="J28" s="112">
        <f t="shared" si="8"/>
        <v>8.1726341866662295</v>
      </c>
      <c r="K28" s="112">
        <f t="shared" si="6"/>
        <v>20.97</v>
      </c>
      <c r="L28" s="111">
        <f t="shared" si="1"/>
        <v>133.27000000000001</v>
      </c>
      <c r="P28" s="129">
        <f t="shared" si="7"/>
        <v>-3.3504221619296004E-10</v>
      </c>
      <c r="Q28" s="112">
        <v>-43.76000000033504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4"/>
        <v>103.54</v>
      </c>
      <c r="E29" s="111">
        <f t="shared" si="4"/>
        <v>27.94</v>
      </c>
      <c r="F29" s="111">
        <f t="shared" si="4"/>
        <v>4.82</v>
      </c>
      <c r="G29" s="112">
        <f t="shared" si="5"/>
        <v>53.113364145288564</v>
      </c>
      <c r="H29" s="111"/>
      <c r="I29" s="111"/>
      <c r="J29" s="112">
        <f t="shared" si="8"/>
        <v>53.113364145288564</v>
      </c>
      <c r="K29" s="112">
        <f t="shared" si="6"/>
        <v>136.30000000000001</v>
      </c>
      <c r="L29" s="111">
        <f t="shared" si="1"/>
        <v>136.30000000000001</v>
      </c>
      <c r="P29" s="129">
        <f t="shared" si="7"/>
        <v>0</v>
      </c>
      <c r="Q29" s="112">
        <v>0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4"/>
        <v>105.89</v>
      </c>
      <c r="E30" s="111">
        <f t="shared" si="4"/>
        <v>28.57</v>
      </c>
      <c r="F30" s="111">
        <f t="shared" si="4"/>
        <v>4.93</v>
      </c>
      <c r="G30" s="112">
        <f t="shared" si="5"/>
        <v>54.317474895170747</v>
      </c>
      <c r="H30" s="111"/>
      <c r="I30" s="111"/>
      <c r="J30" s="112">
        <f t="shared" si="8"/>
        <v>54.317474895170747</v>
      </c>
      <c r="K30" s="112">
        <f t="shared" si="6"/>
        <v>139.38999999999999</v>
      </c>
      <c r="L30" s="111">
        <f t="shared" si="1"/>
        <v>139.39000000000001</v>
      </c>
      <c r="P30" s="129">
        <f t="shared" si="7"/>
        <v>0</v>
      </c>
      <c r="Q30" s="112">
        <v>0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4"/>
        <v>108.29</v>
      </c>
      <c r="E31" s="111">
        <f t="shared" si="4"/>
        <v>29.22</v>
      </c>
      <c r="F31" s="111">
        <f t="shared" si="4"/>
        <v>5.04</v>
      </c>
      <c r="G31" s="112">
        <f t="shared" si="5"/>
        <v>55.548863234856071</v>
      </c>
      <c r="H31" s="111"/>
      <c r="I31" s="111"/>
      <c r="J31" s="112">
        <f t="shared" si="8"/>
        <v>55.548863234856071</v>
      </c>
      <c r="K31" s="112">
        <f t="shared" si="6"/>
        <v>142.55000000000001</v>
      </c>
      <c r="L31" s="111">
        <f t="shared" si="1"/>
        <v>142.54999999999998</v>
      </c>
      <c r="P31" s="129">
        <f t="shared" si="7"/>
        <v>0</v>
      </c>
      <c r="Q31" s="112">
        <v>0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4"/>
        <v>110.75</v>
      </c>
      <c r="E32" s="111">
        <f t="shared" si="4"/>
        <v>29.88</v>
      </c>
      <c r="F32" s="111">
        <f t="shared" si="4"/>
        <v>5.15</v>
      </c>
      <c r="G32" s="112">
        <f t="shared" si="5"/>
        <v>56.807529164344579</v>
      </c>
      <c r="H32" s="111"/>
      <c r="I32" s="111"/>
      <c r="J32" s="112">
        <f t="shared" si="8"/>
        <v>56.807529164344579</v>
      </c>
      <c r="K32" s="112">
        <f t="shared" si="6"/>
        <v>145.78</v>
      </c>
      <c r="L32" s="111">
        <f t="shared" si="1"/>
        <v>145.78</v>
      </c>
      <c r="P32" s="129">
        <f t="shared" si="7"/>
        <v>0</v>
      </c>
      <c r="Q32" s="112">
        <v>0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4"/>
        <v>113.26</v>
      </c>
      <c r="E33" s="111">
        <f t="shared" si="4"/>
        <v>30.56</v>
      </c>
      <c r="F33" s="111">
        <f t="shared" si="4"/>
        <v>5.27</v>
      </c>
      <c r="G33" s="112">
        <f t="shared" si="5"/>
        <v>58.097369482179538</v>
      </c>
      <c r="H33" s="111"/>
      <c r="I33" s="111"/>
      <c r="J33" s="112">
        <f t="shared" si="8"/>
        <v>58.097369482179538</v>
      </c>
      <c r="K33" s="112">
        <f t="shared" si="6"/>
        <v>149.09</v>
      </c>
      <c r="L33" s="111">
        <f t="shared" si="1"/>
        <v>149.09</v>
      </c>
      <c r="P33" s="129">
        <f t="shared" si="7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4"/>
        <v>115.83</v>
      </c>
      <c r="E34" s="111">
        <f t="shared" si="4"/>
        <v>31.25</v>
      </c>
      <c r="F34" s="111">
        <f t="shared" si="4"/>
        <v>5.39</v>
      </c>
      <c r="G34" s="112">
        <f t="shared" si="5"/>
        <v>59.414487389817644</v>
      </c>
      <c r="H34" s="111"/>
      <c r="I34" s="111"/>
      <c r="J34" s="112">
        <f t="shared" si="8"/>
        <v>59.414487389817644</v>
      </c>
      <c r="K34" s="112">
        <f t="shared" si="6"/>
        <v>152.47</v>
      </c>
      <c r="L34" s="111">
        <f t="shared" si="1"/>
        <v>152.46999999999997</v>
      </c>
      <c r="P34" s="129">
        <f t="shared" si="7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4"/>
        <v>118.46</v>
      </c>
      <c r="E35" s="111">
        <f t="shared" si="4"/>
        <v>31.96</v>
      </c>
      <c r="F35" s="111">
        <f t="shared" si="4"/>
        <v>5.51</v>
      </c>
      <c r="G35" s="112">
        <f t="shared" si="5"/>
        <v>60.762779685802229</v>
      </c>
      <c r="H35" s="111"/>
      <c r="I35" s="111"/>
      <c r="J35" s="112">
        <f t="shared" si="8"/>
        <v>60.762779685802229</v>
      </c>
      <c r="K35" s="112">
        <f t="shared" si="6"/>
        <v>155.93</v>
      </c>
      <c r="L35" s="111">
        <f t="shared" si="1"/>
        <v>155.92999999999998</v>
      </c>
      <c r="P35" s="129">
        <f t="shared" si="7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si="4"/>
        <v>121.15</v>
      </c>
      <c r="E36" s="111">
        <f t="shared" si="4"/>
        <v>32.69</v>
      </c>
      <c r="F36" s="111">
        <f t="shared" si="4"/>
        <v>5.64</v>
      </c>
      <c r="G36" s="112">
        <f t="shared" si="5"/>
        <v>62.146143168676588</v>
      </c>
      <c r="H36" s="111"/>
      <c r="I36" s="111"/>
      <c r="J36" s="112">
        <f t="shared" si="8"/>
        <v>62.146143168676588</v>
      </c>
      <c r="K36" s="112">
        <f t="shared" si="6"/>
        <v>159.47999999999999</v>
      </c>
      <c r="L36" s="111">
        <f t="shared" si="1"/>
        <v>159.47999999999999</v>
      </c>
      <c r="P36" s="129">
        <f t="shared" si="7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ref="D37:F37" si="9">ROUND(D36*(1+IRP23_Infl_Rate),2)</f>
        <v>123.9</v>
      </c>
      <c r="E37" s="111">
        <f t="shared" si="9"/>
        <v>33.43</v>
      </c>
      <c r="F37" s="111">
        <f t="shared" si="9"/>
        <v>5.77</v>
      </c>
      <c r="G37" s="112">
        <f t="shared" si="5"/>
        <v>63.556784241354109</v>
      </c>
      <c r="H37" s="111"/>
      <c r="I37" s="111"/>
      <c r="J37" s="112">
        <f t="shared" si="8"/>
        <v>63.556784241354109</v>
      </c>
      <c r="K37" s="112">
        <f t="shared" si="6"/>
        <v>163.1</v>
      </c>
      <c r="L37" s="111">
        <f t="shared" si="1"/>
        <v>163.10000000000002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-PMT(Discount_Rate,COUNT(J20:J37),NPV(Discount_Rate,J20:J37))</f>
        <v>25.186166240308939</v>
      </c>
      <c r="K39" s="287">
        <f>-PMT(Discount_Rate,COUNT(K20:K37),NPV(Discount_Rate,K20:K37))</f>
        <v>64.633651476077929</v>
      </c>
      <c r="L39" s="287">
        <f>-PMT(Discount_Rate,COUNT(L20:L37),NPV(Discount_Rate,L20:L37))</f>
        <v>130.49392024420834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29.3%)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PVS.PX.WMV._.222.PV - 29%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2025</v>
      </c>
      <c r="T54" s="273" t="s">
        <v>437</v>
      </c>
    </row>
    <row r="55" spans="2:20">
      <c r="B55" t="s">
        <v>152</v>
      </c>
      <c r="C55" s="267"/>
      <c r="D55" s="102" t="s">
        <v>65</v>
      </c>
      <c r="P55" s="226">
        <v>9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2025$</v>
      </c>
      <c r="C60" s="223">
        <f>INDEX('Table 3 TransCost'!$39:$39,1,MATCH(F60,'Table 3 TransCost'!$4:$4,0)+2)</f>
        <v>3.856622155181344</v>
      </c>
      <c r="D60" s="102" t="s">
        <v>137</v>
      </c>
      <c r="F60" s="102" t="s">
        <v>363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0.29294624772838473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45126-1632-48A6-8097-5DA7A5AD93D0}">
  <sheetPr>
    <tabColor rgb="FFFFC000"/>
    <pageSetUpPr fitToPage="1"/>
  </sheetPr>
  <dimension ref="B1:AC91"/>
  <sheetViews>
    <sheetView zoomScale="80" zoomScaleNormal="80" workbookViewId="0">
      <selection activeCell="F20" sqref="F20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9.5" style="102" bestFit="1" customWidth="1"/>
    <col min="8" max="8" width="9.6640625" style="102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PVS.PX.CLV.1.TC4.PV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32%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291" t="s">
        <v>345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PVS.PX.CLV.1.TC4.PV - 32%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>
        <f t="shared" ref="L13:L37" si="1">(D13+E13+F13)</f>
        <v>0</v>
      </c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>
        <f t="shared" si="1"/>
        <v>0</v>
      </c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>
        <f t="shared" si="1"/>
        <v>0</v>
      </c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>
        <f t="shared" si="1"/>
        <v>0</v>
      </c>
      <c r="R16" s="274">
        <v>1140.3909027674149</v>
      </c>
      <c r="S16" s="284">
        <f>T16-R16</f>
        <v>5.6590972325850544</v>
      </c>
      <c r="T16" s="113">
        <v>1146.05</v>
      </c>
      <c r="X16" s="277">
        <v>21.158014243080867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>
        <f t="shared" si="1"/>
        <v>0</v>
      </c>
      <c r="R17" s="277"/>
      <c r="S17" s="277"/>
      <c r="T17" s="102">
        <f>T16*IRP_PTC_ESC!$Q3</f>
        <v>1541.093435</v>
      </c>
      <c r="X17" s="277">
        <f>X16*(1+IRP23_Infl_Rate)</f>
        <v>21.638301166494205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>
        <f t="shared" si="1"/>
        <v>0</v>
      </c>
      <c r="Q18" s="263"/>
      <c r="R18" s="277"/>
      <c r="S18" s="277"/>
      <c r="T18" s="102">
        <f>T17*IRP_PTC_ESC!$Q4</f>
        <v>1541.093435</v>
      </c>
      <c r="X18" s="277">
        <f>X17*(1+IRP23_Infl_Rate)</f>
        <v>22.12949060307119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>
        <f t="shared" si="1"/>
        <v>0</v>
      </c>
      <c r="P19" s="129">
        <f>Q19-I19</f>
        <v>0</v>
      </c>
      <c r="Q19" s="112">
        <v>0</v>
      </c>
      <c r="R19" s="277"/>
      <c r="S19" s="277"/>
      <c r="T19" s="102">
        <f>T18*IRP_PTC_ESC!$Q5</f>
        <v>1541.093435</v>
      </c>
      <c r="U19" s="284"/>
      <c r="X19" s="277">
        <f>X18*(1+IRP23_Infl_Rate)</f>
        <v>22.631830039860688</v>
      </c>
      <c r="Y19" s="284"/>
    </row>
    <row r="20" spans="2:29">
      <c r="B20" s="109">
        <f t="shared" si="0"/>
        <v>2026</v>
      </c>
      <c r="C20" s="274">
        <f>IRP_LTReport!$R$34</f>
        <v>1541.0934107363332</v>
      </c>
      <c r="D20" s="111">
        <f>C20*$C$62</f>
        <v>77.917682846828995</v>
      </c>
      <c r="E20" s="281">
        <f>IRP_LTReport!$L$34</f>
        <v>22.830503330225891</v>
      </c>
      <c r="F20" s="111">
        <f>$C$60</f>
        <v>3.0183974417510675</v>
      </c>
      <c r="G20" s="112">
        <f t="shared" ref="G20:G37" si="2">(D20+E20+F20)/(8.76*$C$63)</f>
        <v>36.734156033595831</v>
      </c>
      <c r="H20" s="111"/>
      <c r="I20" s="111">
        <v>-40.843000000000004</v>
      </c>
      <c r="J20" s="112">
        <f t="shared" ref="J20:J37" si="3">(G20+H20+I20)</f>
        <v>-4.1088439664041729</v>
      </c>
      <c r="K20" s="112">
        <f t="shared" ref="K20:K37" si="4">ROUND(J20*$C$63*8.76,2)</f>
        <v>-11.61</v>
      </c>
      <c r="L20" s="111">
        <f t="shared" si="1"/>
        <v>103.76658361880595</v>
      </c>
      <c r="P20" s="129">
        <f t="shared" ref="P20:P36" si="5">Q20-I20</f>
        <v>-0.26699999999280521</v>
      </c>
      <c r="Q20" s="112">
        <v>-41.109999999992809</v>
      </c>
      <c r="T20" s="102">
        <f>T19*IRP_PTC_ESC!$Q6</f>
        <v>1541.093435</v>
      </c>
      <c r="U20" s="284">
        <f>T20-C20</f>
        <v>2.426366677354963E-5</v>
      </c>
      <c r="W20" s="129"/>
      <c r="X20" s="277">
        <f>X19*(1+IRP23_Infl_Rate)</f>
        <v>23.145572581867572</v>
      </c>
      <c r="Y20" s="284">
        <f>X20-E20</f>
        <v>0.31506925164168109</v>
      </c>
    </row>
    <row r="21" spans="2:29">
      <c r="B21" s="109">
        <f t="shared" si="0"/>
        <v>2027</v>
      </c>
      <c r="C21" s="113"/>
      <c r="D21" s="111">
        <f t="shared" ref="D21:F35" si="6">ROUND(D20*(1+IRP23_Infl_Rate),2)</f>
        <v>79.69</v>
      </c>
      <c r="E21" s="111">
        <f t="shared" si="6"/>
        <v>23.35</v>
      </c>
      <c r="F21" s="111">
        <f t="shared" si="6"/>
        <v>3.09</v>
      </c>
      <c r="G21" s="112">
        <f t="shared" si="2"/>
        <v>37.570823321767051</v>
      </c>
      <c r="H21" s="111"/>
      <c r="I21" s="111">
        <v>-42.295000000000009</v>
      </c>
      <c r="J21" s="112">
        <f t="shared" si="3"/>
        <v>-4.7241766782329577</v>
      </c>
      <c r="K21" s="112">
        <f t="shared" si="4"/>
        <v>-13.34</v>
      </c>
      <c r="L21" s="111">
        <f t="shared" si="1"/>
        <v>106.13</v>
      </c>
      <c r="P21" s="129">
        <f t="shared" si="5"/>
        <v>1.1849993896556725</v>
      </c>
      <c r="Q21" s="112">
        <v>-41.110000610344336</v>
      </c>
      <c r="V21" s="129"/>
      <c r="W21" s="129"/>
      <c r="X21" s="129"/>
      <c r="Y21" s="129"/>
      <c r="Z21" s="129"/>
    </row>
    <row r="22" spans="2:29">
      <c r="B22" s="109">
        <f t="shared" si="0"/>
        <v>2028</v>
      </c>
      <c r="C22" s="113"/>
      <c r="D22" s="111">
        <f t="shared" si="6"/>
        <v>81.5</v>
      </c>
      <c r="E22" s="111">
        <f t="shared" si="6"/>
        <v>23.88</v>
      </c>
      <c r="F22" s="111">
        <f t="shared" ref="F22" si="7">ROUND(F21*(1+IRP23_Infl_Rate),2)</f>
        <v>3.16</v>
      </c>
      <c r="G22" s="112">
        <f t="shared" si="2"/>
        <v>38.42398156359743</v>
      </c>
      <c r="H22" s="111"/>
      <c r="I22" s="111">
        <v>-42.295000000000009</v>
      </c>
      <c r="J22" s="112">
        <f t="shared" si="3"/>
        <v>-3.8710184364025793</v>
      </c>
      <c r="K22" s="112">
        <f t="shared" si="4"/>
        <v>-10.93</v>
      </c>
      <c r="L22" s="111">
        <f t="shared" si="1"/>
        <v>108.53999999999999</v>
      </c>
      <c r="P22" s="129">
        <f t="shared" si="5"/>
        <v>-0.1350003051683899</v>
      </c>
      <c r="Q22" s="112">
        <v>-42.430000305168399</v>
      </c>
      <c r="T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6"/>
        <v>83.35</v>
      </c>
      <c r="E23" s="111">
        <f t="shared" si="6"/>
        <v>24.42</v>
      </c>
      <c r="F23" s="111">
        <f t="shared" ref="F23" si="8">ROUND(F22*(1+IRP23_Infl_Rate),2)</f>
        <v>3.23</v>
      </c>
      <c r="G23" s="112">
        <f t="shared" si="2"/>
        <v>39.294840183889029</v>
      </c>
      <c r="H23" s="111"/>
      <c r="I23" s="111">
        <v>-43.758000000000003</v>
      </c>
      <c r="J23" s="112">
        <f t="shared" si="3"/>
        <v>-4.4631598161109736</v>
      </c>
      <c r="K23" s="112">
        <f t="shared" si="4"/>
        <v>-12.61</v>
      </c>
      <c r="L23" s="111">
        <f t="shared" si="1"/>
        <v>111</v>
      </c>
      <c r="P23" s="129">
        <f t="shared" si="5"/>
        <v>-1.9999999923143719E-3</v>
      </c>
      <c r="Q23" s="112">
        <v>-43.759999999992317</v>
      </c>
      <c r="T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6"/>
        <v>85.24</v>
      </c>
      <c r="E24" s="111">
        <f t="shared" si="6"/>
        <v>24.97</v>
      </c>
      <c r="F24" s="111">
        <f t="shared" ref="F24" si="9">ROUND(F23*(1+IRP23_Infl_Rate),2)</f>
        <v>3.3</v>
      </c>
      <c r="G24" s="112">
        <f t="shared" si="2"/>
        <v>40.183399182641836</v>
      </c>
      <c r="H24" s="111"/>
      <c r="I24" s="111">
        <v>-43.758000000000003</v>
      </c>
      <c r="J24" s="112">
        <f t="shared" si="3"/>
        <v>-3.5746008173581671</v>
      </c>
      <c r="K24" s="112">
        <f t="shared" si="4"/>
        <v>-10.1</v>
      </c>
      <c r="L24" s="111">
        <f t="shared" si="1"/>
        <v>113.50999999999999</v>
      </c>
      <c r="P24" s="129">
        <f t="shared" si="5"/>
        <v>-1.9983215255692244E-3</v>
      </c>
      <c r="Q24" s="112">
        <v>-43.759998321525572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6"/>
        <v>87.17</v>
      </c>
      <c r="E25" s="111">
        <f t="shared" si="6"/>
        <v>25.54</v>
      </c>
      <c r="F25" s="111">
        <f t="shared" ref="F25" si="10">ROUND(F24*(1+IRP23_Infl_Rate),2)</f>
        <v>3.37</v>
      </c>
      <c r="G25" s="112">
        <f t="shared" si="2"/>
        <v>41.093198635548099</v>
      </c>
      <c r="H25" s="111"/>
      <c r="I25" s="111">
        <v>-45.221000000000004</v>
      </c>
      <c r="J25" s="112">
        <f t="shared" si="3"/>
        <v>-4.1278013644519049</v>
      </c>
      <c r="K25" s="112">
        <f t="shared" si="4"/>
        <v>-11.66</v>
      </c>
      <c r="L25" s="111">
        <f t="shared" si="1"/>
        <v>116.08000000000001</v>
      </c>
      <c r="P25" s="129">
        <f t="shared" si="5"/>
        <v>0.14099816895317474</v>
      </c>
      <c r="Q25" s="112">
        <v>-45.080001831046829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6"/>
        <v>89.15</v>
      </c>
      <c r="E26" s="111">
        <f t="shared" si="6"/>
        <v>26.12</v>
      </c>
      <c r="F26" s="111">
        <f t="shared" ref="F26" si="11">ROUND(F25*(1+IRP23_Infl_Rate),2)</f>
        <v>3.45</v>
      </c>
      <c r="G26" s="112">
        <f t="shared" si="2"/>
        <v>42.027778618300054</v>
      </c>
      <c r="H26" s="111"/>
      <c r="I26" s="111">
        <v>-45.221000000000004</v>
      </c>
      <c r="J26" s="112">
        <f t="shared" si="3"/>
        <v>-3.1932213816999493</v>
      </c>
      <c r="K26" s="112">
        <f t="shared" si="4"/>
        <v>-9.02</v>
      </c>
      <c r="L26" s="111">
        <f t="shared" si="1"/>
        <v>118.72000000000001</v>
      </c>
      <c r="P26" s="129">
        <f t="shared" si="5"/>
        <v>-1.1889999999916512</v>
      </c>
      <c r="Q26" s="112">
        <v>-46.409999999991655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6"/>
        <v>91.17</v>
      </c>
      <c r="E27" s="111">
        <f t="shared" si="6"/>
        <v>26.71</v>
      </c>
      <c r="F27" s="111">
        <f t="shared" ref="F27" si="12">ROUND(F26*(1+IRP23_Infl_Rate),2)</f>
        <v>3.53</v>
      </c>
      <c r="G27" s="112">
        <f t="shared" si="2"/>
        <v>42.980058979513217</v>
      </c>
      <c r="H27" s="111"/>
      <c r="I27" s="111">
        <v>-46.673000000000002</v>
      </c>
      <c r="J27" s="112">
        <f t="shared" si="3"/>
        <v>-3.692941020486785</v>
      </c>
      <c r="K27" s="112">
        <f t="shared" si="4"/>
        <v>-10.43</v>
      </c>
      <c r="L27" s="111">
        <f t="shared" si="1"/>
        <v>121.41</v>
      </c>
      <c r="P27" s="129">
        <f t="shared" si="5"/>
        <v>0.26300015259600684</v>
      </c>
      <c r="Q27" s="112">
        <v>-46.409999847403995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6"/>
        <v>93.24</v>
      </c>
      <c r="E28" s="111">
        <f t="shared" si="6"/>
        <v>27.32</v>
      </c>
      <c r="F28" s="111">
        <f t="shared" ref="F28" si="13">ROUND(F27*(1+IRP23_Infl_Rate),2)</f>
        <v>3.61</v>
      </c>
      <c r="G28" s="112">
        <f t="shared" si="2"/>
        <v>43.957119870572079</v>
      </c>
      <c r="H28" s="111"/>
      <c r="I28" s="111">
        <v>-48.136000000000003</v>
      </c>
      <c r="J28" s="112">
        <f t="shared" si="3"/>
        <v>-4.1788801294279239</v>
      </c>
      <c r="K28" s="112">
        <f t="shared" si="4"/>
        <v>-11.8</v>
      </c>
      <c r="L28" s="111">
        <f t="shared" si="1"/>
        <v>124.17</v>
      </c>
      <c r="P28" s="129">
        <f t="shared" si="5"/>
        <v>0.39599832154145531</v>
      </c>
      <c r="Q28" s="112">
        <v>-47.740001678458547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6"/>
        <v>95.36</v>
      </c>
      <c r="E29" s="111">
        <f t="shared" si="6"/>
        <v>27.94</v>
      </c>
      <c r="F29" s="111">
        <f t="shared" ref="F29" si="14">ROUND(F28*(1+IRP23_Infl_Rate),2)</f>
        <v>3.69</v>
      </c>
      <c r="G29" s="112">
        <f t="shared" si="2"/>
        <v>44.955421215784391</v>
      </c>
      <c r="H29" s="111"/>
      <c r="I29" s="111">
        <v>-48.136000000000003</v>
      </c>
      <c r="J29" s="112">
        <f t="shared" si="3"/>
        <v>-3.1805787842156121</v>
      </c>
      <c r="K29" s="112">
        <f t="shared" si="4"/>
        <v>-8.98</v>
      </c>
      <c r="L29" s="111">
        <f t="shared" si="1"/>
        <v>126.99</v>
      </c>
      <c r="P29" s="129">
        <f t="shared" si="5"/>
        <v>-0.92399999999145876</v>
      </c>
      <c r="Q29" s="112">
        <v>-49.059999999991462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6"/>
        <v>97.52</v>
      </c>
      <c r="E30" s="111">
        <f t="shared" si="6"/>
        <v>28.57</v>
      </c>
      <c r="F30" s="111">
        <f t="shared" ref="F30" si="15">ROUND(F29*(1+IRP23_Infl_Rate),2)</f>
        <v>3.77</v>
      </c>
      <c r="G30" s="112">
        <f t="shared" si="2"/>
        <v>45.971422939457931</v>
      </c>
      <c r="H30" s="111"/>
      <c r="I30" s="111"/>
      <c r="J30" s="112">
        <f t="shared" si="3"/>
        <v>45.971422939457931</v>
      </c>
      <c r="K30" s="112">
        <f t="shared" si="4"/>
        <v>129.86000000000001</v>
      </c>
      <c r="L30" s="111">
        <f t="shared" si="1"/>
        <v>129.86000000000001</v>
      </c>
      <c r="P30" s="129">
        <f t="shared" si="5"/>
        <v>0</v>
      </c>
      <c r="Q30" s="112">
        <v>0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6"/>
        <v>99.73</v>
      </c>
      <c r="E31" s="111">
        <f t="shared" si="6"/>
        <v>29.22</v>
      </c>
      <c r="F31" s="111">
        <f t="shared" ref="F31" si="16">ROUND(F30*(1+IRP23_Infl_Rate),2)</f>
        <v>3.86</v>
      </c>
      <c r="G31" s="112">
        <f t="shared" si="2"/>
        <v>47.015745268669392</v>
      </c>
      <c r="H31" s="111"/>
      <c r="I31" s="111"/>
      <c r="J31" s="112">
        <f t="shared" si="3"/>
        <v>47.015745268669392</v>
      </c>
      <c r="K31" s="112">
        <f t="shared" si="4"/>
        <v>132.81</v>
      </c>
      <c r="L31" s="111">
        <f t="shared" si="1"/>
        <v>132.81</v>
      </c>
      <c r="P31" s="129">
        <f t="shared" si="5"/>
        <v>0</v>
      </c>
      <c r="Q31" s="112">
        <v>0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6"/>
        <v>101.99</v>
      </c>
      <c r="E32" s="111">
        <f t="shared" si="6"/>
        <v>29.88</v>
      </c>
      <c r="F32" s="111">
        <f t="shared" ref="F32" si="17">ROUND(F31*(1+IRP23_Infl_Rate),2)</f>
        <v>3.95</v>
      </c>
      <c r="G32" s="112">
        <f t="shared" si="2"/>
        <v>48.081308052034302</v>
      </c>
      <c r="H32" s="111"/>
      <c r="I32" s="111"/>
      <c r="J32" s="112">
        <f t="shared" si="3"/>
        <v>48.081308052034302</v>
      </c>
      <c r="K32" s="112">
        <f t="shared" si="4"/>
        <v>135.82</v>
      </c>
      <c r="L32" s="111">
        <f t="shared" si="1"/>
        <v>135.82</v>
      </c>
      <c r="P32" s="129">
        <f t="shared" si="5"/>
        <v>0</v>
      </c>
      <c r="Q32" s="112">
        <v>0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6"/>
        <v>104.31</v>
      </c>
      <c r="E33" s="111">
        <f t="shared" si="6"/>
        <v>30.56</v>
      </c>
      <c r="F33" s="111">
        <f t="shared" ref="F33" si="18">ROUND(F32*(1+IRP23_Infl_Rate),2)</f>
        <v>4.04</v>
      </c>
      <c r="G33" s="112">
        <f t="shared" si="2"/>
        <v>49.175191440937162</v>
      </c>
      <c r="H33" s="111"/>
      <c r="I33" s="111"/>
      <c r="J33" s="112">
        <f t="shared" si="3"/>
        <v>49.175191440937162</v>
      </c>
      <c r="K33" s="112">
        <f t="shared" si="4"/>
        <v>138.91</v>
      </c>
      <c r="L33" s="111">
        <f t="shared" si="1"/>
        <v>138.91</v>
      </c>
      <c r="P33" s="129">
        <f t="shared" si="5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6"/>
        <v>106.68</v>
      </c>
      <c r="E34" s="111">
        <f t="shared" si="6"/>
        <v>31.25</v>
      </c>
      <c r="F34" s="111">
        <f t="shared" ref="F34" si="19">ROUND(F33*(1+IRP23_Infl_Rate),2)</f>
        <v>4.13</v>
      </c>
      <c r="G34" s="112">
        <f t="shared" si="2"/>
        <v>50.290315283993472</v>
      </c>
      <c r="H34" s="111"/>
      <c r="I34" s="111"/>
      <c r="J34" s="112">
        <f t="shared" si="3"/>
        <v>50.290315283993472</v>
      </c>
      <c r="K34" s="112">
        <f t="shared" si="4"/>
        <v>142.06</v>
      </c>
      <c r="L34" s="111">
        <f t="shared" si="1"/>
        <v>142.06</v>
      </c>
      <c r="P34" s="129">
        <f t="shared" si="5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6"/>
        <v>109.1</v>
      </c>
      <c r="E35" s="111">
        <f t="shared" si="6"/>
        <v>31.96</v>
      </c>
      <c r="F35" s="111">
        <f t="shared" ref="F35" si="20">ROUND(F34*(1+IRP23_Infl_Rate),2)</f>
        <v>4.22</v>
      </c>
      <c r="G35" s="112">
        <f t="shared" si="2"/>
        <v>51.430219656895481</v>
      </c>
      <c r="H35" s="111"/>
      <c r="I35" s="111"/>
      <c r="J35" s="112">
        <f t="shared" si="3"/>
        <v>51.430219656895481</v>
      </c>
      <c r="K35" s="112">
        <f t="shared" si="4"/>
        <v>145.28</v>
      </c>
      <c r="L35" s="111">
        <f t="shared" si="1"/>
        <v>145.28</v>
      </c>
      <c r="P35" s="129">
        <f t="shared" si="5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ref="D36:F37" si="21">ROUND(D35*(1+IRP23_Infl_Rate),2)</f>
        <v>111.58</v>
      </c>
      <c r="E36" s="111">
        <f t="shared" si="21"/>
        <v>32.69</v>
      </c>
      <c r="F36" s="111">
        <f t="shared" si="21"/>
        <v>4.32</v>
      </c>
      <c r="G36" s="112">
        <f t="shared" si="2"/>
        <v>52.601984711027654</v>
      </c>
      <c r="H36" s="111"/>
      <c r="I36" s="111"/>
      <c r="J36" s="112">
        <f t="shared" si="3"/>
        <v>52.601984711027654</v>
      </c>
      <c r="K36" s="112">
        <f t="shared" si="4"/>
        <v>148.59</v>
      </c>
      <c r="L36" s="111">
        <f t="shared" si="1"/>
        <v>148.58999999999997</v>
      </c>
      <c r="P36" s="129">
        <f t="shared" si="5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21"/>
        <v>114.11</v>
      </c>
      <c r="E37" s="111">
        <f t="shared" si="21"/>
        <v>33.43</v>
      </c>
      <c r="F37" s="111">
        <f t="shared" si="21"/>
        <v>4.42</v>
      </c>
      <c r="G37" s="112">
        <f t="shared" si="2"/>
        <v>53.794990219313298</v>
      </c>
      <c r="H37" s="111"/>
      <c r="I37" s="111"/>
      <c r="J37" s="112">
        <f t="shared" si="3"/>
        <v>53.794990219313298</v>
      </c>
      <c r="K37" s="112">
        <f t="shared" si="4"/>
        <v>151.96</v>
      </c>
      <c r="L37" s="111">
        <f t="shared" si="1"/>
        <v>151.95999999999998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-PMT(Discount_Rate,COUNT(J19:J37),NPV(Discount_Rate,J19:J37))</f>
        <v>12.366517161262431</v>
      </c>
      <c r="K39" s="287">
        <f>-PMT(Discount_Rate,COUNT(K19:K37),NPV(Discount_Rate,K19:K37))</f>
        <v>34.933658942033198</v>
      </c>
      <c r="L39" s="287">
        <f>-PMT(Discount_Rate,COUNT(L19:L37),NPV(Discount_Rate,L19:L37))</f>
        <v>110.75671837097094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32.2%)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PVS.PX.CLV.1.TC4.PV - 32%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2026</v>
      </c>
      <c r="T54" s="273" t="s">
        <v>266</v>
      </c>
    </row>
    <row r="55" spans="2:20">
      <c r="B55" t="s">
        <v>152</v>
      </c>
      <c r="C55" s="267"/>
      <c r="D55" s="102" t="s">
        <v>65</v>
      </c>
      <c r="P55" s="226">
        <v>300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2026$</v>
      </c>
      <c r="C60" s="223">
        <f>IFERROR(INDEX('Table 3 TransCost'!$39:$39,1,MATCH(F60,'Table 3 TransCost'!$4:$4,0)+2),0)</f>
        <v>3.0183974417510675</v>
      </c>
      <c r="D60" s="102" t="s">
        <v>137</v>
      </c>
      <c r="F60" s="102" t="s">
        <v>358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0.32246556589655151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71A2-870E-4EF8-999E-AC9EC1E7AEC0}">
  <sheetPr>
    <tabColor rgb="FFFFC000"/>
    <pageSetUpPr fitToPage="1"/>
  </sheetPr>
  <dimension ref="B1:AC91"/>
  <sheetViews>
    <sheetView topLeftCell="A42" zoomScale="80" zoomScaleNormal="80" workbookViewId="0">
      <selection activeCell="T54" sqref="T5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18.1640625" style="102" customWidth="1"/>
    <col min="20" max="20" width="9.33203125" style="102"/>
    <col min="21" max="21" width="22.33203125" style="102" customWidth="1"/>
    <col min="22" max="22" width="18.1640625" style="102" customWidth="1"/>
    <col min="23" max="23" width="9.6640625" style="102" bestFit="1" customWidth="1"/>
    <col min="24" max="27" width="9.33203125" style="102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PVS.PX.BOR._.2C5.PV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28%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291" t="s">
        <v>345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S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S6" s="225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</row>
    <row r="8" spans="2:27" ht="6" customHeight="1"/>
    <row r="9" spans="2:27" ht="15.75">
      <c r="B9" s="39" t="str">
        <f>C52</f>
        <v>PVS.PX.BOR._.2C5.PV - 28%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>
        <f t="shared" ref="L13:L37" si="1">(D13+E13+F13)</f>
        <v>0</v>
      </c>
      <c r="R13" s="102" t="s">
        <v>545</v>
      </c>
      <c r="S13" s="129"/>
      <c r="T13" s="102" t="s">
        <v>265</v>
      </c>
      <c r="U13" s="129"/>
      <c r="W13" s="129"/>
      <c r="X13" s="102" t="s">
        <v>247</v>
      </c>
      <c r="Z13" s="129"/>
      <c r="AA13" s="129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>
        <f t="shared" si="1"/>
        <v>0</v>
      </c>
      <c r="P14" s="114"/>
      <c r="Q14" s="265"/>
      <c r="R14" s="115" t="s">
        <v>232</v>
      </c>
      <c r="S14" s="129" t="s">
        <v>275</v>
      </c>
      <c r="T14" s="102" t="s">
        <v>238</v>
      </c>
      <c r="U14" s="129"/>
      <c r="X14" s="115" t="s">
        <v>232</v>
      </c>
      <c r="Z14" s="129"/>
      <c r="AA14" s="129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>
        <f t="shared" si="1"/>
        <v>0</v>
      </c>
      <c r="P15" s="266"/>
      <c r="Q15" s="265"/>
      <c r="R15" s="115"/>
      <c r="W15" s="129"/>
      <c r="Z15" s="129"/>
      <c r="AA15" s="129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>
        <f t="shared" si="1"/>
        <v>0</v>
      </c>
      <c r="R16" s="274">
        <v>1152.1201952304518</v>
      </c>
      <c r="S16" s="284">
        <f>T16-R16</f>
        <v>5.7198047695480909</v>
      </c>
      <c r="T16" s="113">
        <v>1157.8399999999999</v>
      </c>
      <c r="U16" s="113"/>
      <c r="X16" s="129">
        <v>21.158014243080867</v>
      </c>
      <c r="Z16" s="129"/>
      <c r="AA16" s="129"/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>
        <f t="shared" si="1"/>
        <v>0</v>
      </c>
      <c r="R17" s="113"/>
      <c r="T17" s="113">
        <f>T16*IRP_PTC_ESC!$Q3</f>
        <v>1556.9474479999999</v>
      </c>
      <c r="U17" s="113"/>
      <c r="V17" s="129"/>
      <c r="X17" s="277">
        <f>X16*(1+IRP23_Infl_Rate)</f>
        <v>21.638301166494205</v>
      </c>
      <c r="Z17" s="129"/>
      <c r="AA17" s="129"/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>
        <f t="shared" si="1"/>
        <v>0</v>
      </c>
      <c r="Q18" s="263"/>
      <c r="R18" s="113"/>
      <c r="T18" s="113">
        <f>T17*IRP_PTC_ESC!$Q4</f>
        <v>1556.9474479999999</v>
      </c>
      <c r="U18" s="113"/>
      <c r="V18" s="129"/>
      <c r="X18" s="277">
        <f>X17*(1+IRP23_Infl_Rate)</f>
        <v>22.12949060307119</v>
      </c>
      <c r="Z18" s="129"/>
      <c r="AA18" s="129"/>
      <c r="AB18" s="253"/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>
        <f t="shared" si="1"/>
        <v>0</v>
      </c>
      <c r="P19" s="129">
        <f>Q19-I19</f>
        <v>0</v>
      </c>
      <c r="Q19" s="112">
        <v>0</v>
      </c>
      <c r="R19" s="113"/>
      <c r="T19" s="113">
        <f>T18*IRP_PTC_ESC!$Q5</f>
        <v>1556.9474479999999</v>
      </c>
      <c r="U19" s="284"/>
      <c r="W19" s="129"/>
      <c r="X19" s="277">
        <f>X18*(1+IRP23_Infl_Rate)</f>
        <v>22.631830039860688</v>
      </c>
      <c r="Y19" s="129"/>
      <c r="Z19" s="129"/>
      <c r="AA19" s="129"/>
    </row>
    <row r="20" spans="2:29">
      <c r="B20" s="109">
        <f t="shared" si="0"/>
        <v>2026</v>
      </c>
      <c r="C20" s="274">
        <f>+IRP_LTReport!R30</f>
        <v>1556.9474234867091</v>
      </c>
      <c r="D20" s="111">
        <f>C20*$C$62</f>
        <v>78.719261731488004</v>
      </c>
      <c r="E20" s="281">
        <f>IRP_LTReport!L30</f>
        <v>22.830503330229146</v>
      </c>
      <c r="F20" s="165">
        <f>$C$60</f>
        <v>0.85764959331312407</v>
      </c>
      <c r="G20" s="112">
        <f t="shared" ref="G20:G37" si="2">(D20+E20+F20)/(8.76*$C$63)</f>
        <v>41.908296335673484</v>
      </c>
      <c r="H20" s="111"/>
      <c r="I20" s="111">
        <v>-40.843000000000004</v>
      </c>
      <c r="J20" s="112">
        <f>(G20+H20+I20)</f>
        <v>1.0652963356734801</v>
      </c>
      <c r="K20" s="112">
        <f t="shared" ref="K20:K37" si="3">ROUND(J20*$C$63*8.76,2)</f>
        <v>2.6</v>
      </c>
      <c r="L20" s="111">
        <f t="shared" si="1"/>
        <v>102.40741465503028</v>
      </c>
      <c r="P20" s="129">
        <f t="shared" ref="P20:P36" si="4">Q20-I20</f>
        <v>-0.266999999997104</v>
      </c>
      <c r="Q20" s="112">
        <v>-41.109999999997108</v>
      </c>
      <c r="S20" s="129"/>
      <c r="T20" s="113">
        <f>T19*IRP_PTC_ESC!$Q6</f>
        <v>1556.9474479999999</v>
      </c>
      <c r="U20" s="284">
        <f>T20-C20</f>
        <v>2.4513290782124386E-5</v>
      </c>
      <c r="V20" s="129"/>
      <c r="W20" s="129"/>
      <c r="X20" s="277">
        <f>X19*(1+IRP23_Infl_Rate)</f>
        <v>23.145572581867572</v>
      </c>
      <c r="Y20" s="129">
        <f>X20-E20</f>
        <v>0.31506925163842681</v>
      </c>
      <c r="Z20" s="129"/>
      <c r="AA20" s="129"/>
    </row>
    <row r="21" spans="2:29">
      <c r="B21" s="109">
        <f t="shared" si="0"/>
        <v>2027</v>
      </c>
      <c r="C21" s="113"/>
      <c r="D21" s="111">
        <f t="shared" ref="D21:F35" si="5">ROUND(D20*(1+IRP23_Infl_Rate),2)</f>
        <v>80.510000000000005</v>
      </c>
      <c r="E21" s="111">
        <f t="shared" si="5"/>
        <v>23.35</v>
      </c>
      <c r="F21" s="111">
        <f t="shared" si="5"/>
        <v>0.88</v>
      </c>
      <c r="G21" s="112">
        <f t="shared" si="2"/>
        <v>42.86286274274994</v>
      </c>
      <c r="H21" s="111"/>
      <c r="I21" s="111">
        <v>-42.295000000000009</v>
      </c>
      <c r="J21" s="112">
        <f t="shared" ref="J21:J37" si="6">(G21+H21+I21)</f>
        <v>0.56786274274993076</v>
      </c>
      <c r="K21" s="112">
        <f t="shared" si="3"/>
        <v>1.39</v>
      </c>
      <c r="L21" s="111">
        <f t="shared" si="1"/>
        <v>104.74000000000001</v>
      </c>
      <c r="P21" s="129">
        <f t="shared" si="4"/>
        <v>1.1849993896513169</v>
      </c>
      <c r="Q21" s="112">
        <v>-41.110000610348692</v>
      </c>
      <c r="S21" s="129"/>
      <c r="V21" s="129"/>
      <c r="W21" s="129"/>
      <c r="Y21" s="129"/>
      <c r="Z21" s="129"/>
      <c r="AA21" s="129"/>
    </row>
    <row r="22" spans="2:29">
      <c r="B22" s="109">
        <f t="shared" si="0"/>
        <v>2028</v>
      </c>
      <c r="C22" s="113"/>
      <c r="D22" s="111">
        <f t="shared" si="5"/>
        <v>82.34</v>
      </c>
      <c r="E22" s="111">
        <f t="shared" si="5"/>
        <v>23.88</v>
      </c>
      <c r="F22" s="111">
        <f t="shared" ref="F22" si="7">ROUND(F21*(1+IRP23_Infl_Rate),2)</f>
        <v>0.9</v>
      </c>
      <c r="G22" s="112">
        <f t="shared" si="2"/>
        <v>43.836832700051296</v>
      </c>
      <c r="H22" s="111"/>
      <c r="I22" s="111">
        <v>-42.295000000000009</v>
      </c>
      <c r="J22" s="112">
        <f t="shared" si="6"/>
        <v>1.5418327000512875</v>
      </c>
      <c r="K22" s="112">
        <f t="shared" si="3"/>
        <v>3.77</v>
      </c>
      <c r="L22" s="111">
        <f t="shared" si="1"/>
        <v>107.12</v>
      </c>
      <c r="P22" s="129">
        <f t="shared" si="4"/>
        <v>-0.13500030517275263</v>
      </c>
      <c r="Q22" s="112">
        <v>-42.430000305172761</v>
      </c>
      <c r="S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5"/>
        <v>84.21</v>
      </c>
      <c r="E23" s="111">
        <f t="shared" si="5"/>
        <v>24.42</v>
      </c>
      <c r="F23" s="111">
        <f t="shared" ref="F23" si="8">ROUND(F22*(1+IRP23_Infl_Rate),2)</f>
        <v>0.92</v>
      </c>
      <c r="G23" s="112">
        <f t="shared" si="2"/>
        <v>44.831264211077475</v>
      </c>
      <c r="H23" s="111"/>
      <c r="I23" s="111">
        <v>-43.758000000000003</v>
      </c>
      <c r="J23" s="112">
        <f t="shared" si="6"/>
        <v>1.0732642110774719</v>
      </c>
      <c r="K23" s="112">
        <f t="shared" si="3"/>
        <v>2.62</v>
      </c>
      <c r="L23" s="111">
        <f t="shared" si="1"/>
        <v>109.55</v>
      </c>
      <c r="P23" s="129">
        <f t="shared" si="4"/>
        <v>-1.9999999969328996E-3</v>
      </c>
      <c r="Q23" s="112">
        <v>-43.759999999996936</v>
      </c>
      <c r="S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5"/>
        <v>86.12</v>
      </c>
      <c r="E24" s="111">
        <f t="shared" si="5"/>
        <v>24.97</v>
      </c>
      <c r="F24" s="111">
        <f t="shared" ref="F24" si="9">ROUND(F23*(1+IRP23_Infl_Rate),2)</f>
        <v>0.94</v>
      </c>
      <c r="G24" s="112">
        <f t="shared" si="2"/>
        <v>45.846157275828482</v>
      </c>
      <c r="H24" s="111"/>
      <c r="I24" s="111">
        <v>-43.758000000000003</v>
      </c>
      <c r="J24" s="112">
        <f t="shared" si="6"/>
        <v>2.088157275828479</v>
      </c>
      <c r="K24" s="112">
        <f t="shared" si="3"/>
        <v>5.0999999999999996</v>
      </c>
      <c r="L24" s="111">
        <f t="shared" si="1"/>
        <v>112.03</v>
      </c>
      <c r="P24" s="129">
        <f t="shared" si="4"/>
        <v>-1.9983215300882762E-3</v>
      </c>
      <c r="Q24" s="112">
        <v>-43.759998321530091</v>
      </c>
      <c r="S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5"/>
        <v>88.07</v>
      </c>
      <c r="E25" s="111">
        <f t="shared" si="5"/>
        <v>25.54</v>
      </c>
      <c r="F25" s="111">
        <f t="shared" ref="F25" si="10">ROUND(F24*(1+IRP23_Infl_Rate),2)</f>
        <v>0.96</v>
      </c>
      <c r="G25" s="112">
        <f t="shared" si="2"/>
        <v>46.885604205049255</v>
      </c>
      <c r="H25" s="111"/>
      <c r="I25" s="111">
        <v>-45.221000000000004</v>
      </c>
      <c r="J25" s="112">
        <f t="shared" si="6"/>
        <v>1.6646042050492511</v>
      </c>
      <c r="K25" s="112">
        <f t="shared" si="3"/>
        <v>4.07</v>
      </c>
      <c r="L25" s="111">
        <f t="shared" si="1"/>
        <v>114.56999999999998</v>
      </c>
      <c r="P25" s="129">
        <f t="shared" si="4"/>
        <v>0.14099816894851358</v>
      </c>
      <c r="Q25" s="112">
        <v>-45.08000183105149</v>
      </c>
      <c r="S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5"/>
        <v>90.07</v>
      </c>
      <c r="E26" s="111">
        <f t="shared" si="5"/>
        <v>26.12</v>
      </c>
      <c r="F26" s="111">
        <f t="shared" ref="F26" si="11">ROUND(F25*(1+IRP23_Infl_Rate),2)</f>
        <v>0.98</v>
      </c>
      <c r="G26" s="112">
        <f t="shared" si="2"/>
        <v>47.949604998739829</v>
      </c>
      <c r="H26" s="111"/>
      <c r="I26" s="111">
        <v>-45.221000000000004</v>
      </c>
      <c r="J26" s="112">
        <f t="shared" si="6"/>
        <v>2.7286049987398258</v>
      </c>
      <c r="K26" s="112">
        <f t="shared" si="3"/>
        <v>6.67</v>
      </c>
      <c r="L26" s="111">
        <f t="shared" si="1"/>
        <v>117.17</v>
      </c>
      <c r="P26" s="129">
        <f t="shared" si="4"/>
        <v>-1.1889999999967173</v>
      </c>
      <c r="Q26" s="112">
        <v>-46.409999999996721</v>
      </c>
      <c r="S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5"/>
        <v>92.11</v>
      </c>
      <c r="E27" s="111">
        <f t="shared" si="5"/>
        <v>26.71</v>
      </c>
      <c r="F27" s="111">
        <f t="shared" ref="F27" si="12">ROUND(F26*(1+IRP23_Infl_Rate),2)</f>
        <v>1</v>
      </c>
      <c r="G27" s="112">
        <f t="shared" si="2"/>
        <v>49.034067346155211</v>
      </c>
      <c r="H27" s="111"/>
      <c r="I27" s="111">
        <v>-46.673000000000002</v>
      </c>
      <c r="J27" s="112">
        <f t="shared" si="6"/>
        <v>2.3610673461552096</v>
      </c>
      <c r="K27" s="112">
        <f t="shared" si="3"/>
        <v>5.77</v>
      </c>
      <c r="L27" s="111">
        <f t="shared" si="1"/>
        <v>119.82</v>
      </c>
      <c r="P27" s="129">
        <f t="shared" si="4"/>
        <v>0.26300015259113252</v>
      </c>
      <c r="Q27" s="112">
        <v>-46.409999847408869</v>
      </c>
      <c r="S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5"/>
        <v>94.2</v>
      </c>
      <c r="E28" s="111">
        <f t="shared" si="5"/>
        <v>27.32</v>
      </c>
      <c r="F28" s="111">
        <f t="shared" ref="F28" si="13">ROUND(F27*(1+IRP23_Infl_Rate),2)</f>
        <v>1.02</v>
      </c>
      <c r="G28" s="112">
        <f t="shared" si="2"/>
        <v>50.147175868785347</v>
      </c>
      <c r="H28" s="111"/>
      <c r="I28" s="111">
        <v>-48.136000000000003</v>
      </c>
      <c r="J28" s="112">
        <f t="shared" si="6"/>
        <v>2.0111758687853438</v>
      </c>
      <c r="K28" s="112">
        <f t="shared" si="3"/>
        <v>4.91</v>
      </c>
      <c r="L28" s="111">
        <f t="shared" si="1"/>
        <v>122.54</v>
      </c>
      <c r="P28" s="129">
        <f t="shared" si="4"/>
        <v>0.39599832153664494</v>
      </c>
      <c r="Q28" s="112">
        <v>-47.740001678463358</v>
      </c>
      <c r="S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5"/>
        <v>96.34</v>
      </c>
      <c r="E29" s="111">
        <f t="shared" si="5"/>
        <v>27.94</v>
      </c>
      <c r="F29" s="111">
        <f t="shared" ref="F29" si="14">ROUND(F28*(1+IRP23_Infl_Rate),2)</f>
        <v>1.04</v>
      </c>
      <c r="G29" s="112">
        <f t="shared" si="2"/>
        <v>51.284838255885255</v>
      </c>
      <c r="H29" s="111"/>
      <c r="I29" s="111">
        <v>-48.136000000000003</v>
      </c>
      <c r="J29" s="112">
        <f t="shared" si="6"/>
        <v>3.1488382558852521</v>
      </c>
      <c r="K29" s="112">
        <f t="shared" si="3"/>
        <v>7.69</v>
      </c>
      <c r="L29" s="111">
        <f t="shared" si="1"/>
        <v>125.32000000000001</v>
      </c>
      <c r="P29" s="129">
        <f t="shared" si="4"/>
        <v>-0.92399999999653204</v>
      </c>
      <c r="Q29" s="112">
        <v>-49.059999999996535</v>
      </c>
      <c r="S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5"/>
        <v>98.53</v>
      </c>
      <c r="E30" s="111">
        <f t="shared" si="5"/>
        <v>28.57</v>
      </c>
      <c r="F30" s="111">
        <f t="shared" ref="F30" si="15">ROUND(F29*(1+IRP23_Infl_Rate),2)</f>
        <v>1.06</v>
      </c>
      <c r="G30" s="112">
        <f t="shared" si="2"/>
        <v>52.447054507454951</v>
      </c>
      <c r="H30" s="111"/>
      <c r="I30" s="111"/>
      <c r="J30" s="112">
        <f t="shared" si="6"/>
        <v>52.447054507454951</v>
      </c>
      <c r="K30" s="112">
        <f t="shared" si="3"/>
        <v>128.16</v>
      </c>
      <c r="L30" s="111">
        <f t="shared" si="1"/>
        <v>128.16</v>
      </c>
      <c r="P30" s="129">
        <f t="shared" si="4"/>
        <v>0</v>
      </c>
      <c r="Q30" s="112">
        <v>0</v>
      </c>
      <c r="S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5"/>
        <v>100.77</v>
      </c>
      <c r="E31" s="111">
        <f t="shared" si="5"/>
        <v>29.22</v>
      </c>
      <c r="F31" s="111">
        <f t="shared" ref="F31" si="16">ROUND(F30*(1+IRP23_Infl_Rate),2)</f>
        <v>1.08</v>
      </c>
      <c r="G31" s="112">
        <f t="shared" si="2"/>
        <v>53.637916934239399</v>
      </c>
      <c r="H31" s="111"/>
      <c r="I31" s="111"/>
      <c r="J31" s="112">
        <f t="shared" si="6"/>
        <v>53.637916934239399</v>
      </c>
      <c r="K31" s="112">
        <f t="shared" si="3"/>
        <v>131.07</v>
      </c>
      <c r="L31" s="111">
        <f t="shared" si="1"/>
        <v>131.07000000000002</v>
      </c>
      <c r="P31" s="129">
        <f t="shared" si="4"/>
        <v>0</v>
      </c>
      <c r="Q31" s="112">
        <v>0</v>
      </c>
      <c r="S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5"/>
        <v>103.06</v>
      </c>
      <c r="E32" s="111">
        <f t="shared" si="5"/>
        <v>29.88</v>
      </c>
      <c r="F32" s="111">
        <f t="shared" ref="F32" si="17">ROUND(F31*(1+IRP23_Infl_Rate),2)</f>
        <v>1.1000000000000001</v>
      </c>
      <c r="G32" s="112">
        <f t="shared" si="2"/>
        <v>54.853333225493607</v>
      </c>
      <c r="H32" s="111"/>
      <c r="I32" s="111"/>
      <c r="J32" s="112">
        <f t="shared" si="6"/>
        <v>54.853333225493607</v>
      </c>
      <c r="K32" s="112">
        <f t="shared" si="3"/>
        <v>134.04</v>
      </c>
      <c r="L32" s="111">
        <f t="shared" si="1"/>
        <v>134.04</v>
      </c>
      <c r="P32" s="129">
        <f t="shared" si="4"/>
        <v>0</v>
      </c>
      <c r="Q32" s="112">
        <v>0</v>
      </c>
      <c r="S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5"/>
        <v>105.4</v>
      </c>
      <c r="E33" s="111">
        <f t="shared" si="5"/>
        <v>30.56</v>
      </c>
      <c r="F33" s="111">
        <f t="shared" ref="F33" si="18">ROUND(F32*(1+IRP23_Infl_Rate),2)</f>
        <v>1.1200000000000001</v>
      </c>
      <c r="G33" s="112">
        <f t="shared" si="2"/>
        <v>56.097395691962589</v>
      </c>
      <c r="H33" s="111"/>
      <c r="I33" s="111"/>
      <c r="J33" s="112">
        <f t="shared" si="6"/>
        <v>56.097395691962589</v>
      </c>
      <c r="K33" s="112">
        <f t="shared" si="3"/>
        <v>137.08000000000001</v>
      </c>
      <c r="L33" s="111">
        <f t="shared" si="1"/>
        <v>137.08000000000001</v>
      </c>
      <c r="P33" s="129">
        <f t="shared" si="4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5"/>
        <v>107.79</v>
      </c>
      <c r="E34" s="111">
        <f t="shared" si="5"/>
        <v>31.25</v>
      </c>
      <c r="F34" s="111">
        <f t="shared" ref="F34" si="19">ROUND(F33*(1+IRP23_Infl_Rate),2)</f>
        <v>1.1499999999999999</v>
      </c>
      <c r="G34" s="112">
        <f t="shared" si="2"/>
        <v>57.37010433364631</v>
      </c>
      <c r="H34" s="111"/>
      <c r="I34" s="111"/>
      <c r="J34" s="112">
        <f t="shared" si="6"/>
        <v>57.37010433364631</v>
      </c>
      <c r="K34" s="112">
        <f t="shared" si="3"/>
        <v>140.19</v>
      </c>
      <c r="L34" s="111">
        <f t="shared" si="1"/>
        <v>140.19000000000003</v>
      </c>
      <c r="P34" s="129">
        <f t="shared" si="4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5"/>
        <v>110.24</v>
      </c>
      <c r="E35" s="111">
        <f t="shared" si="5"/>
        <v>31.96</v>
      </c>
      <c r="F35" s="111">
        <f t="shared" ref="F35" si="20">ROUND(F34*(1+IRP23_Infl_Rate),2)</f>
        <v>1.18</v>
      </c>
      <c r="G35" s="112">
        <f t="shared" si="2"/>
        <v>58.675551461289722</v>
      </c>
      <c r="H35" s="111"/>
      <c r="I35" s="111"/>
      <c r="J35" s="112">
        <f t="shared" si="6"/>
        <v>58.675551461289722</v>
      </c>
      <c r="K35" s="112">
        <f t="shared" si="3"/>
        <v>143.38</v>
      </c>
      <c r="L35" s="111">
        <f t="shared" si="1"/>
        <v>143.38</v>
      </c>
      <c r="P35" s="129">
        <f t="shared" si="4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ref="D36:F37" si="21">ROUND(D35*(1+IRP23_Infl_Rate),2)</f>
        <v>112.74</v>
      </c>
      <c r="E36" s="111">
        <f t="shared" si="21"/>
        <v>32.69</v>
      </c>
      <c r="F36" s="111">
        <f t="shared" si="21"/>
        <v>1.21</v>
      </c>
      <c r="G36" s="112">
        <f t="shared" si="2"/>
        <v>60.0096447641479</v>
      </c>
      <c r="H36" s="111"/>
      <c r="I36" s="111"/>
      <c r="J36" s="112">
        <f t="shared" si="6"/>
        <v>60.0096447641479</v>
      </c>
      <c r="K36" s="112">
        <f t="shared" si="3"/>
        <v>146.63999999999999</v>
      </c>
      <c r="L36" s="111">
        <f t="shared" si="1"/>
        <v>146.64000000000001</v>
      </c>
      <c r="P36" s="129">
        <f t="shared" si="4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21"/>
        <v>115.3</v>
      </c>
      <c r="E37" s="111">
        <f t="shared" si="21"/>
        <v>33.43</v>
      </c>
      <c r="F37" s="111">
        <f t="shared" si="21"/>
        <v>1.24</v>
      </c>
      <c r="G37" s="112">
        <f t="shared" si="2"/>
        <v>61.372384242220811</v>
      </c>
      <c r="H37" s="111"/>
      <c r="I37" s="111"/>
      <c r="J37" s="112">
        <f t="shared" si="6"/>
        <v>61.372384242220811</v>
      </c>
      <c r="K37" s="112">
        <f t="shared" si="3"/>
        <v>149.97</v>
      </c>
      <c r="L37" s="111">
        <f t="shared" si="1"/>
        <v>149.97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-PMT(Discount_Rate,COUNT(J20:J37),NPV(Discount_Rate,J20:J37))</f>
        <v>18.429413901066891</v>
      </c>
      <c r="K39" s="287">
        <f>-PMT(Discount_Rate,COUNT(K20:K37),NPV(Discount_Rate,K20:K37))</f>
        <v>45.033822063774437</v>
      </c>
      <c r="L39" s="287">
        <f>-PMT(Discount_Rate,COUNT(L20:L37),NPV(Discount_Rate,L20:L37))</f>
        <v>119.99331691257558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27.9%)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PVS.PX.BOR._.2C5.PV - 28%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2025</v>
      </c>
      <c r="S54" s="273"/>
      <c r="T54" s="273" t="s">
        <v>258</v>
      </c>
    </row>
    <row r="55" spans="2:20">
      <c r="B55" t="s">
        <v>152</v>
      </c>
      <c r="C55" s="267"/>
      <c r="D55" s="102" t="s">
        <v>65</v>
      </c>
      <c r="P55" s="226">
        <v>1100</v>
      </c>
      <c r="Q55" s="102" t="s">
        <v>32</v>
      </c>
      <c r="S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2026$</v>
      </c>
      <c r="C60" s="223">
        <f>IFERROR(INDEX('Table 3 TransCost'!$39:$39,1,MATCH(F60,'Table 3 TransCost'!$4:$4,0)+2),0)</f>
        <v>0.85764959331312407</v>
      </c>
      <c r="D60" s="102" t="s">
        <v>137</v>
      </c>
      <c r="F60" s="102" t="s">
        <v>355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0.27895059357855467</v>
      </c>
      <c r="D63" s="102" t="s">
        <v>37</v>
      </c>
    </row>
    <row r="64" spans="2:20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1A469-8E0F-4386-9297-A17F27F1B15F}">
  <sheetPr>
    <tabColor rgb="FFFFC000"/>
    <pageSetUpPr fitToPage="1"/>
  </sheetPr>
  <dimension ref="B1:AC91"/>
  <sheetViews>
    <sheetView topLeftCell="A40" zoomScale="70" zoomScaleNormal="70" workbookViewId="0">
      <selection activeCell="P64" sqref="P6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23.5" style="102" customWidth="1"/>
    <col min="20" max="20" width="18.1640625" style="102" customWidth="1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PVS.PX.COR._.TC8.PV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29%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T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R6" s="102" t="s">
        <v>277</v>
      </c>
      <c r="T6" s="102" t="s">
        <v>265</v>
      </c>
      <c r="W6" s="129"/>
      <c r="X6" s="129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  <c r="R7" s="115" t="s">
        <v>232</v>
      </c>
      <c r="S7" s="129" t="s">
        <v>275</v>
      </c>
      <c r="T7" s="102" t="s">
        <v>238</v>
      </c>
      <c r="U7" s="129" t="s">
        <v>276</v>
      </c>
      <c r="X7" s="102" t="s">
        <v>247</v>
      </c>
    </row>
    <row r="8" spans="2:27" ht="21.75" customHeight="1">
      <c r="R8" s="115"/>
      <c r="T8" s="102" t="s">
        <v>273</v>
      </c>
      <c r="X8" s="115" t="s">
        <v>232</v>
      </c>
    </row>
    <row r="9" spans="2:27" ht="15.75">
      <c r="B9" s="39" t="str">
        <f>C52</f>
        <v>PVS.PX.COR._.TC8.PV - 29%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1234.2252424717099</v>
      </c>
      <c r="S16" s="284">
        <f>T16-R16</f>
        <v>6.124757528290047</v>
      </c>
      <c r="T16" s="113">
        <v>1240.3499999999999</v>
      </c>
      <c r="X16" s="277">
        <v>21.158014243080867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277"/>
      <c r="S17" s="277"/>
      <c r="T17" s="102">
        <f>T16*IRP_PTC_ESC!$Q3</f>
        <v>1667.898645</v>
      </c>
      <c r="X17" s="277">
        <f>X16*(1+IRP23_Infl_Rate)</f>
        <v>21.638301166494205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277"/>
      <c r="S18" s="277"/>
      <c r="T18" s="102">
        <f>T17*IRP_PTC_ESC!$Q4</f>
        <v>1667.898645</v>
      </c>
      <c r="X18" s="277">
        <f>X17*(1+IRP23_Infl_Rate)</f>
        <v>22.12949060307119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277"/>
      <c r="S19" s="277"/>
      <c r="T19" s="102">
        <f>T18*IRP_PTC_ESC!$Q5</f>
        <v>1667.898645</v>
      </c>
      <c r="U19" s="284"/>
      <c r="X19" s="277">
        <f>X18*(1+IRP23_Infl_Rate)</f>
        <v>22.631830039860688</v>
      </c>
      <c r="Y19" s="284"/>
    </row>
    <row r="20" spans="2:29">
      <c r="B20" s="109">
        <f t="shared" si="0"/>
        <v>2026</v>
      </c>
      <c r="C20" s="274">
        <f>IRP_LTReport!R38</f>
        <v>1667.89861873985</v>
      </c>
      <c r="D20" s="111">
        <f>C20*$C$62</f>
        <v>84.328954163486813</v>
      </c>
      <c r="E20" s="281">
        <f>IRP_LTReport!L38</f>
        <v>22.830503330226133</v>
      </c>
      <c r="F20" s="165">
        <f>$C$60</f>
        <v>3.6692136182872273</v>
      </c>
      <c r="G20" s="112">
        <f t="shared" ref="G20:G37" si="1">(D20+E20+F20)/(8.76*$C$63)</f>
        <v>43.187700414600791</v>
      </c>
      <c r="H20" s="111"/>
      <c r="I20" s="111">
        <v>-37.130000000000003</v>
      </c>
      <c r="J20" s="112">
        <f>(G20+H20+I20)</f>
        <v>6.057700414600788</v>
      </c>
      <c r="K20" s="112">
        <f t="shared" ref="K20:K37" si="2">ROUND(J20*$C$63*8.76,2)</f>
        <v>15.55</v>
      </c>
      <c r="L20" s="111">
        <f t="shared" ref="L20:L37" si="3">(D20+E20+F20)</f>
        <v>110.82867111200018</v>
      </c>
      <c r="P20" s="129">
        <f t="shared" ref="P20:P36" si="4">Q20-I20</f>
        <v>-1.0681458704198121E-6</v>
      </c>
      <c r="Q20" s="112">
        <v>-37.130001068145873</v>
      </c>
      <c r="T20" s="102">
        <f>T19*IRP_PTC_ESC!$Q6</f>
        <v>1667.898645</v>
      </c>
      <c r="U20" s="284">
        <f>T20-C20</f>
        <v>2.6260149979862035E-5</v>
      </c>
      <c r="W20" s="129"/>
      <c r="X20" s="277">
        <f>X19*(1+IRP23_Infl_Rate)</f>
        <v>23.145572581867572</v>
      </c>
      <c r="Y20" s="284">
        <f>X20-E20</f>
        <v>0.31506925164143951</v>
      </c>
    </row>
    <row r="21" spans="2:29">
      <c r="B21" s="109">
        <f t="shared" si="0"/>
        <v>2027</v>
      </c>
      <c r="C21" s="113"/>
      <c r="D21" s="111">
        <f t="shared" ref="D21:F35" si="5">ROUND(D20*(1+IRP23_Infl_Rate),2)</f>
        <v>86.24</v>
      </c>
      <c r="E21" s="111">
        <f t="shared" si="5"/>
        <v>23.35</v>
      </c>
      <c r="F21" s="111">
        <f t="shared" si="5"/>
        <v>3.75</v>
      </c>
      <c r="G21" s="112">
        <f t="shared" si="1"/>
        <v>44.166314689853301</v>
      </c>
      <c r="H21" s="111"/>
      <c r="I21" s="111">
        <v>-38.450000000000003</v>
      </c>
      <c r="J21" s="112">
        <f t="shared" ref="J21:J37" si="6">(G21+H21+I21)</f>
        <v>5.7163146898532986</v>
      </c>
      <c r="K21" s="112">
        <f t="shared" si="2"/>
        <v>14.67</v>
      </c>
      <c r="L21" s="111">
        <f t="shared" si="3"/>
        <v>113.34</v>
      </c>
      <c r="P21" s="129">
        <f t="shared" si="4"/>
        <v>-3.1263880373444408E-11</v>
      </c>
      <c r="Q21" s="112">
        <v>-38.450000000031267</v>
      </c>
      <c r="V21" s="129"/>
      <c r="W21" s="129"/>
      <c r="X21" s="129"/>
      <c r="Y21" s="129"/>
      <c r="Z21" s="129"/>
    </row>
    <row r="22" spans="2:29">
      <c r="B22" s="109">
        <f t="shared" si="0"/>
        <v>2028</v>
      </c>
      <c r="C22" s="113"/>
      <c r="D22" s="111">
        <f t="shared" si="5"/>
        <v>88.2</v>
      </c>
      <c r="E22" s="111">
        <f t="shared" si="5"/>
        <v>23.88</v>
      </c>
      <c r="F22" s="111">
        <f t="shared" ref="F22" si="7">ROUND(F21*(1+IRP23_Infl_Rate),2)</f>
        <v>3.84</v>
      </c>
      <c r="G22" s="112">
        <f t="shared" si="1"/>
        <v>45.171688714026779</v>
      </c>
      <c r="H22" s="111"/>
      <c r="I22" s="111">
        <v>-38.450000000000003</v>
      </c>
      <c r="J22" s="112">
        <f t="shared" si="6"/>
        <v>6.7216887140267758</v>
      </c>
      <c r="K22" s="112">
        <f t="shared" si="2"/>
        <v>17.25</v>
      </c>
      <c r="L22" s="111">
        <f t="shared" si="3"/>
        <v>115.92</v>
      </c>
      <c r="P22" s="129">
        <f t="shared" si="4"/>
        <v>-7.6297064310892893E-7</v>
      </c>
      <c r="Q22" s="112">
        <v>-38.450000762970646</v>
      </c>
      <c r="T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5"/>
        <v>90.2</v>
      </c>
      <c r="E23" s="111">
        <f t="shared" si="5"/>
        <v>24.42</v>
      </c>
      <c r="F23" s="111">
        <f t="shared" ref="F23" si="8">ROUND(F22*(1+IRP23_Infl_Rate),2)</f>
        <v>3.93</v>
      </c>
      <c r="G23" s="112">
        <f t="shared" si="1"/>
        <v>46.196546730916793</v>
      </c>
      <c r="H23" s="111"/>
      <c r="I23" s="111">
        <v>-39.78</v>
      </c>
      <c r="J23" s="112">
        <f t="shared" si="6"/>
        <v>6.4165467309167923</v>
      </c>
      <c r="K23" s="112">
        <f t="shared" si="2"/>
        <v>16.47</v>
      </c>
      <c r="L23" s="111">
        <f t="shared" si="3"/>
        <v>118.55000000000001</v>
      </c>
      <c r="P23" s="129">
        <f t="shared" si="4"/>
        <v>-3.2684965844964609E-11</v>
      </c>
      <c r="Q23" s="112">
        <v>-39.780000000032686</v>
      </c>
      <c r="T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5"/>
        <v>92.25</v>
      </c>
      <c r="E24" s="111">
        <f t="shared" si="5"/>
        <v>24.97</v>
      </c>
      <c r="F24" s="111">
        <f t="shared" ref="F24" si="9">ROUND(F23*(1+IRP23_Infl_Rate),2)</f>
        <v>4.0199999999999996</v>
      </c>
      <c r="G24" s="112">
        <f t="shared" si="1"/>
        <v>47.244785539066648</v>
      </c>
      <c r="H24" s="111"/>
      <c r="I24" s="111">
        <v>-39.78</v>
      </c>
      <c r="J24" s="112">
        <f t="shared" si="6"/>
        <v>7.4647855390666464</v>
      </c>
      <c r="K24" s="112">
        <f t="shared" si="2"/>
        <v>19.16</v>
      </c>
      <c r="L24" s="111">
        <f t="shared" si="3"/>
        <v>121.24</v>
      </c>
      <c r="P24" s="129">
        <f t="shared" si="4"/>
        <v>1.2206706756501262E-6</v>
      </c>
      <c r="Q24" s="112">
        <v>-39.779998779329325</v>
      </c>
      <c r="T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5"/>
        <v>94.34</v>
      </c>
      <c r="E25" s="111">
        <f t="shared" si="5"/>
        <v>25.54</v>
      </c>
      <c r="F25" s="111">
        <f t="shared" ref="F25" si="10">ROUND(F24*(1+IRP23_Infl_Rate),2)</f>
        <v>4.1100000000000003</v>
      </c>
      <c r="G25" s="112">
        <f t="shared" si="1"/>
        <v>48.316405138476362</v>
      </c>
      <c r="H25" s="111"/>
      <c r="I25" s="111">
        <v>-41.11</v>
      </c>
      <c r="J25" s="112">
        <f t="shared" si="6"/>
        <v>7.206405138476363</v>
      </c>
      <c r="K25" s="112">
        <f t="shared" si="2"/>
        <v>18.489999999999998</v>
      </c>
      <c r="L25" s="111">
        <f t="shared" si="3"/>
        <v>123.99</v>
      </c>
      <c r="P25" s="129">
        <f t="shared" si="4"/>
        <v>-3.3729463666531956E-11</v>
      </c>
      <c r="Q25" s="112">
        <v>-41.110000000033729</v>
      </c>
      <c r="T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5"/>
        <v>96.48</v>
      </c>
      <c r="E26" s="111">
        <f t="shared" si="5"/>
        <v>26.12</v>
      </c>
      <c r="F26" s="111">
        <f t="shared" ref="F26" si="11">ROUND(F25*(1+IRP23_Infl_Rate),2)</f>
        <v>4.2</v>
      </c>
      <c r="G26" s="112">
        <f t="shared" si="1"/>
        <v>49.411405529145924</v>
      </c>
      <c r="H26" s="111"/>
      <c r="I26" s="111">
        <v>-41.11</v>
      </c>
      <c r="J26" s="112">
        <f t="shared" si="6"/>
        <v>8.3014055291459243</v>
      </c>
      <c r="K26" s="112">
        <f t="shared" si="2"/>
        <v>21.3</v>
      </c>
      <c r="L26" s="111">
        <f t="shared" si="3"/>
        <v>126.80000000000001</v>
      </c>
      <c r="P26" s="129">
        <f t="shared" si="4"/>
        <v>-6.1038540621893844E-7</v>
      </c>
      <c r="Q26" s="112">
        <v>-41.110000610385406</v>
      </c>
      <c r="T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5"/>
        <v>98.67</v>
      </c>
      <c r="E27" s="111">
        <f t="shared" si="5"/>
        <v>26.71</v>
      </c>
      <c r="F27" s="111">
        <f t="shared" ref="F27" si="12">ROUND(F26*(1+IRP23_Infl_Rate),2)</f>
        <v>4.3</v>
      </c>
      <c r="G27" s="112">
        <f t="shared" si="1"/>
        <v>50.533683509618641</v>
      </c>
      <c r="H27" s="111"/>
      <c r="I27" s="111">
        <v>-42.43</v>
      </c>
      <c r="J27" s="112">
        <f t="shared" si="6"/>
        <v>8.1036835096186408</v>
      </c>
      <c r="K27" s="112">
        <f t="shared" si="2"/>
        <v>20.8</v>
      </c>
      <c r="L27" s="111">
        <f t="shared" si="3"/>
        <v>129.68</v>
      </c>
      <c r="P27" s="129">
        <f t="shared" si="4"/>
        <v>-3.0521027127861089E-7</v>
      </c>
      <c r="Q27" s="112">
        <v>-42.430000305210271</v>
      </c>
      <c r="T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5"/>
        <v>100.91</v>
      </c>
      <c r="E28" s="111">
        <f t="shared" si="5"/>
        <v>27.32</v>
      </c>
      <c r="F28" s="111">
        <f t="shared" ref="F28" si="13">ROUND(F27*(1+IRP23_Infl_Rate),2)</f>
        <v>4.4000000000000004</v>
      </c>
      <c r="G28" s="112">
        <f t="shared" si="1"/>
        <v>51.683239079894506</v>
      </c>
      <c r="H28" s="111"/>
      <c r="I28" s="111">
        <v>-43.76</v>
      </c>
      <c r="J28" s="112">
        <f t="shared" si="6"/>
        <v>7.9232390798945076</v>
      </c>
      <c r="K28" s="112">
        <f t="shared" si="2"/>
        <v>20.329999999999998</v>
      </c>
      <c r="L28" s="111">
        <f t="shared" si="3"/>
        <v>132.63</v>
      </c>
      <c r="P28" s="129">
        <f t="shared" si="4"/>
        <v>-3.6230574096407508E-11</v>
      </c>
      <c r="Q28" s="112">
        <v>-43.760000000036229</v>
      </c>
      <c r="T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5"/>
        <v>103.2</v>
      </c>
      <c r="E29" s="111">
        <f t="shared" si="5"/>
        <v>27.94</v>
      </c>
      <c r="F29" s="111">
        <f t="shared" ref="F29" si="14">ROUND(F28*(1+IRP23_Infl_Rate),2)</f>
        <v>4.5</v>
      </c>
      <c r="G29" s="112">
        <f t="shared" si="1"/>
        <v>52.856175441430231</v>
      </c>
      <c r="H29" s="111"/>
      <c r="I29" s="111">
        <v>-43.76</v>
      </c>
      <c r="J29" s="112">
        <f t="shared" si="6"/>
        <v>9.0961754414302334</v>
      </c>
      <c r="K29" s="112">
        <f t="shared" si="2"/>
        <v>23.34</v>
      </c>
      <c r="L29" s="111">
        <f t="shared" si="3"/>
        <v>135.64000000000001</v>
      </c>
      <c r="P29" s="129">
        <f t="shared" si="4"/>
        <v>1.6784309053718971E-6</v>
      </c>
      <c r="Q29" s="112">
        <v>-43.759998321569093</v>
      </c>
      <c r="T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5"/>
        <v>105.54</v>
      </c>
      <c r="E30" s="111">
        <f t="shared" si="5"/>
        <v>28.57</v>
      </c>
      <c r="F30" s="111">
        <f t="shared" ref="F30" si="15">ROUND(F29*(1+IRP23_Infl_Rate),2)</f>
        <v>4.5999999999999996</v>
      </c>
      <c r="G30" s="112">
        <f t="shared" si="1"/>
        <v>54.052492594225797</v>
      </c>
      <c r="H30" s="111"/>
      <c r="I30" s="111"/>
      <c r="J30" s="112">
        <f t="shared" si="6"/>
        <v>54.052492594225797</v>
      </c>
      <c r="K30" s="112">
        <f t="shared" si="2"/>
        <v>138.71</v>
      </c>
      <c r="L30" s="111">
        <f t="shared" si="3"/>
        <v>138.71</v>
      </c>
      <c r="P30" s="129">
        <f t="shared" si="4"/>
        <v>0</v>
      </c>
      <c r="Q30" s="112">
        <v>0</v>
      </c>
      <c r="T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5"/>
        <v>107.94</v>
      </c>
      <c r="E31" s="111">
        <f t="shared" si="5"/>
        <v>29.22</v>
      </c>
      <c r="F31" s="111">
        <f t="shared" ref="F31" si="16">ROUND(F30*(1+IRP23_Infl_Rate),2)</f>
        <v>4.7</v>
      </c>
      <c r="G31" s="112">
        <f t="shared" si="1"/>
        <v>55.279984135367819</v>
      </c>
      <c r="H31" s="111"/>
      <c r="I31" s="111"/>
      <c r="J31" s="112">
        <f t="shared" si="6"/>
        <v>55.279984135367819</v>
      </c>
      <c r="K31" s="112">
        <f t="shared" si="2"/>
        <v>141.86000000000001</v>
      </c>
      <c r="L31" s="111">
        <f t="shared" si="3"/>
        <v>141.85999999999999</v>
      </c>
      <c r="P31" s="129">
        <f t="shared" si="4"/>
        <v>0</v>
      </c>
      <c r="Q31" s="112">
        <v>0</v>
      </c>
      <c r="T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5"/>
        <v>110.39</v>
      </c>
      <c r="E32" s="111">
        <f t="shared" si="5"/>
        <v>29.88</v>
      </c>
      <c r="F32" s="111">
        <f t="shared" ref="F32" si="17">ROUND(F31*(1+IRP23_Infl_Rate),2)</f>
        <v>4.8099999999999996</v>
      </c>
      <c r="G32" s="112">
        <f t="shared" si="1"/>
        <v>56.534753266313018</v>
      </c>
      <c r="H32" s="111"/>
      <c r="I32" s="111"/>
      <c r="J32" s="112">
        <f t="shared" si="6"/>
        <v>56.534753266313018</v>
      </c>
      <c r="K32" s="112">
        <f t="shared" si="2"/>
        <v>145.08000000000001</v>
      </c>
      <c r="L32" s="111">
        <f t="shared" si="3"/>
        <v>145.08000000000001</v>
      </c>
      <c r="P32" s="129">
        <f t="shared" si="4"/>
        <v>0</v>
      </c>
      <c r="Q32" s="112">
        <v>0</v>
      </c>
      <c r="T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5"/>
        <v>112.9</v>
      </c>
      <c r="E33" s="111">
        <f t="shared" si="5"/>
        <v>30.56</v>
      </c>
      <c r="F33" s="111">
        <f t="shared" ref="F33" si="18">ROUND(F32*(1+IRP23_Infl_Rate),2)</f>
        <v>4.92</v>
      </c>
      <c r="G33" s="112">
        <f t="shared" si="1"/>
        <v>57.820696785604667</v>
      </c>
      <c r="H33" s="111"/>
      <c r="I33" s="111"/>
      <c r="J33" s="112">
        <f t="shared" si="6"/>
        <v>57.820696785604667</v>
      </c>
      <c r="K33" s="112">
        <f t="shared" si="2"/>
        <v>148.38</v>
      </c>
      <c r="L33" s="111">
        <f t="shared" si="3"/>
        <v>148.38</v>
      </c>
      <c r="P33" s="129">
        <f t="shared" si="4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5"/>
        <v>115.46</v>
      </c>
      <c r="E34" s="111">
        <f t="shared" si="5"/>
        <v>31.25</v>
      </c>
      <c r="F34" s="111">
        <f t="shared" ref="F34" si="19">ROUND(F33*(1+IRP23_Infl_Rate),2)</f>
        <v>5.03</v>
      </c>
      <c r="G34" s="112">
        <f t="shared" si="1"/>
        <v>59.130021096156156</v>
      </c>
      <c r="H34" s="111"/>
      <c r="I34" s="111"/>
      <c r="J34" s="112">
        <f t="shared" si="6"/>
        <v>59.130021096156156</v>
      </c>
      <c r="K34" s="112">
        <f t="shared" si="2"/>
        <v>151.74</v>
      </c>
      <c r="L34" s="111">
        <f t="shared" si="3"/>
        <v>151.73999999999998</v>
      </c>
      <c r="P34" s="129">
        <f t="shared" si="4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5"/>
        <v>118.08</v>
      </c>
      <c r="E35" s="111">
        <f t="shared" si="5"/>
        <v>31.96</v>
      </c>
      <c r="F35" s="111">
        <f t="shared" ref="F35" si="20">ROUND(F34*(1+IRP23_Infl_Rate),2)</f>
        <v>5.14</v>
      </c>
      <c r="G35" s="112">
        <f t="shared" si="1"/>
        <v>60.470519795054123</v>
      </c>
      <c r="H35" s="111"/>
      <c r="I35" s="111"/>
      <c r="J35" s="112">
        <f t="shared" si="6"/>
        <v>60.470519795054123</v>
      </c>
      <c r="K35" s="112">
        <f t="shared" si="2"/>
        <v>155.18</v>
      </c>
      <c r="L35" s="111">
        <f t="shared" si="3"/>
        <v>155.17999999999998</v>
      </c>
      <c r="P35" s="129">
        <f t="shared" si="4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ref="D36:F37" si="21">ROUND(D35*(1+IRP23_Infl_Rate),2)</f>
        <v>120.76</v>
      </c>
      <c r="E36" s="111">
        <f t="shared" si="21"/>
        <v>32.69</v>
      </c>
      <c r="F36" s="111">
        <f t="shared" si="21"/>
        <v>5.26</v>
      </c>
      <c r="G36" s="112">
        <f t="shared" si="1"/>
        <v>61.846089680841864</v>
      </c>
      <c r="H36" s="111"/>
      <c r="I36" s="111"/>
      <c r="J36" s="112">
        <f t="shared" si="6"/>
        <v>61.846089680841864</v>
      </c>
      <c r="K36" s="112">
        <f t="shared" si="2"/>
        <v>158.71</v>
      </c>
      <c r="L36" s="111">
        <f t="shared" si="3"/>
        <v>158.70999999999998</v>
      </c>
      <c r="P36" s="129">
        <f t="shared" si="4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21"/>
        <v>123.5</v>
      </c>
      <c r="E37" s="111">
        <f t="shared" si="21"/>
        <v>33.43</v>
      </c>
      <c r="F37" s="111">
        <f t="shared" si="21"/>
        <v>5.38</v>
      </c>
      <c r="G37" s="112">
        <f t="shared" si="1"/>
        <v>63.248937156432767</v>
      </c>
      <c r="H37" s="111"/>
      <c r="I37" s="111"/>
      <c r="J37" s="112">
        <f t="shared" si="6"/>
        <v>63.248937156432767</v>
      </c>
      <c r="K37" s="112">
        <f t="shared" si="2"/>
        <v>162.31</v>
      </c>
      <c r="L37" s="111">
        <f t="shared" si="3"/>
        <v>162.31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-PMT(Discount_Rate,COUNT(J20:J37),NPV(Discount_Rate,J20:J37))</f>
        <v>22.718516627438934</v>
      </c>
      <c r="K39" s="287">
        <f>-PMT(Discount_Rate,COUNT(K20:K37),NPV(Discount_Rate,K20:K37))</f>
        <v>58.301131670230397</v>
      </c>
      <c r="L39" s="287">
        <f>-PMT(Discount_Rate,COUNT(L20:L37),NPV(Discount_Rate,L20:L37))</f>
        <v>129.86405911271081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29.3%)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PVS.PX.COR._.TC8.PV - 29%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2026</v>
      </c>
      <c r="T54" s="273" t="s">
        <v>287</v>
      </c>
    </row>
    <row r="55" spans="2:20">
      <c r="B55" t="s">
        <v>152</v>
      </c>
      <c r="C55" s="267"/>
      <c r="D55" s="102" t="s">
        <v>65</v>
      </c>
      <c r="P55" s="226">
        <v>200</v>
      </c>
      <c r="Q55" s="102" t="s">
        <v>32</v>
      </c>
      <c r="T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  <c r="S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2026$</v>
      </c>
      <c r="C60" s="223">
        <f>INDEX('Table 3 TransCost'!$39:$39,1,MATCH(F60,'Table 3 TransCost'!$4:$4,0)+2)</f>
        <v>3.6692136182872273</v>
      </c>
      <c r="D60" s="102" t="s">
        <v>137</v>
      </c>
      <c r="F60" s="102" t="s">
        <v>357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0.29294624772838473</v>
      </c>
      <c r="D63" s="102" t="s">
        <v>37</v>
      </c>
    </row>
    <row r="64" spans="2:20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DEA7-A20D-4A1B-BB3F-B2E52C45A6DC}">
  <sheetPr>
    <tabColor rgb="FFFFC000"/>
    <pageSetUpPr fitToPage="1"/>
  </sheetPr>
  <dimension ref="B1:AC91"/>
  <sheetViews>
    <sheetView topLeftCell="A40" zoomScale="70" zoomScaleNormal="70" workbookViewId="0">
      <selection activeCell="F63" sqref="F63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18.1640625" style="102" customWidth="1"/>
    <col min="20" max="20" width="9.33203125" style="102"/>
    <col min="21" max="21" width="22.33203125" style="102" customWidth="1"/>
    <col min="22" max="22" width="18.1640625" style="102" customWidth="1"/>
    <col min="23" max="23" width="9.6640625" style="102" bestFit="1" customWidth="1"/>
    <col min="24" max="27" width="9.33203125" style="102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PVS.PX.WMV._.223.PV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29%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S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S6" s="225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</row>
    <row r="8" spans="2:27" ht="6" customHeight="1"/>
    <row r="9" spans="2:27" ht="15.75">
      <c r="B9" s="39" t="str">
        <f>C52</f>
        <v>PVS.PX.WMV._.223.PV - 29%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  <c r="R13" s="102" t="s">
        <v>545</v>
      </c>
      <c r="S13" s="129"/>
      <c r="T13" s="102" t="s">
        <v>265</v>
      </c>
      <c r="U13" s="129"/>
      <c r="W13" s="129"/>
      <c r="X13" s="102" t="s">
        <v>247</v>
      </c>
      <c r="Z13" s="129"/>
      <c r="AA13" s="129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  <c r="R14" s="115" t="s">
        <v>232</v>
      </c>
      <c r="S14" s="129" t="s">
        <v>275</v>
      </c>
      <c r="T14" s="102" t="s">
        <v>238</v>
      </c>
      <c r="U14" s="129"/>
      <c r="X14" s="115" t="s">
        <v>232</v>
      </c>
      <c r="Z14" s="129"/>
      <c r="AA14" s="129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  <c r="R15" s="115"/>
      <c r="W15" s="129"/>
      <c r="Z15" s="129"/>
      <c r="AA15" s="129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1234.2252424717099</v>
      </c>
      <c r="S16" s="284">
        <f>T16-R16</f>
        <v>-17.45524247170988</v>
      </c>
      <c r="T16" s="113">
        <v>1216.77</v>
      </c>
      <c r="U16" s="113"/>
      <c r="X16" s="129">
        <v>21.158014243080867</v>
      </c>
      <c r="Z16" s="129"/>
      <c r="AA16" s="129"/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113"/>
      <c r="T17" s="113">
        <f>T16*IRP_PTC_ESC!$Q3</f>
        <v>1636.190619</v>
      </c>
      <c r="U17" s="113"/>
      <c r="V17" s="129"/>
      <c r="X17" s="277">
        <f>X16*(1+IRP23_Infl_Rate)</f>
        <v>21.638301166494205</v>
      </c>
      <c r="Z17" s="129"/>
      <c r="AA17" s="129"/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113"/>
      <c r="T18" s="113">
        <f>T17*IRP_PTC_ESC!$Q4</f>
        <v>1636.190619</v>
      </c>
      <c r="U18" s="113"/>
      <c r="V18" s="129"/>
      <c r="X18" s="277">
        <f>X17*(1+IRP23_Infl_Rate)</f>
        <v>22.12949060307119</v>
      </c>
      <c r="Z18" s="129"/>
      <c r="AA18" s="129"/>
      <c r="AB18" s="253"/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113"/>
      <c r="T19" s="113">
        <f>T18*IRP_PTC_ESC!$Q5</f>
        <v>1636.190619</v>
      </c>
      <c r="U19" s="284"/>
      <c r="W19" s="129"/>
      <c r="X19" s="277">
        <f>X18*(1+IRP23_Infl_Rate)</f>
        <v>22.631830039860688</v>
      </c>
      <c r="Y19" s="129"/>
      <c r="Z19" s="129"/>
      <c r="AA19" s="129"/>
    </row>
    <row r="20" spans="2:29">
      <c r="B20" s="109">
        <f t="shared" si="0"/>
        <v>2026</v>
      </c>
      <c r="C20" s="274">
        <f>IRP_LTReport!R42</f>
        <v>1636.1905932390719</v>
      </c>
      <c r="D20" s="111">
        <f>C20*$C$62</f>
        <v>82.72579639416746</v>
      </c>
      <c r="E20" s="281">
        <f>IRP_LTReport!L42</f>
        <v>22.830503330227891</v>
      </c>
      <c r="F20" s="165">
        <f>$C$60</f>
        <v>1.9843209786774196</v>
      </c>
      <c r="G20" s="112">
        <f t="shared" ref="G20:G37" si="1">(D20+E20+F20)/(8.76*$C$63)</f>
        <v>41.906413410217624</v>
      </c>
      <c r="H20" s="111"/>
      <c r="I20" s="111">
        <v>-37.130000000000003</v>
      </c>
      <c r="J20" s="112">
        <f>(G20+H20+I20)</f>
        <v>4.7764134102176214</v>
      </c>
      <c r="K20" s="112">
        <f t="shared" ref="K20:K37" si="2">ROUND(J20*$C$63*8.76,2)</f>
        <v>12.26</v>
      </c>
      <c r="L20" s="111">
        <f t="shared" ref="L20:L37" si="3">(D20+E20+F20)</f>
        <v>107.54062070307278</v>
      </c>
      <c r="P20" s="129">
        <f t="shared" ref="P20:P36" si="4">Q20-I20</f>
        <v>-1.0681011701763055E-6</v>
      </c>
      <c r="Q20" s="112">
        <v>-37.130001068101173</v>
      </c>
      <c r="S20" s="129"/>
      <c r="T20" s="113">
        <f>T19*IRP_PTC_ESC!$Q6</f>
        <v>1636.190619</v>
      </c>
      <c r="U20" s="284">
        <f>T20-C20</f>
        <v>2.5760928110685199E-5</v>
      </c>
      <c r="V20" s="129"/>
      <c r="W20" s="129"/>
      <c r="X20" s="277">
        <f>X19*(1+IRP23_Infl_Rate)</f>
        <v>23.145572581867572</v>
      </c>
      <c r="Y20" s="129">
        <f>X20-E20</f>
        <v>0.31506925163968091</v>
      </c>
      <c r="Z20" s="129"/>
      <c r="AA20" s="129"/>
    </row>
    <row r="21" spans="2:29">
      <c r="B21" s="109">
        <f t="shared" si="0"/>
        <v>2027</v>
      </c>
      <c r="C21" s="113"/>
      <c r="D21" s="111">
        <f t="shared" ref="D21:F36" si="5">ROUND(D20*(1+IRP23_Infl_Rate),2)</f>
        <v>84.6</v>
      </c>
      <c r="E21" s="111">
        <f t="shared" si="5"/>
        <v>23.35</v>
      </c>
      <c r="F21" s="111">
        <f t="shared" si="5"/>
        <v>2.0299999999999998</v>
      </c>
      <c r="G21" s="112">
        <f t="shared" si="1"/>
        <v>42.856990379301799</v>
      </c>
      <c r="H21" s="111"/>
      <c r="I21" s="111">
        <v>-38.450000000000003</v>
      </c>
      <c r="J21" s="112">
        <f t="shared" ref="J21:J37" si="6">(G21+H21+I21)</f>
        <v>4.4069903793017957</v>
      </c>
      <c r="K21" s="112">
        <f t="shared" si="2"/>
        <v>11.31</v>
      </c>
      <c r="L21" s="111">
        <f t="shared" si="3"/>
        <v>109.97999999999999</v>
      </c>
      <c r="P21" s="129">
        <f t="shared" si="4"/>
        <v>1.524824710941175E-11</v>
      </c>
      <c r="Q21" s="112">
        <v>-38.449999999984755</v>
      </c>
      <c r="S21" s="129"/>
      <c r="V21" s="129"/>
      <c r="W21" s="129"/>
      <c r="Y21" s="129"/>
      <c r="Z21" s="129"/>
      <c r="AA21" s="129"/>
    </row>
    <row r="22" spans="2:29">
      <c r="B22" s="109">
        <f t="shared" si="0"/>
        <v>2028</v>
      </c>
      <c r="C22" s="113"/>
      <c r="D22" s="111">
        <f t="shared" si="5"/>
        <v>86.52</v>
      </c>
      <c r="E22" s="111">
        <f t="shared" si="5"/>
        <v>23.88</v>
      </c>
      <c r="F22" s="111">
        <f t="shared" ref="F22" si="7">ROUND(F21*(1+IRP23_Infl_Rate),2)</f>
        <v>2.08</v>
      </c>
      <c r="G22" s="112">
        <f t="shared" si="1"/>
        <v>43.831190015128804</v>
      </c>
      <c r="H22" s="111"/>
      <c r="I22" s="111">
        <v>-38.450000000000003</v>
      </c>
      <c r="J22" s="112">
        <f t="shared" si="6"/>
        <v>5.3811900151288015</v>
      </c>
      <c r="K22" s="112">
        <f t="shared" si="2"/>
        <v>13.81</v>
      </c>
      <c r="L22" s="111">
        <f t="shared" si="3"/>
        <v>112.47999999999999</v>
      </c>
      <c r="P22" s="129">
        <f t="shared" si="4"/>
        <v>-7.6292446493653188E-7</v>
      </c>
      <c r="Q22" s="112">
        <v>-38.450000762924468</v>
      </c>
      <c r="S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5"/>
        <v>88.48</v>
      </c>
      <c r="E23" s="111">
        <f t="shared" si="5"/>
        <v>24.42</v>
      </c>
      <c r="F23" s="111">
        <f t="shared" ref="F23" si="8">ROUND(F22*(1+IRP23_Infl_Rate),2)</f>
        <v>2.13</v>
      </c>
      <c r="G23" s="112">
        <f t="shared" si="1"/>
        <v>44.824873643672362</v>
      </c>
      <c r="H23" s="111"/>
      <c r="I23" s="111">
        <v>-39.78</v>
      </c>
      <c r="J23" s="112">
        <f t="shared" si="6"/>
        <v>5.0448736436723607</v>
      </c>
      <c r="K23" s="112">
        <f t="shared" si="2"/>
        <v>12.95</v>
      </c>
      <c r="L23" s="111">
        <f t="shared" si="3"/>
        <v>115.03</v>
      </c>
      <c r="P23" s="129">
        <f t="shared" si="4"/>
        <v>1.5653256468795007E-11</v>
      </c>
      <c r="Q23" s="112">
        <v>-39.779999999984348</v>
      </c>
      <c r="S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5"/>
        <v>90.49</v>
      </c>
      <c r="E24" s="111">
        <f t="shared" si="5"/>
        <v>24.97</v>
      </c>
      <c r="F24" s="111">
        <f t="shared" ref="F24" si="9">ROUND(F23*(1+IRP23_Infl_Rate),2)</f>
        <v>2.1800000000000002</v>
      </c>
      <c r="G24" s="112">
        <f t="shared" si="1"/>
        <v>45.841938063475759</v>
      </c>
      <c r="H24" s="111"/>
      <c r="I24" s="111">
        <v>-39.78</v>
      </c>
      <c r="J24" s="112">
        <f t="shared" si="6"/>
        <v>6.0619380634757576</v>
      </c>
      <c r="K24" s="112">
        <f t="shared" si="2"/>
        <v>15.56</v>
      </c>
      <c r="L24" s="111">
        <f t="shared" si="3"/>
        <v>117.64</v>
      </c>
      <c r="P24" s="129">
        <f t="shared" si="4"/>
        <v>1.2207187438662004E-6</v>
      </c>
      <c r="Q24" s="112">
        <v>-39.779998779281257</v>
      </c>
      <c r="S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5"/>
        <v>92.54</v>
      </c>
      <c r="E25" s="111">
        <f t="shared" si="5"/>
        <v>25.54</v>
      </c>
      <c r="F25" s="111">
        <f t="shared" ref="F25" si="10">ROUND(F24*(1+IRP23_Infl_Rate),2)</f>
        <v>2.23</v>
      </c>
      <c r="G25" s="112">
        <f t="shared" si="1"/>
        <v>46.882383274539009</v>
      </c>
      <c r="H25" s="111"/>
      <c r="I25" s="111">
        <v>-41.11</v>
      </c>
      <c r="J25" s="112">
        <f t="shared" si="6"/>
        <v>5.7723832745390098</v>
      </c>
      <c r="K25" s="112">
        <f t="shared" si="2"/>
        <v>14.81</v>
      </c>
      <c r="L25" s="111">
        <f t="shared" si="3"/>
        <v>120.31000000000002</v>
      </c>
      <c r="P25" s="129">
        <f t="shared" si="4"/>
        <v>1.617195266589988E-11</v>
      </c>
      <c r="Q25" s="112">
        <v>-41.109999999983827</v>
      </c>
      <c r="S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5"/>
        <v>94.64</v>
      </c>
      <c r="E26" s="111">
        <f t="shared" si="5"/>
        <v>26.12</v>
      </c>
      <c r="F26" s="111">
        <f t="shared" ref="F26" si="11">ROUND(F25*(1+IRP23_Infl_Rate),2)</f>
        <v>2.2799999999999998</v>
      </c>
      <c r="G26" s="112">
        <f t="shared" si="1"/>
        <v>47.946209276862099</v>
      </c>
      <c r="H26" s="111"/>
      <c r="I26" s="111">
        <v>-41.11</v>
      </c>
      <c r="J26" s="112">
        <f t="shared" si="6"/>
        <v>6.8362092768620997</v>
      </c>
      <c r="K26" s="112">
        <f t="shared" si="2"/>
        <v>17.54</v>
      </c>
      <c r="L26" s="111">
        <f t="shared" si="3"/>
        <v>123.04</v>
      </c>
      <c r="P26" s="129">
        <f t="shared" si="4"/>
        <v>-6.1033478715444289E-7</v>
      </c>
      <c r="Q26" s="112">
        <v>-41.110000610334787</v>
      </c>
      <c r="S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5"/>
        <v>96.79</v>
      </c>
      <c r="E27" s="111">
        <f t="shared" si="5"/>
        <v>26.71</v>
      </c>
      <c r="F27" s="111">
        <f t="shared" ref="F27" si="12">ROUND(F26*(1+IRP23_Infl_Rate),2)</f>
        <v>2.33</v>
      </c>
      <c r="G27" s="112">
        <f t="shared" si="1"/>
        <v>49.033416070445043</v>
      </c>
      <c r="H27" s="111"/>
      <c r="I27" s="111">
        <v>-42.43</v>
      </c>
      <c r="J27" s="112">
        <f t="shared" si="6"/>
        <v>6.6034160704450429</v>
      </c>
      <c r="K27" s="112">
        <f t="shared" si="2"/>
        <v>16.95</v>
      </c>
      <c r="L27" s="111">
        <f t="shared" si="3"/>
        <v>125.83</v>
      </c>
      <c r="P27" s="129">
        <f t="shared" si="4"/>
        <v>-3.0515925431018331E-7</v>
      </c>
      <c r="Q27" s="112">
        <v>-42.430000305159254</v>
      </c>
      <c r="S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5"/>
        <v>98.99</v>
      </c>
      <c r="E28" s="111">
        <f t="shared" si="5"/>
        <v>27.32</v>
      </c>
      <c r="F28" s="111">
        <f t="shared" ref="F28" si="13">ROUND(F27*(1+IRP23_Infl_Rate),2)</f>
        <v>2.38</v>
      </c>
      <c r="G28" s="112">
        <f t="shared" si="1"/>
        <v>50.147900453831141</v>
      </c>
      <c r="H28" s="111"/>
      <c r="I28" s="111">
        <v>-43.76</v>
      </c>
      <c r="J28" s="112">
        <f t="shared" si="6"/>
        <v>6.3879004538311435</v>
      </c>
      <c r="K28" s="112">
        <f t="shared" si="2"/>
        <v>16.39</v>
      </c>
      <c r="L28" s="111">
        <f t="shared" si="3"/>
        <v>128.69</v>
      </c>
      <c r="P28" s="129">
        <f t="shared" si="4"/>
        <v>1.7202239632752025E-11</v>
      </c>
      <c r="Q28" s="112">
        <v>-43.759999999982796</v>
      </c>
      <c r="S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5"/>
        <v>101.24</v>
      </c>
      <c r="E29" s="111">
        <f t="shared" si="5"/>
        <v>27.94</v>
      </c>
      <c r="F29" s="111">
        <f t="shared" ref="F29" si="14">ROUND(F28*(1+IRP23_Infl_Rate),2)</f>
        <v>2.4300000000000002</v>
      </c>
      <c r="G29" s="112">
        <f t="shared" si="1"/>
        <v>51.285765628477094</v>
      </c>
      <c r="H29" s="111"/>
      <c r="I29" s="111">
        <v>-43.76</v>
      </c>
      <c r="J29" s="112">
        <f t="shared" si="6"/>
        <v>7.525765628477096</v>
      </c>
      <c r="K29" s="112">
        <f t="shared" si="2"/>
        <v>19.309999999999999</v>
      </c>
      <c r="L29" s="111">
        <f t="shared" si="3"/>
        <v>131.61000000000001</v>
      </c>
      <c r="P29" s="129">
        <f t="shared" si="4"/>
        <v>1.6784840681793867E-6</v>
      </c>
      <c r="Q29" s="112">
        <v>-43.75999832151593</v>
      </c>
      <c r="S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5"/>
        <v>103.54</v>
      </c>
      <c r="E30" s="111">
        <f t="shared" si="5"/>
        <v>28.57</v>
      </c>
      <c r="F30" s="111">
        <f t="shared" ref="F30" si="15">ROUND(F29*(1+IRP23_Infl_Rate),2)</f>
        <v>2.4900000000000002</v>
      </c>
      <c r="G30" s="112">
        <f t="shared" si="1"/>
        <v>52.450908392926202</v>
      </c>
      <c r="H30" s="111"/>
      <c r="I30" s="111"/>
      <c r="J30" s="112">
        <f t="shared" si="6"/>
        <v>52.450908392926202</v>
      </c>
      <c r="K30" s="112">
        <f t="shared" si="2"/>
        <v>134.6</v>
      </c>
      <c r="L30" s="111">
        <f t="shared" si="3"/>
        <v>134.60000000000002</v>
      </c>
      <c r="P30" s="129">
        <f t="shared" si="4"/>
        <v>0</v>
      </c>
      <c r="Q30" s="112">
        <v>0</v>
      </c>
      <c r="S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5"/>
        <v>105.89</v>
      </c>
      <c r="E31" s="111">
        <f t="shared" si="5"/>
        <v>29.22</v>
      </c>
      <c r="F31" s="111">
        <f t="shared" ref="F31" si="16">ROUND(F30*(1+IRP23_Infl_Rate),2)</f>
        <v>2.5499999999999998</v>
      </c>
      <c r="G31" s="112">
        <f t="shared" si="1"/>
        <v>53.643328747178458</v>
      </c>
      <c r="H31" s="111"/>
      <c r="I31" s="111"/>
      <c r="J31" s="112">
        <f t="shared" si="6"/>
        <v>53.643328747178458</v>
      </c>
      <c r="K31" s="112">
        <f t="shared" si="2"/>
        <v>137.66</v>
      </c>
      <c r="L31" s="111">
        <f t="shared" si="3"/>
        <v>137.66000000000003</v>
      </c>
      <c r="P31" s="129">
        <f t="shared" si="4"/>
        <v>0</v>
      </c>
      <c r="Q31" s="112">
        <v>0</v>
      </c>
      <c r="S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5"/>
        <v>108.29</v>
      </c>
      <c r="E32" s="111">
        <f t="shared" si="5"/>
        <v>29.88</v>
      </c>
      <c r="F32" s="111">
        <f t="shared" ref="F32" si="17">ROUND(F31*(1+IRP23_Infl_Rate),2)</f>
        <v>2.61</v>
      </c>
      <c r="G32" s="112">
        <f t="shared" si="1"/>
        <v>54.859129892690568</v>
      </c>
      <c r="H32" s="111"/>
      <c r="I32" s="111"/>
      <c r="J32" s="112">
        <f t="shared" si="6"/>
        <v>54.859129892690568</v>
      </c>
      <c r="K32" s="112">
        <f t="shared" si="2"/>
        <v>140.78</v>
      </c>
      <c r="L32" s="111">
        <f t="shared" si="3"/>
        <v>140.78000000000003</v>
      </c>
      <c r="P32" s="129">
        <f t="shared" si="4"/>
        <v>0</v>
      </c>
      <c r="Q32" s="112">
        <v>0</v>
      </c>
      <c r="S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5"/>
        <v>110.75</v>
      </c>
      <c r="E33" s="111">
        <f t="shared" si="5"/>
        <v>30.56</v>
      </c>
      <c r="F33" s="111">
        <f t="shared" ref="F33" si="18">ROUND(F32*(1+IRP23_Infl_Rate),2)</f>
        <v>2.67</v>
      </c>
      <c r="G33" s="112">
        <f t="shared" si="1"/>
        <v>56.106105426549128</v>
      </c>
      <c r="H33" s="111"/>
      <c r="I33" s="111"/>
      <c r="J33" s="112">
        <f t="shared" si="6"/>
        <v>56.106105426549128</v>
      </c>
      <c r="K33" s="112">
        <f t="shared" si="2"/>
        <v>143.97999999999999</v>
      </c>
      <c r="L33" s="111">
        <f t="shared" si="3"/>
        <v>143.97999999999999</v>
      </c>
      <c r="P33" s="129">
        <f t="shared" si="4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5"/>
        <v>113.26</v>
      </c>
      <c r="E34" s="111">
        <f t="shared" si="5"/>
        <v>31.25</v>
      </c>
      <c r="F34" s="111">
        <f t="shared" ref="F34" si="19">ROUND(F33*(1+IRP23_Infl_Rate),2)</f>
        <v>2.73</v>
      </c>
      <c r="G34" s="112">
        <f t="shared" si="1"/>
        <v>57.376461751667541</v>
      </c>
      <c r="H34" s="111"/>
      <c r="I34" s="111"/>
      <c r="J34" s="112">
        <f t="shared" si="6"/>
        <v>57.376461751667541</v>
      </c>
      <c r="K34" s="112">
        <f t="shared" si="2"/>
        <v>147.24</v>
      </c>
      <c r="L34" s="111">
        <f t="shared" si="3"/>
        <v>147.23999999999998</v>
      </c>
      <c r="P34" s="129">
        <f t="shared" si="4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5"/>
        <v>115.83</v>
      </c>
      <c r="E35" s="111">
        <f t="shared" si="5"/>
        <v>31.96</v>
      </c>
      <c r="F35" s="111">
        <f t="shared" ref="F35" si="20">ROUND(F34*(1+IRP23_Infl_Rate),2)</f>
        <v>2.79</v>
      </c>
      <c r="G35" s="112">
        <f t="shared" si="1"/>
        <v>58.677992465132427</v>
      </c>
      <c r="H35" s="111"/>
      <c r="I35" s="111"/>
      <c r="J35" s="112">
        <f t="shared" si="6"/>
        <v>58.677992465132427</v>
      </c>
      <c r="K35" s="112">
        <f t="shared" si="2"/>
        <v>150.58000000000001</v>
      </c>
      <c r="L35" s="111">
        <f t="shared" si="3"/>
        <v>150.57999999999998</v>
      </c>
      <c r="P35" s="129">
        <f t="shared" si="4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si="5"/>
        <v>118.46</v>
      </c>
      <c r="E36" s="111">
        <f t="shared" si="5"/>
        <v>32.69</v>
      </c>
      <c r="F36" s="111">
        <f t="shared" ref="F36" si="21">ROUND(F35*(1+IRP23_Infl_Rate),2)</f>
        <v>2.85</v>
      </c>
      <c r="G36" s="112">
        <f t="shared" si="1"/>
        <v>60.010697566943776</v>
      </c>
      <c r="H36" s="111"/>
      <c r="I36" s="111"/>
      <c r="J36" s="112">
        <f t="shared" si="6"/>
        <v>60.010697566943776</v>
      </c>
      <c r="K36" s="112">
        <f t="shared" si="2"/>
        <v>154</v>
      </c>
      <c r="L36" s="111">
        <f t="shared" si="3"/>
        <v>153.99999999999997</v>
      </c>
      <c r="P36" s="129">
        <f t="shared" si="4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ref="D37:F37" si="22">ROUND(D36*(1+IRP23_Infl_Rate),2)</f>
        <v>121.15</v>
      </c>
      <c r="E37" s="111">
        <f t="shared" si="22"/>
        <v>33.43</v>
      </c>
      <c r="F37" s="111">
        <f t="shared" si="22"/>
        <v>2.91</v>
      </c>
      <c r="G37" s="112">
        <f t="shared" si="1"/>
        <v>61.370680258558295</v>
      </c>
      <c r="H37" s="111"/>
      <c r="I37" s="111"/>
      <c r="J37" s="112">
        <f t="shared" si="6"/>
        <v>61.370680258558295</v>
      </c>
      <c r="K37" s="112">
        <f t="shared" si="2"/>
        <v>157.49</v>
      </c>
      <c r="L37" s="111">
        <f t="shared" si="3"/>
        <v>157.49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-PMT(Discount_Rate,COUNT(J20:J37),NPV(Discount_Rate,J20:J37))</f>
        <v>21.217127326538744</v>
      </c>
      <c r="K39" s="287">
        <f>-PMT(Discount_Rate,COUNT(K20:K37),NPV(Discount_Rate,K20:K37))</f>
        <v>54.448074215661393</v>
      </c>
      <c r="L39" s="287">
        <f>-PMT(Discount_Rate,COUNT(L20:L37),NPV(Discount_Rate,L20:L37))</f>
        <v>126.01118018090526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29.3%)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PVS.PX.WMV._.223.PV - 29%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2026</v>
      </c>
      <c r="S54" s="273"/>
      <c r="T54" s="273" t="s">
        <v>295</v>
      </c>
    </row>
    <row r="55" spans="2:20">
      <c r="B55" t="s">
        <v>152</v>
      </c>
      <c r="C55" s="267"/>
      <c r="D55" s="102" t="s">
        <v>65</v>
      </c>
      <c r="P55" s="226">
        <v>474</v>
      </c>
      <c r="Q55" s="102" t="s">
        <v>32</v>
      </c>
      <c r="S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2026$</v>
      </c>
      <c r="C60" s="223">
        <f>INDEX('Table 3 TransCost'!$39:$39,1,MATCH(F60,'Table 3 TransCost'!$4:$4,0)+2)</f>
        <v>1.9843209786774196</v>
      </c>
      <c r="D60" s="102" t="s">
        <v>137</v>
      </c>
      <c r="F60" s="102" t="s">
        <v>366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0.29294624772838473</v>
      </c>
      <c r="D63" s="102" t="s">
        <v>37</v>
      </c>
    </row>
    <row r="64" spans="2:20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19" t="s">
        <v>121</v>
      </c>
      <c r="C1" s="419"/>
      <c r="D1" s="419"/>
      <c r="E1" s="419"/>
      <c r="F1" s="419"/>
      <c r="G1" s="419"/>
      <c r="H1" s="419"/>
      <c r="I1" s="419"/>
      <c r="J1" s="419"/>
      <c r="K1" s="419"/>
      <c r="M1" s="36"/>
    </row>
    <row r="2" spans="1:14">
      <c r="B2" s="136"/>
      <c r="C2" s="136"/>
      <c r="D2" s="136"/>
      <c r="E2" s="136"/>
      <c r="F2" s="136"/>
      <c r="G2" s="136"/>
      <c r="H2" s="136"/>
      <c r="I2" s="136"/>
      <c r="J2" s="136"/>
      <c r="K2" s="136"/>
      <c r="M2" s="136"/>
    </row>
    <row r="3" spans="1:14">
      <c r="A3" s="245" t="s">
        <v>98</v>
      </c>
      <c r="B3" s="92">
        <v>2024</v>
      </c>
      <c r="C3" s="92">
        <v>2030</v>
      </c>
      <c r="D3" s="92">
        <v>2024</v>
      </c>
      <c r="E3" s="92">
        <v>2024</v>
      </c>
      <c r="F3" s="92">
        <v>2024</v>
      </c>
      <c r="G3" s="92">
        <v>2024</v>
      </c>
      <c r="H3" s="92">
        <v>2029</v>
      </c>
      <c r="I3" s="92">
        <v>2024</v>
      </c>
      <c r="J3" s="92">
        <v>2030</v>
      </c>
      <c r="K3" s="92">
        <v>2026</v>
      </c>
      <c r="L3" s="92">
        <v>2029</v>
      </c>
      <c r="M3" s="92">
        <v>2032</v>
      </c>
    </row>
    <row r="4" spans="1:14" ht="51">
      <c r="B4" s="174" t="s">
        <v>120</v>
      </c>
      <c r="C4" s="174" t="s">
        <v>128</v>
      </c>
      <c r="D4" s="174" t="s">
        <v>127</v>
      </c>
      <c r="E4" s="174" t="s">
        <v>126</v>
      </c>
      <c r="F4" s="174" t="s">
        <v>124</v>
      </c>
      <c r="G4" s="174" t="s">
        <v>125</v>
      </c>
      <c r="H4" s="174" t="s">
        <v>125</v>
      </c>
      <c r="I4" s="174" t="s">
        <v>123</v>
      </c>
      <c r="J4" s="174" t="s">
        <v>123</v>
      </c>
      <c r="K4" s="174" t="s">
        <v>129</v>
      </c>
      <c r="L4" s="174" t="s">
        <v>132</v>
      </c>
      <c r="M4" s="174" t="s">
        <v>131</v>
      </c>
    </row>
    <row r="5" spans="1:14" hidden="1">
      <c r="A5" s="109">
        <v>2018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4" hidden="1">
      <c r="A6" s="109">
        <f>A5+1</f>
        <v>2019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1:14" hidden="1">
      <c r="A7" s="109">
        <f t="shared" ref="A7:A46" si="0">A6+1</f>
        <v>2020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4" hidden="1">
      <c r="A8" s="109">
        <f t="shared" si="0"/>
        <v>2021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4" hidden="1">
      <c r="A9" s="109">
        <f t="shared" si="0"/>
        <v>2022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</row>
    <row r="10" spans="1:14" hidden="1">
      <c r="A10" s="109">
        <f t="shared" si="0"/>
        <v>2023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4">
      <c r="A11" s="109">
        <f t="shared" si="0"/>
        <v>2024</v>
      </c>
      <c r="B11" s="112" t="e">
        <f>INDEX(#REF!,MATCH($A11,#REF!,0),1)</f>
        <v>#REF!</v>
      </c>
      <c r="C11" s="112"/>
      <c r="D11" s="112" t="e">
        <f>INDEX(#REF!,MATCH($A11,#REF!,0),1)</f>
        <v>#REF!</v>
      </c>
      <c r="E11" s="112" t="e">
        <f>INDEX(#REF!,MATCH($A11,#REF!,0),1)</f>
        <v>#REF!</v>
      </c>
      <c r="F11" s="112" t="e">
        <f>INDEX(#REF!,MATCH($A11,#REF!,0),1)</f>
        <v>#REF!</v>
      </c>
      <c r="G11" s="112" t="e">
        <f>INDEX(#REF!,MATCH($A11,#REF!,0),1)</f>
        <v>#REF!</v>
      </c>
      <c r="H11" s="112"/>
      <c r="I11" s="112">
        <v>0</v>
      </c>
      <c r="J11" s="112"/>
      <c r="K11" s="112"/>
      <c r="L11" s="112"/>
      <c r="M11" s="112"/>
    </row>
    <row r="12" spans="1:14">
      <c r="A12" s="109">
        <f t="shared" si="0"/>
        <v>2025</v>
      </c>
      <c r="B12" s="112" t="e">
        <f>INDEX(#REF!,MATCH($A12,#REF!,0),1)</f>
        <v>#REF!</v>
      </c>
      <c r="C12" s="112"/>
      <c r="D12" s="112" t="e">
        <f>INDEX(#REF!,MATCH($A12,#REF!,0),1)</f>
        <v>#REF!</v>
      </c>
      <c r="E12" s="112" t="e">
        <f>INDEX(#REF!,MATCH($A12,#REF!,0),1)</f>
        <v>#REF!</v>
      </c>
      <c r="F12" s="112" t="e">
        <f>INDEX(#REF!,MATCH($A12,#REF!,0),1)</f>
        <v>#REF!</v>
      </c>
      <c r="G12" s="112" t="e">
        <f>INDEX(#REF!,MATCH($A12,#REF!,0),1)</f>
        <v>#REF!</v>
      </c>
      <c r="H12" s="112"/>
      <c r="I12" s="112">
        <v>20.629528781593223</v>
      </c>
      <c r="J12" s="112"/>
      <c r="K12" s="112"/>
      <c r="L12" s="112"/>
      <c r="M12" s="112"/>
    </row>
    <row r="13" spans="1:14">
      <c r="A13" s="109">
        <f t="shared" si="0"/>
        <v>2026</v>
      </c>
      <c r="B13" s="112" t="e">
        <f>INDEX(#REF!,MATCH($A13,#REF!,0),1)</f>
        <v>#REF!</v>
      </c>
      <c r="C13" s="112"/>
      <c r="D13" s="112" t="e">
        <f>INDEX(#REF!,MATCH($A13,#REF!,0),1)</f>
        <v>#REF!</v>
      </c>
      <c r="E13" s="112" t="e">
        <f>INDEX(#REF!,MATCH($A13,#REF!,0),1)</f>
        <v>#REF!</v>
      </c>
      <c r="F13" s="112" t="e">
        <f>INDEX(#REF!,MATCH($A13,#REF!,0),1)</f>
        <v>#REF!</v>
      </c>
      <c r="G13" s="112" t="e">
        <f>INDEX(#REF!,MATCH($A13,#REF!,0),1)</f>
        <v>#REF!</v>
      </c>
      <c r="H13" s="112"/>
      <c r="I13" s="112">
        <v>20.81007264189757</v>
      </c>
      <c r="J13" s="112"/>
      <c r="K13" s="112" t="e">
        <f>INDEX(#REF!,MATCH($A13,#REF!,0),1)</f>
        <v>#REF!</v>
      </c>
      <c r="L13" s="112"/>
      <c r="M13" s="112"/>
      <c r="N13" t="s">
        <v>130</v>
      </c>
    </row>
    <row r="14" spans="1:14">
      <c r="A14" s="109">
        <f t="shared" si="0"/>
        <v>2027</v>
      </c>
      <c r="B14" s="112" t="e">
        <f>INDEX(#REF!,MATCH($A14,#REF!,0),1)</f>
        <v>#REF!</v>
      </c>
      <c r="C14" s="112"/>
      <c r="D14" s="112" t="e">
        <f>INDEX(#REF!,MATCH($A14,#REF!,0),1)</f>
        <v>#REF!</v>
      </c>
      <c r="E14" s="112" t="e">
        <f>INDEX(#REF!,MATCH($A14,#REF!,0),1)</f>
        <v>#REF!</v>
      </c>
      <c r="F14" s="112" t="e">
        <f>INDEX(#REF!,MATCH($A14,#REF!,0),1)</f>
        <v>#REF!</v>
      </c>
      <c r="G14" s="112" t="e">
        <f>INDEX(#REF!,MATCH($A14,#REF!,0),1)</f>
        <v>#REF!</v>
      </c>
      <c r="H14" s="112"/>
      <c r="I14" s="112">
        <v>20.997696653586424</v>
      </c>
      <c r="J14" s="112"/>
      <c r="K14" s="112" t="e">
        <f>INDEX(#REF!,MATCH($A14,#REF!,0),1)</f>
        <v>#REF!</v>
      </c>
      <c r="L14" s="112"/>
      <c r="M14" s="112"/>
      <c r="N14" s="228">
        <v>2.2750000000000006E-2</v>
      </c>
    </row>
    <row r="15" spans="1:14">
      <c r="A15" s="109">
        <f t="shared" si="0"/>
        <v>2028</v>
      </c>
      <c r="B15" s="112" t="e">
        <f>INDEX(#REF!,MATCH($A15,#REF!,0),1)</f>
        <v>#REF!</v>
      </c>
      <c r="C15" s="112"/>
      <c r="D15" s="112" t="e">
        <f>INDEX(#REF!,MATCH($A15,#REF!,0),1)</f>
        <v>#REF!</v>
      </c>
      <c r="E15" s="112" t="e">
        <f>INDEX(#REF!,MATCH($A15,#REF!,0),1)</f>
        <v>#REF!</v>
      </c>
      <c r="F15" s="112" t="e">
        <f>INDEX(#REF!,MATCH($A15,#REF!,0),1)</f>
        <v>#REF!</v>
      </c>
      <c r="G15" s="112" t="e">
        <f>INDEX(#REF!,MATCH($A15,#REF!,0),1)</f>
        <v>#REF!</v>
      </c>
      <c r="H15" s="112"/>
      <c r="I15" s="112">
        <v>21.188860740967499</v>
      </c>
      <c r="J15" s="112"/>
      <c r="K15" s="112" t="e">
        <f>INDEX(#REF!,MATCH($A15,#REF!,0),1)</f>
        <v>#REF!</v>
      </c>
      <c r="L15" s="112"/>
      <c r="M15" s="112"/>
    </row>
    <row r="16" spans="1:14">
      <c r="A16" s="109">
        <f t="shared" si="0"/>
        <v>2029</v>
      </c>
      <c r="B16" s="112" t="e">
        <f>INDEX(#REF!,MATCH($A16,#REF!,0),1)</f>
        <v>#REF!</v>
      </c>
      <c r="C16" s="112"/>
      <c r="D16" s="112" t="e">
        <f>INDEX(#REF!,MATCH($A16,#REF!,0),1)</f>
        <v>#REF!</v>
      </c>
      <c r="E16" s="112" t="e">
        <f>INDEX(#REF!,MATCH($A16,#REF!,0),1)</f>
        <v>#REF!</v>
      </c>
      <c r="F16" s="112" t="e">
        <f>INDEX(#REF!,MATCH($A16,#REF!,0),1)</f>
        <v>#REF!</v>
      </c>
      <c r="G16" s="112" t="e">
        <f>INDEX(#REF!,MATCH($A16,#REF!,0),1)</f>
        <v>#REF!</v>
      </c>
      <c r="H16" s="112" t="e">
        <f>INDEX(#REF!,MATCH($A16,#REF!,0),1)</f>
        <v>#REF!</v>
      </c>
      <c r="I16" s="112">
        <v>21.383564904040817</v>
      </c>
      <c r="J16" s="112"/>
      <c r="K16" s="112" t="e">
        <f>INDEX(#REF!,MATCH($A16,#REF!,0),1)</f>
        <v>#REF!</v>
      </c>
      <c r="L16" s="112" t="e">
        <f>INDEX(#REF!,MATCH($A16,#REF!,0),1)</f>
        <v>#REF!</v>
      </c>
      <c r="M16" s="112"/>
    </row>
    <row r="17" spans="1:13">
      <c r="A17" s="109">
        <f t="shared" si="0"/>
        <v>2030</v>
      </c>
      <c r="B17" s="112" t="e">
        <f>INDEX(#REF!,MATCH($A17,#REF!,0),1)</f>
        <v>#REF!</v>
      </c>
      <c r="C17" s="112" t="e">
        <f>IF($A17&lt;C$3,0,INDEX(#REF!,MATCH($A17,#REF!,0),1))</f>
        <v>#REF!</v>
      </c>
      <c r="D17" s="112" t="e">
        <f>INDEX(#REF!,MATCH($A17,#REF!,0),1)</f>
        <v>#REF!</v>
      </c>
      <c r="E17" s="112" t="e">
        <f>INDEX(#REF!,MATCH($A17,#REF!,0),1)</f>
        <v>#REF!</v>
      </c>
      <c r="F17" s="112" t="e">
        <f>INDEX(#REF!,MATCH($A17,#REF!,0),1)</f>
        <v>#REF!</v>
      </c>
      <c r="G17" s="112" t="e">
        <f>INDEX(#REF!,MATCH($A17,#REF!,0),1)</f>
        <v>#REF!</v>
      </c>
      <c r="H17" s="112" t="e">
        <f>INDEX(#REF!,MATCH($A17,#REF!,0),1)</f>
        <v>#REF!</v>
      </c>
      <c r="I17" s="112">
        <v>21.581809142806385</v>
      </c>
      <c r="J17" s="112" t="e">
        <f>INDEX(#REF!,MATCH($A17,#REF!,0),1)</f>
        <v>#REF!</v>
      </c>
      <c r="K17" s="112" t="e">
        <f>INDEX(#REF!,MATCH($A17,#REF!,0),1)</f>
        <v>#REF!</v>
      </c>
      <c r="L17" s="112" t="e">
        <f>INDEX(#REF!,MATCH($A17,#REF!,0),1)</f>
        <v>#REF!</v>
      </c>
      <c r="M17" s="112"/>
    </row>
    <row r="18" spans="1:13">
      <c r="A18" s="109">
        <f t="shared" si="0"/>
        <v>2031</v>
      </c>
      <c r="B18" s="112" t="e">
        <f>INDEX(#REF!,MATCH($A18,#REF!,0),1)</f>
        <v>#REF!</v>
      </c>
      <c r="C18" s="112" t="e">
        <f>IF($A18&lt;C$3,0,INDEX(#REF!,MATCH($A18,#REF!,0),1))</f>
        <v>#REF!</v>
      </c>
      <c r="D18" s="112" t="e">
        <f>INDEX(#REF!,MATCH($A18,#REF!,0),1)</f>
        <v>#REF!</v>
      </c>
      <c r="E18" s="112" t="e">
        <f>INDEX(#REF!,MATCH($A18,#REF!,0),1)</f>
        <v>#REF!</v>
      </c>
      <c r="F18" s="112" t="e">
        <f>INDEX(#REF!,MATCH($A18,#REF!,0),1)</f>
        <v>#REF!</v>
      </c>
      <c r="G18" s="112" t="e">
        <f>INDEX(#REF!,MATCH($A18,#REF!,0),1)</f>
        <v>#REF!</v>
      </c>
      <c r="H18" s="112" t="e">
        <f>INDEX(#REF!,MATCH($A18,#REF!,0),1)</f>
        <v>#REF!</v>
      </c>
      <c r="I18" s="112">
        <v>21.783593457264189</v>
      </c>
      <c r="J18" s="112" t="e">
        <f>INDEX(#REF!,MATCH($A18,#REF!,0),1)</f>
        <v>#REF!</v>
      </c>
      <c r="K18" s="112" t="e">
        <f>INDEX(#REF!,MATCH($A18,#REF!,0),1)</f>
        <v>#REF!</v>
      </c>
      <c r="L18" s="112" t="e">
        <f>INDEX(#REF!,MATCH($A18,#REF!,0),1)</f>
        <v>#REF!</v>
      </c>
      <c r="M18" s="112"/>
    </row>
    <row r="19" spans="1:13">
      <c r="A19" s="109">
        <f t="shared" si="0"/>
        <v>2032</v>
      </c>
      <c r="B19" s="112" t="e">
        <f>INDEX(#REF!,MATCH($A19,#REF!,0),1)</f>
        <v>#REF!</v>
      </c>
      <c r="C19" s="112" t="e">
        <f>IF($A19&lt;C$3,0,INDEX(#REF!,MATCH($A19,#REF!,0),1))</f>
        <v>#REF!</v>
      </c>
      <c r="D19" s="112" t="e">
        <f>INDEX(#REF!,MATCH($A19,#REF!,0),1)</f>
        <v>#REF!</v>
      </c>
      <c r="E19" s="112" t="e">
        <f>INDEX(#REF!,MATCH($A19,#REF!,0),1)</f>
        <v>#REF!</v>
      </c>
      <c r="F19" s="112" t="e">
        <f>INDEX(#REF!,MATCH($A19,#REF!,0),1)</f>
        <v>#REF!</v>
      </c>
      <c r="G19" s="112" t="e">
        <f>INDEX(#REF!,MATCH($A19,#REF!,0),1)</f>
        <v>#REF!</v>
      </c>
      <c r="H19" s="112" t="e">
        <f>INDEX(#REF!,MATCH($A19,#REF!,0),1)</f>
        <v>#REF!</v>
      </c>
      <c r="I19" s="112">
        <v>21.992457923106485</v>
      </c>
      <c r="J19" s="112" t="e">
        <f>INDEX(#REF!,MATCH($A19,#REF!,0),1)</f>
        <v>#REF!</v>
      </c>
      <c r="K19" s="112" t="e">
        <f>INDEX(#REF!,MATCH($A19,#REF!,0),1)</f>
        <v>#REF!</v>
      </c>
      <c r="L19" s="112" t="e">
        <f>INDEX(#REF!,MATCH($A19,#REF!,0),1)</f>
        <v>#REF!</v>
      </c>
      <c r="M19" s="112" t="e">
        <f>INDEX(#REF!,MATCH($A19,#REF!,0),1)</f>
        <v>#REF!</v>
      </c>
    </row>
    <row r="20" spans="1:13">
      <c r="A20" s="109">
        <f t="shared" si="0"/>
        <v>2033</v>
      </c>
      <c r="B20" s="112" t="e">
        <f>INDEX(#REF!,MATCH($A20,#REF!,0),1)</f>
        <v>#REF!</v>
      </c>
      <c r="C20" s="112" t="e">
        <f>IF($A20&lt;C$3,0,INDEX(#REF!,MATCH($A20,#REF!,0),1))</f>
        <v>#REF!</v>
      </c>
      <c r="D20" s="112" t="e">
        <f>INDEX(#REF!,MATCH($A20,#REF!,0),1)</f>
        <v>#REF!</v>
      </c>
      <c r="E20" s="112" t="e">
        <f>INDEX(#REF!,MATCH($A20,#REF!,0),1)</f>
        <v>#REF!</v>
      </c>
      <c r="F20" s="112" t="e">
        <f>INDEX(#REF!,MATCH($A20,#REF!,0),1)</f>
        <v>#REF!</v>
      </c>
      <c r="G20" s="112" t="e">
        <f>INDEX(#REF!,MATCH($A20,#REF!,0),1)</f>
        <v>#REF!</v>
      </c>
      <c r="H20" s="112" t="e">
        <f>INDEX(#REF!,MATCH($A20,#REF!,0),1)</f>
        <v>#REF!</v>
      </c>
      <c r="I20" s="112">
        <v>22.204862464641018</v>
      </c>
      <c r="J20" s="112" t="e">
        <f>INDEX(#REF!,MATCH($A20,#REF!,0),1)</f>
        <v>#REF!</v>
      </c>
      <c r="K20" s="112" t="e">
        <f>INDEX(#REF!,MATCH($A20,#REF!,0),1)</f>
        <v>#REF!</v>
      </c>
      <c r="L20" s="112" t="e">
        <f>INDEX(#REF!,MATCH($A20,#REF!,0),1)</f>
        <v>#REF!</v>
      </c>
      <c r="M20" s="112" t="e">
        <f>INDEX(#REF!,MATCH($A20,#REF!,0),1)</f>
        <v>#REF!</v>
      </c>
    </row>
    <row r="21" spans="1:13">
      <c r="A21" s="109">
        <f t="shared" si="0"/>
        <v>2034</v>
      </c>
      <c r="B21" s="112" t="e">
        <f>INDEX(#REF!,MATCH($A21,#REF!,0),1)</f>
        <v>#REF!</v>
      </c>
      <c r="C21" s="112" t="e">
        <f>IF($A21&lt;C$3,0,INDEX(#REF!,MATCH($A21,#REF!,0),1))</f>
        <v>#REF!</v>
      </c>
      <c r="D21" s="112" t="e">
        <f>INDEX(#REF!,MATCH($A21,#REF!,0),1)</f>
        <v>#REF!</v>
      </c>
      <c r="E21" s="112" t="e">
        <f>INDEX(#REF!,MATCH($A21,#REF!,0),1)</f>
        <v>#REF!</v>
      </c>
      <c r="F21" s="112" t="e">
        <f>INDEX(#REF!,MATCH($A21,#REF!,0),1)</f>
        <v>#REF!</v>
      </c>
      <c r="G21" s="112" t="e">
        <f>INDEX(#REF!,MATCH($A21,#REF!,0),1)</f>
        <v>#REF!</v>
      </c>
      <c r="H21" s="112" t="e">
        <f>INDEX(#REF!,MATCH($A21,#REF!,0),1)</f>
        <v>#REF!</v>
      </c>
      <c r="I21" s="112">
        <v>22.4208070818678</v>
      </c>
      <c r="J21" s="112" t="e">
        <f>INDEX(#REF!,MATCH($A21,#REF!,0),1)</f>
        <v>#REF!</v>
      </c>
      <c r="K21" s="112" t="e">
        <f>INDEX(#REF!,MATCH($A21,#REF!,0),1)</f>
        <v>#REF!</v>
      </c>
      <c r="L21" s="112" t="e">
        <f>INDEX(#REF!,MATCH($A21,#REF!,0),1)</f>
        <v>#REF!</v>
      </c>
      <c r="M21" s="112" t="e">
        <f>INDEX(#REF!,MATCH($A21,#REF!,0),1)</f>
        <v>#REF!</v>
      </c>
    </row>
    <row r="22" spans="1:13">
      <c r="A22" s="109">
        <f t="shared" si="0"/>
        <v>2035</v>
      </c>
      <c r="B22" s="112" t="e">
        <f>INDEX(#REF!,MATCH($A22,#REF!,0),1)</f>
        <v>#REF!</v>
      </c>
      <c r="C22" s="112" t="e">
        <f>IF($A22&lt;C$3,0,INDEX(#REF!,MATCH($A22,#REF!,0),1))</f>
        <v>#REF!</v>
      </c>
      <c r="D22" s="112" t="e">
        <f>INDEX(#REF!,MATCH($A22,#REF!,0),1)</f>
        <v>#REF!</v>
      </c>
      <c r="E22" s="112" t="e">
        <f>INDEX(#REF!,MATCH($A22,#REF!,0),1)</f>
        <v>#REF!</v>
      </c>
      <c r="F22" s="112" t="e">
        <f>INDEX(#REF!,MATCH($A22,#REF!,0),1)</f>
        <v>#REF!</v>
      </c>
      <c r="G22" s="112" t="e">
        <f>INDEX(#REF!,MATCH($A22,#REF!,0),1)</f>
        <v>#REF!</v>
      </c>
      <c r="H22" s="112" t="e">
        <f>INDEX(#REF!,MATCH($A22,#REF!,0),1)</f>
        <v>#REF!</v>
      </c>
      <c r="I22" s="112">
        <v>58.443831850479057</v>
      </c>
      <c r="J22" s="112" t="e">
        <f>INDEX(#REF!,MATCH($A22,#REF!,0),1)</f>
        <v>#REF!</v>
      </c>
      <c r="K22" s="112" t="e">
        <f>INDEX(#REF!,MATCH($A22,#REF!,0),1)</f>
        <v>#REF!</v>
      </c>
      <c r="L22" s="112" t="e">
        <f>INDEX(#REF!,MATCH($A22,#REF!,0),1)</f>
        <v>#REF!</v>
      </c>
      <c r="M22" s="112" t="e">
        <f>INDEX(#REF!,MATCH($A22,#REF!,0),1)</f>
        <v>#REF!</v>
      </c>
    </row>
    <row r="23" spans="1:13">
      <c r="A23" s="109">
        <f t="shared" si="0"/>
        <v>2036</v>
      </c>
      <c r="B23" s="112" t="e">
        <f>INDEX(#REF!,MATCH($A23,#REF!,0),1)</f>
        <v>#REF!</v>
      </c>
      <c r="C23" s="112" t="e">
        <f>IF($A23&lt;C$3,0,INDEX(#REF!,MATCH($A23,#REF!,0),1))</f>
        <v>#REF!</v>
      </c>
      <c r="D23" s="112" t="e">
        <f>INDEX(#REF!,MATCH($A23,#REF!,0),1)</f>
        <v>#REF!</v>
      </c>
      <c r="E23" s="112" t="e">
        <f>INDEX(#REF!,MATCH($A23,#REF!,0),1)</f>
        <v>#REF!</v>
      </c>
      <c r="F23" s="112" t="e">
        <f>INDEX(#REF!,MATCH($A23,#REF!,0),1)</f>
        <v>#REF!</v>
      </c>
      <c r="G23" s="112" t="e">
        <f>INDEX(#REF!,MATCH($A23,#REF!,0),1)</f>
        <v>#REF!</v>
      </c>
      <c r="H23" s="112" t="e">
        <f>INDEX(#REF!,MATCH($A23,#REF!,0),1)</f>
        <v>#REF!</v>
      </c>
      <c r="I23" s="112">
        <v>58.670396694782568</v>
      </c>
      <c r="J23" s="112" t="e">
        <f>INDEX(#REF!,MATCH($A23,#REF!,0),1)</f>
        <v>#REF!</v>
      </c>
      <c r="K23" s="112" t="e">
        <f>INDEX(#REF!,MATCH($A23,#REF!,0),1)</f>
        <v>#REF!</v>
      </c>
      <c r="L23" s="112" t="e">
        <f>INDEX(#REF!,MATCH($A23,#REF!,0),1)</f>
        <v>#REF!</v>
      </c>
      <c r="M23" s="112" t="e">
        <f>INDEX(#REF!,MATCH($A23,#REF!,0),1)</f>
        <v>#REF!</v>
      </c>
    </row>
    <row r="24" spans="1:13">
      <c r="A24" s="109">
        <f t="shared" si="0"/>
        <v>2037</v>
      </c>
      <c r="B24" s="112" t="e">
        <f>INDEX(#REF!,MATCH($A24,#REF!,0),1)</f>
        <v>#REF!</v>
      </c>
      <c r="C24" s="112" t="e">
        <f>IF($A24&lt;C$3,0,INDEX(#REF!,MATCH($A24,#REF!,0),1))</f>
        <v>#REF!</v>
      </c>
      <c r="D24" s="112" t="e">
        <f>INDEX(#REF!,MATCH($A24,#REF!,0),1)</f>
        <v>#REF!</v>
      </c>
      <c r="E24" s="112" t="e">
        <f>INDEX(#REF!,MATCH($A24,#REF!,0),1)</f>
        <v>#REF!</v>
      </c>
      <c r="F24" s="112" t="e">
        <f>INDEX(#REF!,MATCH($A24,#REF!,0),1)</f>
        <v>#REF!</v>
      </c>
      <c r="G24" s="112" t="e">
        <f>INDEX(#REF!,MATCH($A24,#REF!,0),1)</f>
        <v>#REF!</v>
      </c>
      <c r="H24" s="112" t="e">
        <f>INDEX(#REF!,MATCH($A24,#REF!,0),1)</f>
        <v>#REF!</v>
      </c>
      <c r="I24" s="112">
        <v>58.904041690470557</v>
      </c>
      <c r="J24" s="112" t="e">
        <f>INDEX(#REF!,MATCH($A24,#REF!,0),1)</f>
        <v>#REF!</v>
      </c>
      <c r="K24" s="112" t="e">
        <f>INDEX(#REF!,MATCH($A24,#REF!,0),1)</f>
        <v>#REF!</v>
      </c>
      <c r="L24" s="112" t="e">
        <f>INDEX(#REF!,MATCH($A24,#REF!,0),1)</f>
        <v>#REF!</v>
      </c>
      <c r="M24" s="112" t="e">
        <f>INDEX(#REF!,MATCH($A24,#REF!,0),1)</f>
        <v>#REF!</v>
      </c>
    </row>
    <row r="25" spans="1:13">
      <c r="A25" s="109">
        <f t="shared" si="0"/>
        <v>2038</v>
      </c>
      <c r="B25" s="112" t="e">
        <f>INDEX(#REF!,MATCH($A25,#REF!,0),1)</f>
        <v>#REF!</v>
      </c>
      <c r="C25" s="112" t="e">
        <f>IF($A25&lt;C$3,0,INDEX(#REF!,MATCH($A25,#REF!,0),1))</f>
        <v>#REF!</v>
      </c>
      <c r="D25" s="112" t="e">
        <f>INDEX(#REF!,MATCH($A25,#REF!,0),1)</f>
        <v>#REF!</v>
      </c>
      <c r="E25" s="112" t="e">
        <f>INDEX(#REF!,MATCH($A25,#REF!,0),1)</f>
        <v>#REF!</v>
      </c>
      <c r="F25" s="112" t="e">
        <f>INDEX(#REF!,MATCH($A25,#REF!,0),1)</f>
        <v>#REF!</v>
      </c>
      <c r="G25" s="112" t="e">
        <f>INDEX(#REF!,MATCH($A25,#REF!,0),1)</f>
        <v>#REF!</v>
      </c>
      <c r="H25" s="112" t="e">
        <f>INDEX(#REF!,MATCH($A25,#REF!,0),1)</f>
        <v>#REF!</v>
      </c>
      <c r="I25" s="112">
        <v>59.141226761850781</v>
      </c>
      <c r="J25" s="112" t="e">
        <f>INDEX(#REF!,MATCH($A25,#REF!,0),1)</f>
        <v>#REF!</v>
      </c>
      <c r="K25" s="112" t="e">
        <f>INDEX(#REF!,MATCH($A25,#REF!,0),1)</f>
        <v>#REF!</v>
      </c>
      <c r="L25" s="112" t="e">
        <f>INDEX(#REF!,MATCH($A25,#REF!,0),1)</f>
        <v>#REF!</v>
      </c>
      <c r="M25" s="112" t="e">
        <f>INDEX(#REF!,MATCH($A25,#REF!,0),1)</f>
        <v>#REF!</v>
      </c>
    </row>
    <row r="26" spans="1:13">
      <c r="A26" s="109">
        <f t="shared" si="0"/>
        <v>2039</v>
      </c>
      <c r="B26" s="242" t="e">
        <f>B25*(1+$N$14)</f>
        <v>#REF!</v>
      </c>
      <c r="C26" s="242" t="e">
        <f t="shared" ref="C26:C40" si="1">C25*(1+$N$14)</f>
        <v>#REF!</v>
      </c>
      <c r="D26" s="242" t="e">
        <f t="shared" ref="D26:D40" si="2">D25*(1+$N$14)</f>
        <v>#REF!</v>
      </c>
      <c r="E26" s="242" t="e">
        <f t="shared" ref="E26:E40" si="3">E25*(1+$N$14)</f>
        <v>#REF!</v>
      </c>
      <c r="F26" s="242" t="e">
        <f t="shared" ref="F26:F40" si="4">F25*(1+$N$14)</f>
        <v>#REF!</v>
      </c>
      <c r="G26" s="242" t="e">
        <f t="shared" ref="G26:G40" si="5">G25*(1+$N$14)</f>
        <v>#REF!</v>
      </c>
      <c r="H26" s="242" t="e">
        <f t="shared" ref="H26:H40" si="6">H25*(1+$N$14)</f>
        <v>#REF!</v>
      </c>
      <c r="I26" s="242">
        <f t="shared" ref="I26:I40" si="7">I25*(1+$N$14)</f>
        <v>60.486689670682892</v>
      </c>
      <c r="J26" s="242" t="e">
        <f t="shared" ref="J26:J40" si="8">J25*(1+$N$14)</f>
        <v>#REF!</v>
      </c>
      <c r="K26" s="242" t="e">
        <f t="shared" ref="K26:K40" si="9">K25*(1+$N$14)</f>
        <v>#REF!</v>
      </c>
      <c r="L26" s="242" t="e">
        <f t="shared" ref="L26:L40" si="10">L25*(1+$N$14)</f>
        <v>#REF!</v>
      </c>
      <c r="M26" s="242" t="e">
        <f t="shared" ref="M26:M46" si="11">M25*(1+$N$14)</f>
        <v>#REF!</v>
      </c>
    </row>
    <row r="27" spans="1:13">
      <c r="A27" s="109">
        <f t="shared" si="0"/>
        <v>2040</v>
      </c>
      <c r="B27" s="242" t="e">
        <f t="shared" ref="B27:B40" si="12">B26*(1+$N$14)</f>
        <v>#REF!</v>
      </c>
      <c r="C27" s="242" t="e">
        <f t="shared" si="1"/>
        <v>#REF!</v>
      </c>
      <c r="D27" s="242" t="e">
        <f t="shared" si="2"/>
        <v>#REF!</v>
      </c>
      <c r="E27" s="242" t="e">
        <f t="shared" si="3"/>
        <v>#REF!</v>
      </c>
      <c r="F27" s="242" t="e">
        <f t="shared" si="4"/>
        <v>#REF!</v>
      </c>
      <c r="G27" s="242" t="e">
        <f t="shared" si="5"/>
        <v>#REF!</v>
      </c>
      <c r="H27" s="242" t="e">
        <f t="shared" si="6"/>
        <v>#REF!</v>
      </c>
      <c r="I27" s="242">
        <f t="shared" si="7"/>
        <v>61.862761860690931</v>
      </c>
      <c r="J27" s="242" t="e">
        <f t="shared" si="8"/>
        <v>#REF!</v>
      </c>
      <c r="K27" s="242" t="e">
        <f t="shared" si="9"/>
        <v>#REF!</v>
      </c>
      <c r="L27" s="242" t="e">
        <f t="shared" si="10"/>
        <v>#REF!</v>
      </c>
      <c r="M27" s="242" t="e">
        <f t="shared" si="11"/>
        <v>#REF!</v>
      </c>
    </row>
    <row r="28" spans="1:13">
      <c r="A28" s="109">
        <f t="shared" si="0"/>
        <v>2041</v>
      </c>
      <c r="B28" s="242" t="e">
        <f t="shared" si="12"/>
        <v>#REF!</v>
      </c>
      <c r="C28" s="242" t="e">
        <f t="shared" si="1"/>
        <v>#REF!</v>
      </c>
      <c r="D28" s="242" t="e">
        <f t="shared" si="2"/>
        <v>#REF!</v>
      </c>
      <c r="E28" s="242" t="e">
        <f t="shared" si="3"/>
        <v>#REF!</v>
      </c>
      <c r="F28" s="242" t="e">
        <f t="shared" si="4"/>
        <v>#REF!</v>
      </c>
      <c r="G28" s="242" t="e">
        <f t="shared" si="5"/>
        <v>#REF!</v>
      </c>
      <c r="H28" s="242" t="e">
        <f t="shared" si="6"/>
        <v>#REF!</v>
      </c>
      <c r="I28" s="242">
        <f t="shared" si="7"/>
        <v>63.270139693021655</v>
      </c>
      <c r="J28" s="242" t="e">
        <f t="shared" si="8"/>
        <v>#REF!</v>
      </c>
      <c r="K28" s="242" t="e">
        <f t="shared" si="9"/>
        <v>#REF!</v>
      </c>
      <c r="L28" s="242" t="e">
        <f t="shared" si="10"/>
        <v>#REF!</v>
      </c>
      <c r="M28" s="242" t="e">
        <f t="shared" si="11"/>
        <v>#REF!</v>
      </c>
    </row>
    <row r="29" spans="1:13">
      <c r="A29" s="109">
        <f t="shared" si="0"/>
        <v>2042</v>
      </c>
      <c r="B29" s="242" t="e">
        <f t="shared" si="12"/>
        <v>#REF!</v>
      </c>
      <c r="C29" s="242" t="e">
        <f t="shared" si="1"/>
        <v>#REF!</v>
      </c>
      <c r="D29" s="242" t="e">
        <f t="shared" si="2"/>
        <v>#REF!</v>
      </c>
      <c r="E29" s="242" t="e">
        <f t="shared" si="3"/>
        <v>#REF!</v>
      </c>
      <c r="F29" s="242" t="e">
        <f t="shared" si="4"/>
        <v>#REF!</v>
      </c>
      <c r="G29" s="242" t="e">
        <f t="shared" si="5"/>
        <v>#REF!</v>
      </c>
      <c r="H29" s="242" t="e">
        <f t="shared" si="6"/>
        <v>#REF!</v>
      </c>
      <c r="I29" s="242">
        <f t="shared" si="7"/>
        <v>64.709535371037902</v>
      </c>
      <c r="J29" s="242" t="e">
        <f t="shared" si="8"/>
        <v>#REF!</v>
      </c>
      <c r="K29" s="242" t="e">
        <f t="shared" si="9"/>
        <v>#REF!</v>
      </c>
      <c r="L29" s="242" t="e">
        <f t="shared" si="10"/>
        <v>#REF!</v>
      </c>
      <c r="M29" s="242" t="e">
        <f t="shared" si="11"/>
        <v>#REF!</v>
      </c>
    </row>
    <row r="30" spans="1:13">
      <c r="A30" s="109">
        <f t="shared" si="0"/>
        <v>2043</v>
      </c>
      <c r="B30" s="242" t="e">
        <f t="shared" si="12"/>
        <v>#REF!</v>
      </c>
      <c r="C30" s="242" t="e">
        <f t="shared" si="1"/>
        <v>#REF!</v>
      </c>
      <c r="D30" s="242" t="e">
        <f t="shared" si="2"/>
        <v>#REF!</v>
      </c>
      <c r="E30" s="242" t="e">
        <f t="shared" si="3"/>
        <v>#REF!</v>
      </c>
      <c r="F30" s="242" t="e">
        <f t="shared" si="4"/>
        <v>#REF!</v>
      </c>
      <c r="G30" s="242" t="e">
        <f t="shared" si="5"/>
        <v>#REF!</v>
      </c>
      <c r="H30" s="242" t="e">
        <f t="shared" si="6"/>
        <v>#REF!</v>
      </c>
      <c r="I30" s="242">
        <f t="shared" si="7"/>
        <v>66.181677300729021</v>
      </c>
      <c r="J30" s="242" t="e">
        <f t="shared" si="8"/>
        <v>#REF!</v>
      </c>
      <c r="K30" s="242" t="e">
        <f t="shared" si="9"/>
        <v>#REF!</v>
      </c>
      <c r="L30" s="242" t="e">
        <f t="shared" si="10"/>
        <v>#REF!</v>
      </c>
      <c r="M30" s="242" t="e">
        <f t="shared" si="11"/>
        <v>#REF!</v>
      </c>
    </row>
    <row r="31" spans="1:13">
      <c r="A31" s="109">
        <f t="shared" si="0"/>
        <v>2044</v>
      </c>
      <c r="B31" s="242" t="e">
        <f t="shared" si="12"/>
        <v>#REF!</v>
      </c>
      <c r="C31" s="242" t="e">
        <f t="shared" si="1"/>
        <v>#REF!</v>
      </c>
      <c r="D31" s="242" t="e">
        <f t="shared" si="2"/>
        <v>#REF!</v>
      </c>
      <c r="E31" s="242" t="e">
        <f t="shared" si="3"/>
        <v>#REF!</v>
      </c>
      <c r="F31" s="242" t="e">
        <f t="shared" si="4"/>
        <v>#REF!</v>
      </c>
      <c r="G31" s="242" t="e">
        <f t="shared" si="5"/>
        <v>#REF!</v>
      </c>
      <c r="H31" s="242" t="e">
        <f t="shared" si="6"/>
        <v>#REF!</v>
      </c>
      <c r="I31" s="242">
        <f t="shared" si="7"/>
        <v>67.687310459320614</v>
      </c>
      <c r="J31" s="242" t="e">
        <f t="shared" si="8"/>
        <v>#REF!</v>
      </c>
      <c r="K31" s="242" t="e">
        <f t="shared" si="9"/>
        <v>#REF!</v>
      </c>
      <c r="L31" s="242" t="e">
        <f t="shared" si="10"/>
        <v>#REF!</v>
      </c>
      <c r="M31" s="242" t="e">
        <f t="shared" si="11"/>
        <v>#REF!</v>
      </c>
    </row>
    <row r="32" spans="1:13">
      <c r="A32" s="109">
        <f t="shared" si="0"/>
        <v>2045</v>
      </c>
      <c r="B32" s="242" t="e">
        <f t="shared" si="12"/>
        <v>#REF!</v>
      </c>
      <c r="C32" s="242" t="e">
        <f t="shared" si="1"/>
        <v>#REF!</v>
      </c>
      <c r="D32" s="242" t="e">
        <f t="shared" si="2"/>
        <v>#REF!</v>
      </c>
      <c r="E32" s="242" t="e">
        <f t="shared" si="3"/>
        <v>#REF!</v>
      </c>
      <c r="F32" s="242" t="e">
        <f t="shared" si="4"/>
        <v>#REF!</v>
      </c>
      <c r="G32" s="242" t="e">
        <f t="shared" si="5"/>
        <v>#REF!</v>
      </c>
      <c r="H32" s="242" t="e">
        <f t="shared" si="6"/>
        <v>#REF!</v>
      </c>
      <c r="I32" s="242">
        <f t="shared" si="7"/>
        <v>69.227196772270162</v>
      </c>
      <c r="J32" s="242" t="e">
        <f t="shared" si="8"/>
        <v>#REF!</v>
      </c>
      <c r="K32" s="242" t="e">
        <f t="shared" si="9"/>
        <v>#REF!</v>
      </c>
      <c r="L32" s="242" t="e">
        <f t="shared" si="10"/>
        <v>#REF!</v>
      </c>
      <c r="M32" s="242" t="e">
        <f t="shared" si="11"/>
        <v>#REF!</v>
      </c>
    </row>
    <row r="33" spans="1:13">
      <c r="A33" s="109">
        <f t="shared" si="0"/>
        <v>2046</v>
      </c>
      <c r="B33" s="242" t="e">
        <f t="shared" si="12"/>
        <v>#REF!</v>
      </c>
      <c r="C33" s="242" t="e">
        <f t="shared" si="1"/>
        <v>#REF!</v>
      </c>
      <c r="D33" s="242" t="e">
        <f t="shared" si="2"/>
        <v>#REF!</v>
      </c>
      <c r="E33" s="242" t="e">
        <f t="shared" si="3"/>
        <v>#REF!</v>
      </c>
      <c r="F33" s="242" t="e">
        <f t="shared" si="4"/>
        <v>#REF!</v>
      </c>
      <c r="G33" s="242" t="e">
        <f t="shared" si="5"/>
        <v>#REF!</v>
      </c>
      <c r="H33" s="242" t="e">
        <f t="shared" si="6"/>
        <v>#REF!</v>
      </c>
      <c r="I33" s="242">
        <f t="shared" si="7"/>
        <v>70.802115498839314</v>
      </c>
      <c r="J33" s="242" t="e">
        <f t="shared" si="8"/>
        <v>#REF!</v>
      </c>
      <c r="K33" s="242" t="e">
        <f t="shared" si="9"/>
        <v>#REF!</v>
      </c>
      <c r="L33" s="242" t="e">
        <f t="shared" si="10"/>
        <v>#REF!</v>
      </c>
      <c r="M33" s="242" t="e">
        <f t="shared" si="11"/>
        <v>#REF!</v>
      </c>
    </row>
    <row r="34" spans="1:13">
      <c r="A34" s="109">
        <f t="shared" si="0"/>
        <v>2047</v>
      </c>
      <c r="B34" s="242" t="e">
        <f t="shared" si="12"/>
        <v>#REF!</v>
      </c>
      <c r="C34" s="242" t="e">
        <f t="shared" si="1"/>
        <v>#REF!</v>
      </c>
      <c r="D34" s="242" t="e">
        <f t="shared" si="2"/>
        <v>#REF!</v>
      </c>
      <c r="E34" s="242" t="e">
        <f t="shared" si="3"/>
        <v>#REF!</v>
      </c>
      <c r="F34" s="242" t="e">
        <f t="shared" si="4"/>
        <v>#REF!</v>
      </c>
      <c r="G34" s="242" t="e">
        <f t="shared" si="5"/>
        <v>#REF!</v>
      </c>
      <c r="H34" s="242" t="e">
        <f t="shared" si="6"/>
        <v>#REF!</v>
      </c>
      <c r="I34" s="242">
        <f t="shared" si="7"/>
        <v>72.412863626437911</v>
      </c>
      <c r="J34" s="242" t="e">
        <f t="shared" si="8"/>
        <v>#REF!</v>
      </c>
      <c r="K34" s="242" t="e">
        <f t="shared" si="9"/>
        <v>#REF!</v>
      </c>
      <c r="L34" s="242" t="e">
        <f t="shared" si="10"/>
        <v>#REF!</v>
      </c>
      <c r="M34" s="242" t="e">
        <f t="shared" si="11"/>
        <v>#REF!</v>
      </c>
    </row>
    <row r="35" spans="1:13">
      <c r="A35" s="109">
        <f t="shared" si="0"/>
        <v>2048</v>
      </c>
      <c r="B35" s="242" t="e">
        <f t="shared" si="12"/>
        <v>#REF!</v>
      </c>
      <c r="C35" s="242" t="e">
        <f t="shared" si="1"/>
        <v>#REF!</v>
      </c>
      <c r="D35" s="242" t="e">
        <f t="shared" si="2"/>
        <v>#REF!</v>
      </c>
      <c r="E35" s="242" t="e">
        <f t="shared" si="3"/>
        <v>#REF!</v>
      </c>
      <c r="F35" s="242" t="e">
        <f t="shared" si="4"/>
        <v>#REF!</v>
      </c>
      <c r="G35" s="242" t="e">
        <f t="shared" si="5"/>
        <v>#REF!</v>
      </c>
      <c r="H35" s="242" t="e">
        <f t="shared" si="6"/>
        <v>#REF!</v>
      </c>
      <c r="I35" s="242">
        <f t="shared" si="7"/>
        <v>74.060256273939373</v>
      </c>
      <c r="J35" s="242" t="e">
        <f t="shared" si="8"/>
        <v>#REF!</v>
      </c>
      <c r="K35" s="242" t="e">
        <f t="shared" si="9"/>
        <v>#REF!</v>
      </c>
      <c r="L35" s="242" t="e">
        <f t="shared" si="10"/>
        <v>#REF!</v>
      </c>
      <c r="M35" s="242" t="e">
        <f t="shared" si="11"/>
        <v>#REF!</v>
      </c>
    </row>
    <row r="36" spans="1:13">
      <c r="A36" s="109">
        <f t="shared" si="0"/>
        <v>2049</v>
      </c>
      <c r="B36" s="242" t="e">
        <f t="shared" si="12"/>
        <v>#REF!</v>
      </c>
      <c r="C36" s="242" t="e">
        <f t="shared" si="1"/>
        <v>#REF!</v>
      </c>
      <c r="D36" s="242" t="e">
        <f t="shared" si="2"/>
        <v>#REF!</v>
      </c>
      <c r="E36" s="242" t="e">
        <f t="shared" si="3"/>
        <v>#REF!</v>
      </c>
      <c r="F36" s="242" t="e">
        <f t="shared" si="4"/>
        <v>#REF!</v>
      </c>
      <c r="G36" s="242" t="e">
        <f t="shared" si="5"/>
        <v>#REF!</v>
      </c>
      <c r="H36" s="242" t="e">
        <f t="shared" si="6"/>
        <v>#REF!</v>
      </c>
      <c r="I36" s="242">
        <f t="shared" si="7"/>
        <v>75.745127104171502</v>
      </c>
      <c r="J36" s="242" t="e">
        <f t="shared" si="8"/>
        <v>#REF!</v>
      </c>
      <c r="K36" s="242" t="e">
        <f t="shared" si="9"/>
        <v>#REF!</v>
      </c>
      <c r="L36" s="242" t="e">
        <f t="shared" si="10"/>
        <v>#REF!</v>
      </c>
      <c r="M36" s="242" t="e">
        <f t="shared" si="11"/>
        <v>#REF!</v>
      </c>
    </row>
    <row r="37" spans="1:13">
      <c r="A37" s="109">
        <f t="shared" si="0"/>
        <v>2050</v>
      </c>
      <c r="B37" s="242" t="e">
        <f t="shared" si="12"/>
        <v>#REF!</v>
      </c>
      <c r="C37" s="242" t="e">
        <f t="shared" si="1"/>
        <v>#REF!</v>
      </c>
      <c r="D37" s="242" t="e">
        <f t="shared" si="2"/>
        <v>#REF!</v>
      </c>
      <c r="E37" s="242" t="e">
        <f t="shared" si="3"/>
        <v>#REF!</v>
      </c>
      <c r="F37" s="242" t="e">
        <f t="shared" si="4"/>
        <v>#REF!</v>
      </c>
      <c r="G37" s="242" t="e">
        <f t="shared" si="5"/>
        <v>#REF!</v>
      </c>
      <c r="H37" s="242" t="e">
        <f t="shared" si="6"/>
        <v>#REF!</v>
      </c>
      <c r="I37" s="242">
        <f t="shared" si="7"/>
        <v>77.46832874579141</v>
      </c>
      <c r="J37" s="242" t="e">
        <f t="shared" si="8"/>
        <v>#REF!</v>
      </c>
      <c r="K37" s="242" t="e">
        <f t="shared" si="9"/>
        <v>#REF!</v>
      </c>
      <c r="L37" s="242" t="e">
        <f t="shared" si="10"/>
        <v>#REF!</v>
      </c>
      <c r="M37" s="242" t="e">
        <f t="shared" si="11"/>
        <v>#REF!</v>
      </c>
    </row>
    <row r="38" spans="1:13">
      <c r="A38" s="109">
        <f t="shared" si="0"/>
        <v>2051</v>
      </c>
      <c r="B38" s="242" t="e">
        <f t="shared" si="12"/>
        <v>#REF!</v>
      </c>
      <c r="C38" s="242" t="e">
        <f t="shared" si="1"/>
        <v>#REF!</v>
      </c>
      <c r="D38" s="242" t="e">
        <f t="shared" si="2"/>
        <v>#REF!</v>
      </c>
      <c r="E38" s="242" t="e">
        <f t="shared" si="3"/>
        <v>#REF!</v>
      </c>
      <c r="F38" s="242" t="e">
        <f t="shared" si="4"/>
        <v>#REF!</v>
      </c>
      <c r="G38" s="242" t="e">
        <f t="shared" si="5"/>
        <v>#REF!</v>
      </c>
      <c r="H38" s="242" t="e">
        <f t="shared" si="6"/>
        <v>#REF!</v>
      </c>
      <c r="I38" s="242">
        <f t="shared" si="7"/>
        <v>79.230733224758168</v>
      </c>
      <c r="J38" s="242" t="e">
        <f t="shared" si="8"/>
        <v>#REF!</v>
      </c>
      <c r="K38" s="242" t="e">
        <f t="shared" si="9"/>
        <v>#REF!</v>
      </c>
      <c r="L38" s="242" t="e">
        <f t="shared" si="10"/>
        <v>#REF!</v>
      </c>
      <c r="M38" s="242" t="e">
        <f t="shared" si="11"/>
        <v>#REF!</v>
      </c>
    </row>
    <row r="39" spans="1:13">
      <c r="A39" s="109">
        <f t="shared" si="0"/>
        <v>2052</v>
      </c>
      <c r="B39" s="242" t="e">
        <f t="shared" si="12"/>
        <v>#REF!</v>
      </c>
      <c r="C39" s="242" t="e">
        <f t="shared" si="1"/>
        <v>#REF!</v>
      </c>
      <c r="D39" s="242" t="e">
        <f t="shared" si="2"/>
        <v>#REF!</v>
      </c>
      <c r="E39" s="242" t="e">
        <f t="shared" si="3"/>
        <v>#REF!</v>
      </c>
      <c r="F39" s="242" t="e">
        <f t="shared" si="4"/>
        <v>#REF!</v>
      </c>
      <c r="G39" s="242" t="e">
        <f t="shared" si="5"/>
        <v>#REF!</v>
      </c>
      <c r="H39" s="242" t="e">
        <f t="shared" si="6"/>
        <v>#REF!</v>
      </c>
      <c r="I39" s="242">
        <f t="shared" si="7"/>
        <v>81.033232405621419</v>
      </c>
      <c r="J39" s="242" t="e">
        <f t="shared" si="8"/>
        <v>#REF!</v>
      </c>
      <c r="K39" s="242" t="e">
        <f t="shared" si="9"/>
        <v>#REF!</v>
      </c>
      <c r="L39" s="242" t="e">
        <f t="shared" si="10"/>
        <v>#REF!</v>
      </c>
      <c r="M39" s="242" t="e">
        <f t="shared" si="11"/>
        <v>#REF!</v>
      </c>
    </row>
    <row r="40" spans="1:13">
      <c r="A40" s="109">
        <f t="shared" si="0"/>
        <v>2053</v>
      </c>
      <c r="B40" s="242" t="e">
        <f t="shared" si="12"/>
        <v>#REF!</v>
      </c>
      <c r="C40" s="242" t="e">
        <f t="shared" si="1"/>
        <v>#REF!</v>
      </c>
      <c r="D40" s="242" t="e">
        <f t="shared" si="2"/>
        <v>#REF!</v>
      </c>
      <c r="E40" s="242" t="e">
        <f t="shared" si="3"/>
        <v>#REF!</v>
      </c>
      <c r="F40" s="242" t="e">
        <f t="shared" si="4"/>
        <v>#REF!</v>
      </c>
      <c r="G40" s="242" t="e">
        <f t="shared" si="5"/>
        <v>#REF!</v>
      </c>
      <c r="H40" s="242" t="e">
        <f t="shared" si="6"/>
        <v>#REF!</v>
      </c>
      <c r="I40" s="242">
        <f t="shared" si="7"/>
        <v>82.876738442849316</v>
      </c>
      <c r="J40" s="242" t="e">
        <f t="shared" si="8"/>
        <v>#REF!</v>
      </c>
      <c r="K40" s="242" t="e">
        <f t="shared" si="9"/>
        <v>#REF!</v>
      </c>
      <c r="L40" s="242" t="e">
        <f t="shared" si="10"/>
        <v>#REF!</v>
      </c>
      <c r="M40" s="242" t="e">
        <f t="shared" si="11"/>
        <v>#REF!</v>
      </c>
    </row>
    <row r="41" spans="1:13">
      <c r="A41" s="109">
        <f t="shared" si="0"/>
        <v>2054</v>
      </c>
      <c r="B41" s="242"/>
      <c r="C41" s="242" t="e">
        <f t="shared" ref="C41:C46" si="13">C40*(1+$N$14)</f>
        <v>#REF!</v>
      </c>
      <c r="D41" s="242"/>
      <c r="E41" s="242"/>
      <c r="F41" s="242"/>
      <c r="G41" s="242"/>
      <c r="H41" s="242" t="e">
        <f t="shared" ref="H41:H45" si="14">H40*(1+$N$14)</f>
        <v>#REF!</v>
      </c>
      <c r="I41" s="242"/>
      <c r="J41" s="242" t="e">
        <f t="shared" ref="J41:J46" si="15">J40*(1+$N$14)</f>
        <v>#REF!</v>
      </c>
      <c r="K41" s="242" t="e">
        <f>K40*(1+$N$14)</f>
        <v>#REF!</v>
      </c>
      <c r="L41" s="242" t="e">
        <f>L40*(1+$N$14)</f>
        <v>#REF!</v>
      </c>
      <c r="M41" s="242" t="e">
        <f t="shared" si="11"/>
        <v>#REF!</v>
      </c>
    </row>
    <row r="42" spans="1:13">
      <c r="A42" s="109">
        <f t="shared" si="0"/>
        <v>2055</v>
      </c>
      <c r="B42" s="242"/>
      <c r="C42" s="242" t="e">
        <f t="shared" si="13"/>
        <v>#REF!</v>
      </c>
      <c r="D42" s="242"/>
      <c r="E42" s="242"/>
      <c r="F42" s="242"/>
      <c r="G42" s="242"/>
      <c r="H42" s="242" t="e">
        <f t="shared" si="14"/>
        <v>#REF!</v>
      </c>
      <c r="I42" s="242"/>
      <c r="J42" s="242" t="e">
        <f t="shared" si="15"/>
        <v>#REF!</v>
      </c>
      <c r="K42" s="242" t="e">
        <f>K41*(1+$N$14)</f>
        <v>#REF!</v>
      </c>
      <c r="L42" s="242" t="e">
        <f>L41*(1+$N$14)</f>
        <v>#REF!</v>
      </c>
      <c r="M42" s="242" t="e">
        <f t="shared" si="11"/>
        <v>#REF!</v>
      </c>
    </row>
    <row r="43" spans="1:13">
      <c r="A43" s="109">
        <f t="shared" si="0"/>
        <v>2056</v>
      </c>
      <c r="B43" s="242"/>
      <c r="C43" s="242" t="e">
        <f t="shared" si="13"/>
        <v>#REF!</v>
      </c>
      <c r="D43" s="242"/>
      <c r="E43" s="242"/>
      <c r="F43" s="242"/>
      <c r="G43" s="242"/>
      <c r="H43" s="242" t="e">
        <f t="shared" si="14"/>
        <v>#REF!</v>
      </c>
      <c r="I43" s="242"/>
      <c r="J43" s="242" t="e">
        <f t="shared" si="15"/>
        <v>#REF!</v>
      </c>
      <c r="K43" s="246"/>
      <c r="L43" s="242" t="e">
        <f>L42*(1+$N$14)</f>
        <v>#REF!</v>
      </c>
      <c r="M43" s="242" t="e">
        <f t="shared" si="11"/>
        <v>#REF!</v>
      </c>
    </row>
    <row r="44" spans="1:13">
      <c r="A44" s="109">
        <f t="shared" si="0"/>
        <v>2057</v>
      </c>
      <c r="B44" s="242"/>
      <c r="C44" s="242" t="e">
        <f t="shared" si="13"/>
        <v>#REF!</v>
      </c>
      <c r="D44" s="242"/>
      <c r="E44" s="242"/>
      <c r="F44" s="242"/>
      <c r="G44" s="242"/>
      <c r="H44" s="242" t="e">
        <f t="shared" si="14"/>
        <v>#REF!</v>
      </c>
      <c r="I44" s="242"/>
      <c r="J44" s="242" t="e">
        <f t="shared" si="15"/>
        <v>#REF!</v>
      </c>
      <c r="K44" s="246"/>
      <c r="L44" s="242" t="e">
        <f>L43*(1+$N$14)</f>
        <v>#REF!</v>
      </c>
      <c r="M44" s="242" t="e">
        <f t="shared" si="11"/>
        <v>#REF!</v>
      </c>
    </row>
    <row r="45" spans="1:13">
      <c r="A45" s="109">
        <f t="shared" si="0"/>
        <v>2058</v>
      </c>
      <c r="B45" s="242"/>
      <c r="C45" s="242" t="e">
        <f t="shared" si="13"/>
        <v>#REF!</v>
      </c>
      <c r="D45" s="242"/>
      <c r="E45" s="242"/>
      <c r="F45" s="242"/>
      <c r="G45" s="242"/>
      <c r="H45" s="242" t="e">
        <f t="shared" si="14"/>
        <v>#REF!</v>
      </c>
      <c r="I45" s="242"/>
      <c r="J45" s="242" t="e">
        <f t="shared" si="15"/>
        <v>#REF!</v>
      </c>
      <c r="K45" s="246"/>
      <c r="L45" s="242" t="e">
        <f>L44*(1+$N$14)</f>
        <v>#REF!</v>
      </c>
      <c r="M45" s="242" t="e">
        <f t="shared" si="11"/>
        <v>#REF!</v>
      </c>
    </row>
    <row r="46" spans="1:13">
      <c r="A46" s="109">
        <f t="shared" si="0"/>
        <v>2059</v>
      </c>
      <c r="B46" s="242"/>
      <c r="C46" s="242" t="e">
        <f t="shared" si="13"/>
        <v>#REF!</v>
      </c>
      <c r="D46" s="242"/>
      <c r="E46" s="242"/>
      <c r="F46" s="242"/>
      <c r="G46" s="242"/>
      <c r="H46" s="242"/>
      <c r="I46" s="242"/>
      <c r="J46" s="242" t="e">
        <f t="shared" si="15"/>
        <v>#REF!</v>
      </c>
      <c r="K46" s="246"/>
      <c r="L46" s="246"/>
      <c r="M46" s="242" t="e">
        <f t="shared" si="11"/>
        <v>#REF!</v>
      </c>
    </row>
    <row r="47" spans="1:13">
      <c r="A47" s="109">
        <f t="shared" ref="A47:A48" si="16">A46+1</f>
        <v>2060</v>
      </c>
      <c r="B47" s="242"/>
      <c r="C47" s="242" t="e">
        <f t="shared" ref="C47:C48" si="17">C46*(1+$N$14)</f>
        <v>#REF!</v>
      </c>
      <c r="D47" s="242"/>
      <c r="E47" s="242"/>
      <c r="F47" s="242"/>
      <c r="G47" s="242"/>
      <c r="H47" s="242"/>
      <c r="I47" s="242"/>
      <c r="J47" s="242"/>
      <c r="K47" s="246"/>
      <c r="L47" s="246"/>
      <c r="M47" s="242" t="e">
        <f t="shared" ref="M47:M48" si="18">M46*(1+$N$14)</f>
        <v>#REF!</v>
      </c>
    </row>
    <row r="48" spans="1:13">
      <c r="A48" s="109">
        <f t="shared" si="16"/>
        <v>2061</v>
      </c>
      <c r="B48" s="242"/>
      <c r="C48" s="242" t="e">
        <f t="shared" si="17"/>
        <v>#REF!</v>
      </c>
      <c r="D48" s="242"/>
      <c r="E48" s="242"/>
      <c r="F48" s="242"/>
      <c r="G48" s="242"/>
      <c r="H48" s="242"/>
      <c r="I48" s="242"/>
      <c r="J48" s="242"/>
      <c r="K48" s="246"/>
      <c r="L48" s="246"/>
      <c r="M48" s="242" t="e">
        <f t="shared" si="18"/>
        <v>#REF!</v>
      </c>
    </row>
    <row r="49" spans="1:13" ht="12" customHeight="1">
      <c r="A49" s="109"/>
    </row>
    <row r="50" spans="1:13" ht="12" customHeight="1">
      <c r="A50" s="243" t="s">
        <v>122</v>
      </c>
      <c r="B50" s="244" t="e">
        <f>PMT(Discount_Rate,30,-NPV(Discount_Rate,Table3ACsummary!B$11:B$40))</f>
        <v>#REF!</v>
      </c>
      <c r="C50" s="244" t="e">
        <f>PMT(Discount_Rate,30,-NPV(Discount_Rate,Table3ACsummary!C$17:C$46))</f>
        <v>#REF!</v>
      </c>
      <c r="D50" s="244" t="e">
        <f>PMT(Discount_Rate,30,-NPV(Discount_Rate,Table3ACsummary!D$11:D$40))</f>
        <v>#REF!</v>
      </c>
      <c r="E50" s="244" t="e">
        <f>PMT(Discount_Rate,30,-NPV(Discount_Rate,Table3ACsummary!E$11:E$40))</f>
        <v>#REF!</v>
      </c>
      <c r="F50" s="244" t="e">
        <f>PMT(Discount_Rate,30,-NPV(Discount_Rate,Table3ACsummary!F$11:F$40))</f>
        <v>#REF!</v>
      </c>
      <c r="G50" s="244" t="e">
        <f>PMT(Discount_Rate,30,-NPV(Discount_Rate,Table3ACsummary!G$11:G$40))</f>
        <v>#REF!</v>
      </c>
      <c r="H50" s="244" t="e">
        <f>PMT(Discount_Rate,30,-NPV(Discount_Rate,Table3ACsummary!H$16:H$45))</f>
        <v>#REF!</v>
      </c>
      <c r="I50" s="244">
        <f>PMT(Discount_Rate,30,-NPV(Discount_Rate,Table3ACsummary!I$11:I$40))</f>
        <v>37.718144636580341</v>
      </c>
      <c r="J50" s="244" t="e">
        <f>PMT(Discount_Rate,30,-NPV(Discount_Rate,Table3ACsummary!J$11:J$40))</f>
        <v>#REF!</v>
      </c>
      <c r="K50" s="244" t="e">
        <f>PMT(Discount_Rate,30,-NPV(Discount_Rate,Table3ACsummary!K$13:K$42))</f>
        <v>#REF!</v>
      </c>
      <c r="L50" s="244" t="e">
        <f>PMT(Discount_Rate,30,-NPV(Discount_Rate,Table3ACsummary!L$16:L$45))</f>
        <v>#REF!</v>
      </c>
      <c r="M50" s="244" t="e">
        <f>PMT(Discount_Rate,30,-NPV(Discount_Rate,Table3ACsummary!M$19:M$48))</f>
        <v>#REF!</v>
      </c>
    </row>
    <row r="51" spans="1:13" ht="12" customHeight="1">
      <c r="A51" s="109"/>
    </row>
    <row r="52" spans="1:13">
      <c r="A52" s="109"/>
    </row>
    <row r="53" spans="1:13">
      <c r="A53" s="109"/>
    </row>
    <row r="54" spans="1:13">
      <c r="A54" s="109"/>
    </row>
    <row r="55" spans="1:13">
      <c r="A55" s="109"/>
    </row>
    <row r="56" spans="1:13">
      <c r="A56" s="109"/>
    </row>
    <row r="57" spans="1:13">
      <c r="A57" s="109"/>
    </row>
    <row r="58" spans="1:13">
      <c r="A58" s="109"/>
    </row>
    <row r="59" spans="1:13">
      <c r="A59" s="109"/>
    </row>
    <row r="60" spans="1:13">
      <c r="A60" s="109"/>
    </row>
    <row r="61" spans="1:13">
      <c r="A61" s="109"/>
    </row>
    <row r="62" spans="1:13">
      <c r="A62" s="109"/>
    </row>
    <row r="63" spans="1:13">
      <c r="A63" s="109"/>
    </row>
    <row r="64" spans="1:13">
      <c r="A64" s="109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4251-32AF-4680-BF1C-33CC259EF72F}">
  <sheetPr>
    <tabColor rgb="FFFFC000"/>
    <pageSetUpPr fitToPage="1"/>
  </sheetPr>
  <dimension ref="B1:AC91"/>
  <sheetViews>
    <sheetView topLeftCell="A42" zoomScale="80" zoomScaleNormal="80" workbookViewId="0">
      <selection activeCell="P66" sqref="P66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18.1640625" style="102" customWidth="1"/>
    <col min="20" max="20" width="9.33203125" style="102"/>
    <col min="21" max="21" width="22.33203125" style="102" customWidth="1"/>
    <col min="22" max="22" width="18.1640625" style="102" customWidth="1"/>
    <col min="23" max="23" width="9.6640625" style="102" bestFit="1" customWidth="1"/>
    <col min="24" max="27" width="9.33203125" style="102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PVS.PX.YAK._.110.PV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25%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S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S6" s="225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</row>
    <row r="8" spans="2:27" ht="6" customHeight="1"/>
    <row r="9" spans="2:27" ht="15.75">
      <c r="B9" s="39" t="str">
        <f>C52</f>
        <v>PVS.PX.YAK._.110.PV - 25%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  <c r="R13" s="102" t="s">
        <v>545</v>
      </c>
      <c r="S13" s="129"/>
      <c r="T13" s="102" t="s">
        <v>265</v>
      </c>
      <c r="U13" s="129"/>
      <c r="W13" s="129"/>
      <c r="X13" s="102" t="s">
        <v>247</v>
      </c>
      <c r="Z13" s="129"/>
      <c r="AA13" s="129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  <c r="R14" s="115" t="s">
        <v>232</v>
      </c>
      <c r="S14" s="129" t="s">
        <v>275</v>
      </c>
      <c r="T14" s="102" t="s">
        <v>238</v>
      </c>
      <c r="U14" s="129"/>
      <c r="X14" s="115" t="s">
        <v>232</v>
      </c>
      <c r="Z14" s="129"/>
      <c r="AA14" s="129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  <c r="R15" s="115"/>
      <c r="W15" s="129"/>
      <c r="Z15" s="129"/>
      <c r="AA15" s="129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1210.7666575456358</v>
      </c>
      <c r="S16" s="284">
        <f>T16-R16</f>
        <v>6.0033424543642013</v>
      </c>
      <c r="T16" s="113">
        <v>1216.77</v>
      </c>
      <c r="U16" s="113"/>
      <c r="X16" s="129">
        <v>21.158014243080867</v>
      </c>
      <c r="Z16" s="129"/>
      <c r="AA16" s="129"/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113"/>
      <c r="T17" s="113">
        <f>T16*IRP_PTC_ESC!$Q3</f>
        <v>1636.190619</v>
      </c>
      <c r="U17" s="113"/>
      <c r="V17" s="129"/>
      <c r="X17" s="277">
        <f>X16*(1+IRP23_Infl_Rate)</f>
        <v>21.638301166494205</v>
      </c>
      <c r="Z17" s="129"/>
      <c r="AA17" s="129"/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113"/>
      <c r="T18" s="113">
        <f>T17*IRP_PTC_ESC!$Q4</f>
        <v>1636.190619</v>
      </c>
      <c r="U18" s="113"/>
      <c r="V18" s="129"/>
      <c r="X18" s="277">
        <f>X17*(1+IRP23_Infl_Rate)</f>
        <v>22.12949060307119</v>
      </c>
      <c r="Z18" s="129"/>
      <c r="AA18" s="129"/>
      <c r="AB18" s="253"/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113"/>
      <c r="T19" s="113">
        <f>T18*IRP_PTC_ESC!$Q5</f>
        <v>1636.190619</v>
      </c>
      <c r="U19" s="284"/>
      <c r="W19" s="129"/>
      <c r="X19" s="277">
        <f>X18*(1+IRP23_Infl_Rate)</f>
        <v>22.631830039860688</v>
      </c>
      <c r="Y19" s="129"/>
      <c r="Z19" s="129"/>
      <c r="AA19" s="129"/>
    </row>
    <row r="20" spans="2:29">
      <c r="B20" s="109">
        <f t="shared" si="0"/>
        <v>2026</v>
      </c>
      <c r="C20" s="274">
        <f>IRP_LTReport!R46</f>
        <v>1636.1905932390721</v>
      </c>
      <c r="D20" s="111">
        <f>C20*$C$62</f>
        <v>82.725796394167475</v>
      </c>
      <c r="E20" s="281">
        <f>IRP_LTReport!L46</f>
        <v>70.077721290585686</v>
      </c>
      <c r="F20" s="165">
        <f>$C$60</f>
        <v>0.80402126463180246</v>
      </c>
      <c r="G20" s="112">
        <f t="shared" ref="G20:G37" si="1">(D20+E20+F20)/(8.76*$C$63)</f>
        <v>70.797705237775276</v>
      </c>
      <c r="H20" s="111"/>
      <c r="I20" s="111">
        <v>-37.130000000000003</v>
      </c>
      <c r="J20" s="112">
        <f>(G20+H20+I20)</f>
        <v>33.667705237775273</v>
      </c>
      <c r="K20" s="112">
        <f t="shared" ref="K20:K37" si="2">ROUND(J20*$C$63*8.76,2)</f>
        <v>73.05</v>
      </c>
      <c r="L20" s="111">
        <f t="shared" ref="L20:L37" si="3">(D20+E20+F20)</f>
        <v>153.60753894938497</v>
      </c>
      <c r="P20" s="129">
        <f t="shared" ref="P20:P36" si="4">Q20-I20</f>
        <v>-1.0681220175001727E-6</v>
      </c>
      <c r="Q20" s="112">
        <v>-37.13000106812202</v>
      </c>
      <c r="S20" s="129"/>
      <c r="T20" s="113">
        <f>T19*IRP_PTC_ESC!$Q6</f>
        <v>1636.190619</v>
      </c>
      <c r="U20" s="284">
        <f>T20-C20</f>
        <v>2.5760927883311524E-5</v>
      </c>
      <c r="V20" s="129"/>
      <c r="W20" s="129"/>
      <c r="X20" s="277">
        <f>X19*(1+IRP23_Infl_Rate)</f>
        <v>23.145572581867572</v>
      </c>
      <c r="Y20" s="129">
        <f>X20-E20</f>
        <v>-46.932148708718117</v>
      </c>
      <c r="Z20" s="129"/>
      <c r="AA20" s="129"/>
    </row>
    <row r="21" spans="2:29">
      <c r="B21" s="109">
        <f t="shared" si="0"/>
        <v>2027</v>
      </c>
      <c r="C21" s="113"/>
      <c r="D21" s="111">
        <f t="shared" ref="D21:F36" si="5">ROUND(D20*(1+IRP23_Infl_Rate),2)</f>
        <v>84.6</v>
      </c>
      <c r="E21" s="111">
        <f t="shared" si="5"/>
        <v>71.67</v>
      </c>
      <c r="F21" s="111">
        <f t="shared" si="5"/>
        <v>0.82</v>
      </c>
      <c r="G21" s="112">
        <f t="shared" si="1"/>
        <v>72.40277132144395</v>
      </c>
      <c r="H21" s="111"/>
      <c r="I21" s="111">
        <v>-38.450000000000003</v>
      </c>
      <c r="J21" s="112">
        <f t="shared" ref="J21:J37" si="6">(G21+H21+I21)</f>
        <v>33.952771321443947</v>
      </c>
      <c r="K21" s="112">
        <f t="shared" si="2"/>
        <v>73.67</v>
      </c>
      <c r="L21" s="111">
        <f t="shared" si="3"/>
        <v>157.08999999999997</v>
      </c>
      <c r="P21" s="129">
        <f t="shared" si="4"/>
        <v>-7.1622707764618099E-12</v>
      </c>
      <c r="Q21" s="112">
        <v>-38.450000000007165</v>
      </c>
      <c r="S21" s="129"/>
      <c r="V21" s="129"/>
      <c r="W21" s="129"/>
      <c r="Y21" s="129"/>
      <c r="Z21" s="129"/>
      <c r="AA21" s="129"/>
    </row>
    <row r="22" spans="2:29">
      <c r="B22" s="109">
        <f t="shared" si="0"/>
        <v>2028</v>
      </c>
      <c r="C22" s="113"/>
      <c r="D22" s="111">
        <f t="shared" si="5"/>
        <v>86.52</v>
      </c>
      <c r="E22" s="111">
        <f t="shared" si="5"/>
        <v>73.3</v>
      </c>
      <c r="F22" s="111">
        <f t="shared" ref="F22" si="7">ROUND(F21*(1+IRP23_Infl_Rate),2)</f>
        <v>0.84</v>
      </c>
      <c r="G22" s="112">
        <f t="shared" si="1"/>
        <v>74.04818410149079</v>
      </c>
      <c r="H22" s="111"/>
      <c r="I22" s="111">
        <v>-38.450000000000003</v>
      </c>
      <c r="J22" s="112">
        <f t="shared" si="6"/>
        <v>35.598184101490787</v>
      </c>
      <c r="K22" s="112">
        <f t="shared" si="2"/>
        <v>77.239999999999995</v>
      </c>
      <c r="L22" s="111">
        <f t="shared" si="3"/>
        <v>160.66</v>
      </c>
      <c r="P22" s="129">
        <f t="shared" si="4"/>
        <v>-7.6294635675822065E-7</v>
      </c>
      <c r="Q22" s="112">
        <v>-38.45000076294636</v>
      </c>
      <c r="S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5"/>
        <v>88.48</v>
      </c>
      <c r="E23" s="111">
        <f t="shared" si="5"/>
        <v>74.959999999999994</v>
      </c>
      <c r="F23" s="111">
        <f t="shared" ref="F23" si="8">ROUND(F22*(1+IRP23_Infl_Rate),2)</f>
        <v>0.86</v>
      </c>
      <c r="G23" s="112">
        <f t="shared" si="1"/>
        <v>75.725859877224806</v>
      </c>
      <c r="H23" s="111"/>
      <c r="I23" s="111">
        <v>-39.78</v>
      </c>
      <c r="J23" s="112">
        <f t="shared" si="6"/>
        <v>35.945859877224805</v>
      </c>
      <c r="K23" s="112">
        <f t="shared" si="2"/>
        <v>77.989999999999995</v>
      </c>
      <c r="L23" s="111">
        <f t="shared" si="3"/>
        <v>164.3</v>
      </c>
      <c r="P23" s="129">
        <f t="shared" si="4"/>
        <v>-7.2475359047530219E-12</v>
      </c>
      <c r="Q23" s="112">
        <v>-39.780000000007249</v>
      </c>
      <c r="S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5"/>
        <v>90.49</v>
      </c>
      <c r="E24" s="111">
        <f t="shared" si="5"/>
        <v>76.66</v>
      </c>
      <c r="F24" s="111">
        <f t="shared" ref="F24" si="9">ROUND(F23*(1+IRP23_Infl_Rate),2)</f>
        <v>0.88</v>
      </c>
      <c r="G24" s="112">
        <f t="shared" si="1"/>
        <v>77.445016647413766</v>
      </c>
      <c r="H24" s="111"/>
      <c r="I24" s="111">
        <v>-39.78</v>
      </c>
      <c r="J24" s="112">
        <f t="shared" si="6"/>
        <v>37.665016647413765</v>
      </c>
      <c r="K24" s="112">
        <f t="shared" si="2"/>
        <v>81.72</v>
      </c>
      <c r="L24" s="111">
        <f t="shared" si="3"/>
        <v>168.02999999999997</v>
      </c>
      <c r="P24" s="129">
        <f t="shared" si="4"/>
        <v>1.2206958928118183E-6</v>
      </c>
      <c r="Q24" s="112">
        <v>-39.779998779304108</v>
      </c>
      <c r="S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5"/>
        <v>92.54</v>
      </c>
      <c r="E25" s="111">
        <f t="shared" si="5"/>
        <v>78.400000000000006</v>
      </c>
      <c r="F25" s="111">
        <f t="shared" ref="F25" si="10">ROUND(F24*(1+IRP23_Infl_Rate),2)</f>
        <v>0.9</v>
      </c>
      <c r="G25" s="112">
        <f t="shared" si="1"/>
        <v>79.201045412673821</v>
      </c>
      <c r="H25" s="111"/>
      <c r="I25" s="111">
        <v>-41.11</v>
      </c>
      <c r="J25" s="112">
        <f t="shared" si="6"/>
        <v>38.091045412673822</v>
      </c>
      <c r="K25" s="112">
        <f t="shared" si="2"/>
        <v>82.64</v>
      </c>
      <c r="L25" s="111">
        <f t="shared" si="3"/>
        <v>171.84</v>
      </c>
      <c r="P25" s="129">
        <f t="shared" si="4"/>
        <v>-7.3896444519050419E-12</v>
      </c>
      <c r="Q25" s="112">
        <v>-41.110000000007389</v>
      </c>
      <c r="S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5"/>
        <v>94.64</v>
      </c>
      <c r="E26" s="111">
        <f t="shared" si="5"/>
        <v>80.180000000000007</v>
      </c>
      <c r="F26" s="111">
        <f t="shared" ref="F26" si="11">ROUND(F25*(1+IRP23_Infl_Rate),2)</f>
        <v>0.92</v>
      </c>
      <c r="G26" s="112">
        <f t="shared" si="1"/>
        <v>80.998555172388834</v>
      </c>
      <c r="H26" s="111"/>
      <c r="I26" s="111">
        <v>-41.11</v>
      </c>
      <c r="J26" s="112">
        <f t="shared" si="6"/>
        <v>39.888555172388834</v>
      </c>
      <c r="K26" s="112">
        <f t="shared" si="2"/>
        <v>86.54</v>
      </c>
      <c r="L26" s="111">
        <f t="shared" si="3"/>
        <v>175.73999999999998</v>
      </c>
      <c r="P26" s="129">
        <f t="shared" si="4"/>
        <v>-6.103588674477578E-7</v>
      </c>
      <c r="Q26" s="112">
        <v>-41.110000610358867</v>
      </c>
      <c r="S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5"/>
        <v>96.79</v>
      </c>
      <c r="E27" s="111">
        <f t="shared" si="5"/>
        <v>82</v>
      </c>
      <c r="F27" s="111">
        <f t="shared" ref="F27" si="12">ROUND(F26*(1+IRP23_Infl_Rate),2)</f>
        <v>0.94</v>
      </c>
      <c r="G27" s="112">
        <f t="shared" si="1"/>
        <v>82.837545926558818</v>
      </c>
      <c r="H27" s="111"/>
      <c r="I27" s="111">
        <v>-42.43</v>
      </c>
      <c r="J27" s="112">
        <f t="shared" si="6"/>
        <v>40.407545926558818</v>
      </c>
      <c r="K27" s="112">
        <f t="shared" si="2"/>
        <v>87.67</v>
      </c>
      <c r="L27" s="111">
        <f t="shared" si="3"/>
        <v>179.73000000000002</v>
      </c>
      <c r="P27" s="129">
        <f t="shared" si="4"/>
        <v>-3.051834056577718E-7</v>
      </c>
      <c r="Q27" s="112">
        <v>-42.430000305183405</v>
      </c>
      <c r="S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5"/>
        <v>98.99</v>
      </c>
      <c r="E28" s="111">
        <f t="shared" si="5"/>
        <v>83.86</v>
      </c>
      <c r="F28" s="111">
        <f t="shared" ref="F28" si="13">ROUND(F27*(1+IRP23_Infl_Rate),2)</f>
        <v>0.96</v>
      </c>
      <c r="G28" s="112">
        <f t="shared" si="1"/>
        <v>84.718017675183745</v>
      </c>
      <c r="H28" s="111"/>
      <c r="I28" s="111">
        <v>-43.76</v>
      </c>
      <c r="J28" s="112">
        <f t="shared" si="6"/>
        <v>40.958017675183747</v>
      </c>
      <c r="K28" s="112">
        <f t="shared" si="2"/>
        <v>88.87</v>
      </c>
      <c r="L28" s="111">
        <f t="shared" si="3"/>
        <v>183.81</v>
      </c>
      <c r="P28" s="129">
        <f t="shared" si="4"/>
        <v>-7.9083406490099151E-12</v>
      </c>
      <c r="Q28" s="112">
        <v>-43.760000000007906</v>
      </c>
      <c r="S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5"/>
        <v>101.24</v>
      </c>
      <c r="E29" s="111">
        <f t="shared" si="5"/>
        <v>85.76</v>
      </c>
      <c r="F29" s="111">
        <f t="shared" ref="F29" si="14">ROUND(F28*(1+IRP23_Infl_Rate),2)</f>
        <v>0.98</v>
      </c>
      <c r="G29" s="112">
        <f t="shared" si="1"/>
        <v>86.639970418263644</v>
      </c>
      <c r="H29" s="111"/>
      <c r="I29" s="111">
        <v>-43.76</v>
      </c>
      <c r="J29" s="112">
        <f t="shared" si="6"/>
        <v>42.879970418263646</v>
      </c>
      <c r="K29" s="112">
        <f t="shared" si="2"/>
        <v>93.04</v>
      </c>
      <c r="L29" s="111">
        <f t="shared" si="3"/>
        <v>187.98</v>
      </c>
      <c r="P29" s="129">
        <f t="shared" si="4"/>
        <v>1.6784590215479511E-6</v>
      </c>
      <c r="Q29" s="112">
        <v>-43.759998321540976</v>
      </c>
      <c r="S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5"/>
        <v>103.54</v>
      </c>
      <c r="E30" s="111">
        <f t="shared" si="5"/>
        <v>87.71</v>
      </c>
      <c r="F30" s="111">
        <f t="shared" ref="F30" si="15">ROUND(F29*(1+IRP23_Infl_Rate),2)</f>
        <v>1</v>
      </c>
      <c r="G30" s="112">
        <f t="shared" si="1"/>
        <v>88.608013155182391</v>
      </c>
      <c r="H30" s="111"/>
      <c r="I30" s="111"/>
      <c r="J30" s="112">
        <f t="shared" si="6"/>
        <v>88.608013155182391</v>
      </c>
      <c r="K30" s="112">
        <f t="shared" si="2"/>
        <v>192.25</v>
      </c>
      <c r="L30" s="111">
        <f t="shared" si="3"/>
        <v>192.25</v>
      </c>
      <c r="P30" s="129">
        <f t="shared" si="4"/>
        <v>0</v>
      </c>
      <c r="Q30" s="112">
        <v>0</v>
      </c>
      <c r="S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5"/>
        <v>105.89</v>
      </c>
      <c r="E31" s="111">
        <f t="shared" si="5"/>
        <v>89.7</v>
      </c>
      <c r="F31" s="111">
        <f t="shared" ref="F31" si="16">ROUND(F30*(1+IRP23_Infl_Rate),2)</f>
        <v>1.02</v>
      </c>
      <c r="G31" s="112">
        <f t="shared" si="1"/>
        <v>90.61753688655611</v>
      </c>
      <c r="H31" s="111"/>
      <c r="I31" s="111"/>
      <c r="J31" s="112">
        <f t="shared" si="6"/>
        <v>90.61753688655611</v>
      </c>
      <c r="K31" s="112">
        <f t="shared" si="2"/>
        <v>196.61</v>
      </c>
      <c r="L31" s="111">
        <f t="shared" si="3"/>
        <v>196.61</v>
      </c>
      <c r="P31" s="129">
        <f t="shared" si="4"/>
        <v>0</v>
      </c>
      <c r="Q31" s="112">
        <v>0</v>
      </c>
      <c r="S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5"/>
        <v>108.29</v>
      </c>
      <c r="E32" s="111">
        <f t="shared" si="5"/>
        <v>91.74</v>
      </c>
      <c r="F32" s="111">
        <f t="shared" ref="F32" si="17">ROUND(F31*(1+IRP23_Infl_Rate),2)</f>
        <v>1.04</v>
      </c>
      <c r="G32" s="112">
        <f t="shared" si="1"/>
        <v>92.673150611768648</v>
      </c>
      <c r="H32" s="111"/>
      <c r="I32" s="111"/>
      <c r="J32" s="112">
        <f t="shared" si="6"/>
        <v>92.673150611768648</v>
      </c>
      <c r="K32" s="112">
        <f t="shared" si="2"/>
        <v>201.07</v>
      </c>
      <c r="L32" s="111">
        <f t="shared" si="3"/>
        <v>201.07</v>
      </c>
      <c r="P32" s="129">
        <f t="shared" si="4"/>
        <v>0</v>
      </c>
      <c r="Q32" s="112">
        <v>0</v>
      </c>
      <c r="S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5"/>
        <v>110.75</v>
      </c>
      <c r="E33" s="111">
        <f t="shared" si="5"/>
        <v>93.82</v>
      </c>
      <c r="F33" s="111">
        <f t="shared" ref="F33" si="18">ROUND(F32*(1+IRP23_Infl_Rate),2)</f>
        <v>1.06</v>
      </c>
      <c r="G33" s="112">
        <f t="shared" si="1"/>
        <v>94.774854330820048</v>
      </c>
      <c r="H33" s="111"/>
      <c r="I33" s="111"/>
      <c r="J33" s="112">
        <f t="shared" si="6"/>
        <v>94.774854330820048</v>
      </c>
      <c r="K33" s="112">
        <f t="shared" si="2"/>
        <v>205.63</v>
      </c>
      <c r="L33" s="111">
        <f t="shared" si="3"/>
        <v>205.63</v>
      </c>
      <c r="P33" s="129">
        <f t="shared" si="4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5"/>
        <v>113.26</v>
      </c>
      <c r="E34" s="111">
        <f t="shared" si="5"/>
        <v>95.95</v>
      </c>
      <c r="F34" s="111">
        <f t="shared" ref="F34" si="19">ROUND(F33*(1+IRP23_Infl_Rate),2)</f>
        <v>1.08</v>
      </c>
      <c r="G34" s="112">
        <f t="shared" si="1"/>
        <v>96.922648043710311</v>
      </c>
      <c r="H34" s="111"/>
      <c r="I34" s="111"/>
      <c r="J34" s="112">
        <f t="shared" si="6"/>
        <v>96.922648043710311</v>
      </c>
      <c r="K34" s="112">
        <f t="shared" si="2"/>
        <v>210.29</v>
      </c>
      <c r="L34" s="111">
        <f t="shared" si="3"/>
        <v>210.29000000000002</v>
      </c>
      <c r="P34" s="129">
        <f t="shared" si="4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5"/>
        <v>115.83</v>
      </c>
      <c r="E35" s="111">
        <f t="shared" si="5"/>
        <v>98.13</v>
      </c>
      <c r="F35" s="111">
        <f t="shared" ref="F35" si="20">ROUND(F34*(1+IRP23_Infl_Rate),2)</f>
        <v>1.1000000000000001</v>
      </c>
      <c r="G35" s="112">
        <f t="shared" si="1"/>
        <v>99.121140749823269</v>
      </c>
      <c r="H35" s="111"/>
      <c r="I35" s="111"/>
      <c r="J35" s="112">
        <f t="shared" si="6"/>
        <v>99.121140749823269</v>
      </c>
      <c r="K35" s="112">
        <f t="shared" si="2"/>
        <v>215.06</v>
      </c>
      <c r="L35" s="111">
        <f t="shared" si="3"/>
        <v>215.05999999999997</v>
      </c>
      <c r="P35" s="129">
        <f t="shared" si="4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si="5"/>
        <v>118.46</v>
      </c>
      <c r="E36" s="111">
        <f t="shared" si="5"/>
        <v>100.36</v>
      </c>
      <c r="F36" s="111">
        <f t="shared" ref="F36" si="21">ROUND(F35*(1+IRP23_Infl_Rate),2)</f>
        <v>1.1200000000000001</v>
      </c>
      <c r="G36" s="112">
        <f t="shared" si="1"/>
        <v>101.37033244915899</v>
      </c>
      <c r="H36" s="111"/>
      <c r="I36" s="111"/>
      <c r="J36" s="112">
        <f t="shared" si="6"/>
        <v>101.37033244915899</v>
      </c>
      <c r="K36" s="112">
        <f t="shared" si="2"/>
        <v>219.94</v>
      </c>
      <c r="L36" s="111">
        <f t="shared" si="3"/>
        <v>219.94</v>
      </c>
      <c r="P36" s="129">
        <f t="shared" si="4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ref="D37:F37" si="22">ROUND(D36*(1+IRP23_Infl_Rate),2)</f>
        <v>121.15</v>
      </c>
      <c r="E37" s="111">
        <f t="shared" si="22"/>
        <v>102.64</v>
      </c>
      <c r="F37" s="111">
        <f t="shared" si="22"/>
        <v>1.1499999999999999</v>
      </c>
      <c r="G37" s="112">
        <f t="shared" si="1"/>
        <v>103.67483214110133</v>
      </c>
      <c r="H37" s="111"/>
      <c r="I37" s="111"/>
      <c r="J37" s="112">
        <f t="shared" si="6"/>
        <v>103.67483214110133</v>
      </c>
      <c r="K37" s="112">
        <f t="shared" si="2"/>
        <v>224.94</v>
      </c>
      <c r="L37" s="111">
        <f t="shared" si="3"/>
        <v>224.94000000000003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-PMT(Discount_Rate,COUNT(J20:J37),NPV(Discount_Rate,J20:J37))</f>
        <v>55.066674563568263</v>
      </c>
      <c r="K39" s="287">
        <f>-PMT(Discount_Rate,COUNT(K20:K37),NPV(Discount_Rate,K20:K37))</f>
        <v>119.47696648022939</v>
      </c>
      <c r="L39" s="287">
        <f>-PMT(Discount_Rate,COUNT(L20:L37),NPV(Discount_Rate,L20:L37))</f>
        <v>179.98172415475739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24.8%)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PVS.PX.YAK._.110.PV - 25%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2026</v>
      </c>
      <c r="S54" s="273"/>
      <c r="T54" s="273" t="s">
        <v>306</v>
      </c>
    </row>
    <row r="55" spans="2:20">
      <c r="B55" t="s">
        <v>152</v>
      </c>
      <c r="C55" s="267"/>
      <c r="D55" s="102" t="s">
        <v>65</v>
      </c>
      <c r="P55" s="226">
        <v>449.99</v>
      </c>
      <c r="Q55" s="102" t="s">
        <v>32</v>
      </c>
      <c r="S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2026$</v>
      </c>
      <c r="C60" s="223">
        <f>INDEX('Table 3 TransCost'!$39:$39,1,MATCH(F60,'Table 3 TransCost'!$4:$4,0)+2)</f>
        <v>0.80402126463180246</v>
      </c>
      <c r="D60" s="102" t="s">
        <v>137</v>
      </c>
      <c r="F60" s="102" t="s">
        <v>368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0.24767903319904089</v>
      </c>
      <c r="D63" s="102" t="s">
        <v>37</v>
      </c>
    </row>
    <row r="64" spans="2:20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3C94E-A877-45C8-821C-FE708A783FBB}">
  <sheetPr>
    <tabColor rgb="FFFFC000"/>
    <pageSetUpPr fitToPage="1"/>
  </sheetPr>
  <dimension ref="B1:AC91"/>
  <sheetViews>
    <sheetView topLeftCell="A57" zoomScale="80" zoomScaleNormal="80" workbookViewId="0">
      <selection activeCell="K63" sqref="K63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18.1640625" style="102" customWidth="1"/>
    <col min="20" max="20" width="9.33203125" style="102"/>
    <col min="21" max="21" width="22.33203125" style="102" customWidth="1"/>
    <col min="22" max="22" width="18.1640625" style="102" customWidth="1"/>
    <col min="23" max="23" width="9.6640625" style="102" bestFit="1" customWidth="1"/>
    <col min="24" max="27" width="9.33203125" style="102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PVS.PX.WWA._.215.PV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25%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S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S6" s="225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</row>
    <row r="8" spans="2:27" ht="6" customHeight="1"/>
    <row r="9" spans="2:27" ht="15.75">
      <c r="B9" s="39" t="str">
        <f>C52</f>
        <v>PVS.PX.WWA._.215.PV - 25%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  <c r="R13" s="102" t="s">
        <v>545</v>
      </c>
      <c r="S13" s="129"/>
      <c r="T13" s="102" t="s">
        <v>265</v>
      </c>
      <c r="U13" s="129"/>
      <c r="W13" s="129"/>
      <c r="X13" s="102" t="s">
        <v>247</v>
      </c>
      <c r="Z13" s="129"/>
      <c r="AA13" s="129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  <c r="R14" s="115" t="s">
        <v>232</v>
      </c>
      <c r="S14" s="129" t="s">
        <v>275</v>
      </c>
      <c r="T14" s="102" t="s">
        <v>238</v>
      </c>
      <c r="U14" s="129"/>
      <c r="X14" s="115" t="s">
        <v>232</v>
      </c>
      <c r="Z14" s="129"/>
      <c r="AA14" s="129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  <c r="R15" s="115"/>
      <c r="W15" s="129"/>
      <c r="Z15" s="129"/>
      <c r="AA15" s="129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1210.7666575456358</v>
      </c>
      <c r="S16" s="284">
        <f>T16-R16</f>
        <v>6.0033424543642013</v>
      </c>
      <c r="T16" s="113">
        <v>1216.77</v>
      </c>
      <c r="U16" s="113"/>
      <c r="X16" s="129">
        <v>21.158014243080867</v>
      </c>
      <c r="Z16" s="129"/>
      <c r="AA16" s="129"/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113"/>
      <c r="T17" s="113">
        <f>T16*IRP_PTC_ESC!$Q3</f>
        <v>1636.190619</v>
      </c>
      <c r="U17" s="113"/>
      <c r="V17" s="129"/>
      <c r="X17" s="277">
        <f>X16*(1+IRP23_Infl_Rate)</f>
        <v>21.638301166494205</v>
      </c>
      <c r="Z17" s="129"/>
      <c r="AA17" s="129"/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113"/>
      <c r="T18" s="113">
        <f>T17*IRP_PTC_ESC!$Q4</f>
        <v>1636.190619</v>
      </c>
      <c r="U18" s="113"/>
      <c r="V18" s="129"/>
      <c r="X18" s="277">
        <f>X17*(1+IRP23_Infl_Rate)</f>
        <v>22.12949060307119</v>
      </c>
      <c r="Z18" s="129"/>
      <c r="AA18" s="129"/>
      <c r="AB18" s="253"/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113"/>
      <c r="T19" s="113">
        <f>T18*IRP_PTC_ESC!$Q5</f>
        <v>1636.190619</v>
      </c>
      <c r="U19" s="284"/>
      <c r="W19" s="129"/>
      <c r="X19" s="277">
        <f>X18*(1+IRP23_Infl_Rate)</f>
        <v>22.631830039860688</v>
      </c>
      <c r="Y19" s="129"/>
      <c r="Z19" s="129"/>
      <c r="AA19" s="129"/>
    </row>
    <row r="20" spans="2:29">
      <c r="B20" s="109">
        <f t="shared" si="0"/>
        <v>2026</v>
      </c>
      <c r="C20" s="113"/>
      <c r="D20" s="111"/>
      <c r="E20" s="111"/>
      <c r="F20" s="165"/>
      <c r="G20" s="112"/>
      <c r="H20" s="111"/>
      <c r="I20" s="111"/>
      <c r="J20" s="112"/>
      <c r="K20" s="112"/>
      <c r="L20" s="111"/>
      <c r="P20" s="129">
        <f t="shared" ref="P20:P36" si="1">Q20-I20</f>
        <v>0</v>
      </c>
      <c r="Q20" s="112">
        <v>0</v>
      </c>
      <c r="S20" s="129"/>
      <c r="T20" s="113">
        <f>T19*IRP_PTC_ESC!$Q6</f>
        <v>1636.190619</v>
      </c>
      <c r="U20" s="284"/>
      <c r="V20" s="129"/>
      <c r="W20" s="129"/>
      <c r="X20" s="277">
        <f>X19*(1+IRP23_Infl_Rate)</f>
        <v>23.145572581867572</v>
      </c>
      <c r="Y20" s="129"/>
      <c r="Z20" s="129"/>
      <c r="AA20" s="129"/>
    </row>
    <row r="21" spans="2:29">
      <c r="B21" s="109">
        <f t="shared" si="0"/>
        <v>2027</v>
      </c>
      <c r="C21" s="113">
        <f>IRP_LTReport!$R$50</f>
        <v>1636.1905932390682</v>
      </c>
      <c r="D21" s="111">
        <f>C21*$C$62</f>
        <v>82.725796394167276</v>
      </c>
      <c r="E21" s="281">
        <f>IRP_LTReport!$L$50</f>
        <v>23.348754848244013</v>
      </c>
      <c r="F21" s="111">
        <f>$C$60</f>
        <v>6.1470642666378597</v>
      </c>
      <c r="G21" s="112">
        <f t="shared" ref="G21:G37" si="2">(D21+E21+F21)/(8.76*$C$63)</f>
        <v>51.72293567397476</v>
      </c>
      <c r="H21" s="111"/>
      <c r="I21" s="111">
        <v>-38.450000000000003</v>
      </c>
      <c r="J21" s="112">
        <f t="shared" ref="J21:J37" si="3">(G21+H21+I21)</f>
        <v>13.272935673974757</v>
      </c>
      <c r="K21" s="112">
        <f t="shared" ref="K21:K37" si="4">ROUND(J21*$C$63*8.76,2)</f>
        <v>28.8</v>
      </c>
      <c r="L21" s="111">
        <f t="shared" ref="L21:L37" si="5">(D21+E21+F21)</f>
        <v>112.22161550904914</v>
      </c>
      <c r="P21" s="129">
        <f t="shared" si="1"/>
        <v>-9.5994323601189535E-12</v>
      </c>
      <c r="Q21" s="112">
        <v>-38.450000000009602</v>
      </c>
      <c r="S21" s="129"/>
      <c r="T21" s="113">
        <f>T20*IRP_PTC_ESC!$Q7</f>
        <v>1636.190619</v>
      </c>
      <c r="U21" s="284">
        <f>T21-C21</f>
        <v>2.5760931748664007E-5</v>
      </c>
      <c r="V21" s="129"/>
      <c r="W21" s="129"/>
      <c r="X21" s="277">
        <f>X20*(1+IRP23_Infl_Rate)</f>
        <v>23.670977079580329</v>
      </c>
      <c r="Y21" s="129">
        <f>X21-E21</f>
        <v>0.32222223133631545</v>
      </c>
      <c r="Z21" s="129"/>
      <c r="AA21" s="129"/>
    </row>
    <row r="22" spans="2:29">
      <c r="B22" s="109">
        <f t="shared" si="0"/>
        <v>2028</v>
      </c>
      <c r="C22" s="113"/>
      <c r="D22" s="111">
        <f t="shared" ref="D22:F36" si="6">ROUND(D21*(1+IRP23_Infl_Rate),2)</f>
        <v>84.6</v>
      </c>
      <c r="E22" s="111">
        <f t="shared" si="6"/>
        <v>23.88</v>
      </c>
      <c r="F22" s="111">
        <f t="shared" si="6"/>
        <v>6.29</v>
      </c>
      <c r="G22" s="112">
        <f t="shared" si="2"/>
        <v>52.897485928844127</v>
      </c>
      <c r="H22" s="111"/>
      <c r="I22" s="111">
        <v>-38.450000000000003</v>
      </c>
      <c r="J22" s="112">
        <f t="shared" si="3"/>
        <v>14.447485928844124</v>
      </c>
      <c r="K22" s="112">
        <f t="shared" si="4"/>
        <v>31.35</v>
      </c>
      <c r="L22" s="111">
        <f t="shared" si="5"/>
        <v>114.77</v>
      </c>
      <c r="P22" s="129">
        <f t="shared" si="1"/>
        <v>-7.6294920603459104E-7</v>
      </c>
      <c r="Q22" s="112">
        <v>-38.450000762949209</v>
      </c>
      <c r="S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6"/>
        <v>86.52</v>
      </c>
      <c r="E23" s="111">
        <f t="shared" si="6"/>
        <v>24.42</v>
      </c>
      <c r="F23" s="111">
        <f t="shared" ref="F23" si="7">ROUND(F22*(1+IRP23_Infl_Rate),2)</f>
        <v>6.43</v>
      </c>
      <c r="G23" s="112">
        <f t="shared" si="2"/>
        <v>54.095825768654137</v>
      </c>
      <c r="H23" s="111"/>
      <c r="I23" s="111">
        <v>-39.78</v>
      </c>
      <c r="J23" s="112">
        <f t="shared" si="3"/>
        <v>14.315825768654136</v>
      </c>
      <c r="K23" s="112">
        <f t="shared" si="4"/>
        <v>31.06</v>
      </c>
      <c r="L23" s="111">
        <f t="shared" si="5"/>
        <v>117.37</v>
      </c>
      <c r="P23" s="129">
        <f t="shared" si="1"/>
        <v>-9.9333874459262006E-12</v>
      </c>
      <c r="Q23" s="112">
        <v>-39.780000000009935</v>
      </c>
      <c r="S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6"/>
        <v>88.48</v>
      </c>
      <c r="E24" s="111">
        <f t="shared" si="6"/>
        <v>24.97</v>
      </c>
      <c r="F24" s="111">
        <f t="shared" ref="F24" si="8">ROUND(F23*(1+IRP23_Infl_Rate),2)</f>
        <v>6.58</v>
      </c>
      <c r="G24" s="112">
        <f t="shared" si="2"/>
        <v>55.321819604767455</v>
      </c>
      <c r="H24" s="111"/>
      <c r="I24" s="111">
        <v>-39.78</v>
      </c>
      <c r="J24" s="112">
        <f t="shared" si="3"/>
        <v>15.541819604767454</v>
      </c>
      <c r="K24" s="112">
        <f t="shared" si="4"/>
        <v>33.72</v>
      </c>
      <c r="L24" s="111">
        <f t="shared" si="5"/>
        <v>120.03</v>
      </c>
      <c r="P24" s="129">
        <f t="shared" si="1"/>
        <v>1.2206927237912168E-6</v>
      </c>
      <c r="Q24" s="112">
        <v>-39.779998779307277</v>
      </c>
      <c r="S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6"/>
        <v>90.49</v>
      </c>
      <c r="E25" s="111">
        <f t="shared" si="6"/>
        <v>25.54</v>
      </c>
      <c r="F25" s="111">
        <f t="shared" ref="F25" si="9">ROUND(F24*(1+IRP23_Infl_Rate),2)</f>
        <v>6.73</v>
      </c>
      <c r="G25" s="112">
        <f t="shared" si="2"/>
        <v>56.580076436567964</v>
      </c>
      <c r="H25" s="111"/>
      <c r="I25" s="111">
        <v>-41.11</v>
      </c>
      <c r="J25" s="112">
        <f t="shared" si="3"/>
        <v>15.470076436567965</v>
      </c>
      <c r="K25" s="112">
        <f t="shared" si="4"/>
        <v>33.56</v>
      </c>
      <c r="L25" s="111">
        <f t="shared" si="5"/>
        <v>122.76</v>
      </c>
      <c r="P25" s="129">
        <f t="shared" si="1"/>
        <v>-1.0963674412778346E-11</v>
      </c>
      <c r="Q25" s="112">
        <v>-41.110000000010963</v>
      </c>
      <c r="S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6"/>
        <v>92.54</v>
      </c>
      <c r="E26" s="111">
        <f t="shared" si="6"/>
        <v>26.12</v>
      </c>
      <c r="F26" s="111">
        <f t="shared" ref="F26" si="10">ROUND(F25*(1+IRP23_Infl_Rate),2)</f>
        <v>6.88</v>
      </c>
      <c r="G26" s="112">
        <f t="shared" si="2"/>
        <v>57.861378265287897</v>
      </c>
      <c r="H26" s="111"/>
      <c r="I26" s="111">
        <v>-41.11</v>
      </c>
      <c r="J26" s="112">
        <f t="shared" si="3"/>
        <v>16.751378265287897</v>
      </c>
      <c r="K26" s="112">
        <f t="shared" si="4"/>
        <v>36.340000000000003</v>
      </c>
      <c r="L26" s="111">
        <f t="shared" si="5"/>
        <v>125.54</v>
      </c>
      <c r="P26" s="129">
        <f t="shared" si="1"/>
        <v>-6.1036170961870084E-7</v>
      </c>
      <c r="Q26" s="112">
        <v>-41.110000610361709</v>
      </c>
      <c r="S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6"/>
        <v>94.64</v>
      </c>
      <c r="E27" s="111">
        <f t="shared" si="6"/>
        <v>26.71</v>
      </c>
      <c r="F27" s="111">
        <f t="shared" ref="F27" si="11">ROUND(F26*(1+IRP23_Infl_Rate),2)</f>
        <v>7.04</v>
      </c>
      <c r="G27" s="112">
        <f t="shared" si="2"/>
        <v>59.174943089695013</v>
      </c>
      <c r="H27" s="111"/>
      <c r="I27" s="111">
        <v>-42.43</v>
      </c>
      <c r="J27" s="112">
        <f t="shared" si="3"/>
        <v>16.744943089695013</v>
      </c>
      <c r="K27" s="112">
        <f t="shared" si="4"/>
        <v>36.33</v>
      </c>
      <c r="L27" s="111">
        <f t="shared" si="5"/>
        <v>128.38999999999999</v>
      </c>
      <c r="P27" s="129">
        <f t="shared" si="1"/>
        <v>-3.0518661020551008E-7</v>
      </c>
      <c r="Q27" s="112">
        <v>-42.43000030518661</v>
      </c>
      <c r="S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6"/>
        <v>96.79</v>
      </c>
      <c r="E28" s="111">
        <f t="shared" si="6"/>
        <v>27.32</v>
      </c>
      <c r="F28" s="111">
        <f t="shared" ref="F28" si="12">ROUND(F27*(1+IRP23_Infl_Rate),2)</f>
        <v>7.2</v>
      </c>
      <c r="G28" s="112">
        <f t="shared" si="2"/>
        <v>60.520770909789341</v>
      </c>
      <c r="H28" s="111"/>
      <c r="I28" s="111">
        <v>-43.76</v>
      </c>
      <c r="J28" s="112">
        <f t="shared" si="3"/>
        <v>16.760770909789343</v>
      </c>
      <c r="K28" s="112">
        <f t="shared" si="4"/>
        <v>36.369999999999997</v>
      </c>
      <c r="L28" s="111">
        <f t="shared" si="5"/>
        <v>131.31</v>
      </c>
      <c r="P28" s="129">
        <f t="shared" si="1"/>
        <v>-1.1262102361797588E-11</v>
      </c>
      <c r="Q28" s="112">
        <v>-43.76000000001126</v>
      </c>
      <c r="S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6"/>
        <v>98.99</v>
      </c>
      <c r="E29" s="111">
        <f t="shared" si="6"/>
        <v>27.94</v>
      </c>
      <c r="F29" s="111">
        <f t="shared" ref="F29" si="13">ROUND(F28*(1+IRP23_Infl_Rate),2)</f>
        <v>7.36</v>
      </c>
      <c r="G29" s="112">
        <f t="shared" si="2"/>
        <v>61.894252726186963</v>
      </c>
      <c r="H29" s="111"/>
      <c r="I29" s="111">
        <v>-43.76</v>
      </c>
      <c r="J29" s="112">
        <f t="shared" si="3"/>
        <v>18.134252726186965</v>
      </c>
      <c r="K29" s="112">
        <f t="shared" si="4"/>
        <v>39.35</v>
      </c>
      <c r="L29" s="111">
        <f t="shared" si="5"/>
        <v>134.29</v>
      </c>
      <c r="P29" s="129">
        <f t="shared" si="1"/>
        <v>1.6784554688342723E-6</v>
      </c>
      <c r="Q29" s="112">
        <v>-43.759998321544529</v>
      </c>
      <c r="S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6"/>
        <v>101.24</v>
      </c>
      <c r="E30" s="111">
        <f t="shared" si="6"/>
        <v>28.57</v>
      </c>
      <c r="F30" s="111">
        <f t="shared" ref="F30" si="14">ROUND(F29*(1+IRP23_Infl_Rate),2)</f>
        <v>7.53</v>
      </c>
      <c r="G30" s="112">
        <f t="shared" si="2"/>
        <v>63.299997538271782</v>
      </c>
      <c r="H30" s="111"/>
      <c r="I30" s="111">
        <v>-45.09</v>
      </c>
      <c r="J30" s="112">
        <f t="shared" si="3"/>
        <v>18.209997538271779</v>
      </c>
      <c r="K30" s="112">
        <f t="shared" si="4"/>
        <v>39.51</v>
      </c>
      <c r="L30" s="111">
        <f t="shared" si="5"/>
        <v>137.34</v>
      </c>
      <c r="P30" s="129">
        <f t="shared" si="1"/>
        <v>9.99816893383354E-3</v>
      </c>
      <c r="Q30" s="112">
        <v>-45.08000183106617</v>
      </c>
      <c r="S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6"/>
        <v>103.54</v>
      </c>
      <c r="E31" s="111">
        <f t="shared" si="6"/>
        <v>29.22</v>
      </c>
      <c r="F31" s="111">
        <f t="shared" ref="F31" si="15">ROUND(F30*(1+IRP23_Infl_Rate),2)</f>
        <v>7.7</v>
      </c>
      <c r="G31" s="112">
        <f t="shared" si="2"/>
        <v>64.738005346043778</v>
      </c>
      <c r="H31" s="111"/>
      <c r="I31" s="111"/>
      <c r="J31" s="112">
        <f t="shared" si="3"/>
        <v>64.738005346043778</v>
      </c>
      <c r="K31" s="112">
        <f t="shared" si="4"/>
        <v>140.46</v>
      </c>
      <c r="L31" s="111">
        <f t="shared" si="5"/>
        <v>140.45999999999998</v>
      </c>
      <c r="P31" s="129">
        <f t="shared" si="1"/>
        <v>0</v>
      </c>
      <c r="Q31" s="112">
        <v>0</v>
      </c>
      <c r="S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6"/>
        <v>105.89</v>
      </c>
      <c r="E32" s="111">
        <f t="shared" si="6"/>
        <v>29.88</v>
      </c>
      <c r="F32" s="111">
        <f t="shared" ref="F32" si="16">ROUND(F31*(1+IRP23_Infl_Rate),2)</f>
        <v>7.87</v>
      </c>
      <c r="G32" s="112">
        <f t="shared" si="2"/>
        <v>66.203667150119117</v>
      </c>
      <c r="H32" s="111"/>
      <c r="I32" s="111"/>
      <c r="J32" s="112">
        <f t="shared" si="3"/>
        <v>66.203667150119117</v>
      </c>
      <c r="K32" s="112">
        <f t="shared" si="4"/>
        <v>143.63999999999999</v>
      </c>
      <c r="L32" s="111">
        <f t="shared" si="5"/>
        <v>143.64000000000001</v>
      </c>
      <c r="P32" s="129">
        <f t="shared" si="1"/>
        <v>0</v>
      </c>
      <c r="Q32" s="112">
        <v>0</v>
      </c>
      <c r="S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6"/>
        <v>108.29</v>
      </c>
      <c r="E33" s="111">
        <f t="shared" si="6"/>
        <v>30.56</v>
      </c>
      <c r="F33" s="111">
        <f t="shared" ref="F33" si="17">ROUND(F32*(1+IRP23_Infl_Rate),2)</f>
        <v>8.0500000000000007</v>
      </c>
      <c r="G33" s="112">
        <f t="shared" si="2"/>
        <v>67.706200949265508</v>
      </c>
      <c r="H33" s="111"/>
      <c r="I33" s="111"/>
      <c r="J33" s="112">
        <f t="shared" si="3"/>
        <v>67.706200949265508</v>
      </c>
      <c r="K33" s="112">
        <f t="shared" si="4"/>
        <v>146.9</v>
      </c>
      <c r="L33" s="111">
        <f t="shared" si="5"/>
        <v>146.9</v>
      </c>
      <c r="P33" s="129">
        <f t="shared" si="1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6"/>
        <v>110.75</v>
      </c>
      <c r="E34" s="111">
        <f t="shared" si="6"/>
        <v>31.25</v>
      </c>
      <c r="F34" s="111">
        <f t="shared" ref="F34" si="18">ROUND(F33*(1+IRP23_Infl_Rate),2)</f>
        <v>8.23</v>
      </c>
      <c r="G34" s="112">
        <f t="shared" si="2"/>
        <v>69.24099774409909</v>
      </c>
      <c r="H34" s="111"/>
      <c r="I34" s="111"/>
      <c r="J34" s="112">
        <f t="shared" si="3"/>
        <v>69.24099774409909</v>
      </c>
      <c r="K34" s="112">
        <f t="shared" si="4"/>
        <v>150.22999999999999</v>
      </c>
      <c r="L34" s="111">
        <f t="shared" si="5"/>
        <v>150.22999999999999</v>
      </c>
      <c r="P34" s="129">
        <f t="shared" si="1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6"/>
        <v>113.26</v>
      </c>
      <c r="E35" s="111">
        <f t="shared" si="6"/>
        <v>31.96</v>
      </c>
      <c r="F35" s="111">
        <f t="shared" ref="F35" si="19">ROUND(F34*(1+IRP23_Infl_Rate),2)</f>
        <v>8.42</v>
      </c>
      <c r="G35" s="112">
        <f t="shared" si="2"/>
        <v>70.812666534003753</v>
      </c>
      <c r="H35" s="111"/>
      <c r="I35" s="111"/>
      <c r="J35" s="112">
        <f t="shared" si="3"/>
        <v>70.812666534003753</v>
      </c>
      <c r="K35" s="112">
        <f t="shared" si="4"/>
        <v>153.63999999999999</v>
      </c>
      <c r="L35" s="111">
        <f t="shared" si="5"/>
        <v>153.63999999999999</v>
      </c>
      <c r="P35" s="129">
        <f t="shared" si="1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si="6"/>
        <v>115.83</v>
      </c>
      <c r="E36" s="111">
        <f t="shared" si="6"/>
        <v>32.69</v>
      </c>
      <c r="F36" s="111">
        <f t="shared" ref="F36" si="20">ROUND(F35*(1+IRP23_Infl_Rate),2)</f>
        <v>8.61</v>
      </c>
      <c r="G36" s="112">
        <f t="shared" si="2"/>
        <v>72.421207318979498</v>
      </c>
      <c r="H36" s="111"/>
      <c r="I36" s="111"/>
      <c r="J36" s="112">
        <f t="shared" si="3"/>
        <v>72.421207318979498</v>
      </c>
      <c r="K36" s="112">
        <f t="shared" si="4"/>
        <v>157.13</v>
      </c>
      <c r="L36" s="111">
        <f t="shared" si="5"/>
        <v>157.13</v>
      </c>
      <c r="P36" s="129">
        <f t="shared" si="1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ref="D37:F37" si="21">ROUND(D36*(1+IRP23_Infl_Rate),2)</f>
        <v>118.46</v>
      </c>
      <c r="E37" s="111">
        <f t="shared" si="21"/>
        <v>33.43</v>
      </c>
      <c r="F37" s="111">
        <f t="shared" si="21"/>
        <v>8.81</v>
      </c>
      <c r="G37" s="112">
        <f t="shared" si="2"/>
        <v>74.066620099026323</v>
      </c>
      <c r="H37" s="111"/>
      <c r="I37" s="111"/>
      <c r="J37" s="112">
        <f t="shared" si="3"/>
        <v>74.066620099026323</v>
      </c>
      <c r="K37" s="112">
        <f t="shared" si="4"/>
        <v>160.69999999999999</v>
      </c>
      <c r="L37" s="111">
        <f t="shared" si="5"/>
        <v>160.69999999999999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-PMT(Discount_Rate,COUNT(J20:J37),NPV(Discount_Rate,J20:J37))</f>
        <v>30.81962515095519</v>
      </c>
      <c r="K39" s="287">
        <f>-PMT(Discount_Rate,COUNT(K20:K37),NPV(Discount_Rate,K20:K37))</f>
        <v>66.868605484827242</v>
      </c>
      <c r="L39" s="287">
        <f>-PMT(Discount_Rate,COUNT(L20:L37),NPV(Discount_Rate,L20:L37))</f>
        <v>130.47418619962136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24.8%)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PVS.PX.WWA._.215.PV - 25%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2027</v>
      </c>
      <c r="S54" s="273"/>
      <c r="T54" s="273" t="s">
        <v>308</v>
      </c>
    </row>
    <row r="55" spans="2:20">
      <c r="B55" t="s">
        <v>152</v>
      </c>
      <c r="C55" s="267"/>
      <c r="D55" s="102" t="s">
        <v>65</v>
      </c>
      <c r="P55" s="226">
        <v>483</v>
      </c>
      <c r="Q55" s="102" t="s">
        <v>32</v>
      </c>
      <c r="S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2027$</v>
      </c>
      <c r="C60" s="223">
        <f>INDEX('Table 3 TransCost'!$39:$39,1,MATCH(F60,'Table 3 TransCost'!$4:$4,0)+2)</f>
        <v>6.1470642666378597</v>
      </c>
      <c r="D60" s="102" t="s">
        <v>137</v>
      </c>
      <c r="F60" t="s">
        <v>364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0.24767903319904089</v>
      </c>
      <c r="D63" s="102" t="s">
        <v>37</v>
      </c>
    </row>
    <row r="64" spans="2:20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3" orientation="landscape" r:id="rId1"/>
  <headerFooter alignWithMargins="0"/>
  <rowBreaks count="1" manualBreakCount="1">
    <brk id="51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3D81-EB6A-4B7B-BFE9-5A81A710242D}">
  <sheetPr>
    <tabColor rgb="FFFFC000"/>
    <pageSetUpPr fitToPage="1"/>
  </sheetPr>
  <dimension ref="B1:AC91"/>
  <sheetViews>
    <sheetView view="pageBreakPreview" topLeftCell="A32" zoomScale="70" zoomScaleNormal="100" zoomScaleSheetLayoutView="70" workbookViewId="0">
      <selection activeCell="K59" sqref="K59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8" width="9.5" style="102" bestFit="1" customWidth="1"/>
    <col min="9" max="9" width="10.5" style="102" customWidth="1"/>
    <col min="10" max="10" width="12.6640625" style="102" customWidth="1"/>
    <col min="11" max="11" width="14" style="102" customWidth="1"/>
    <col min="12" max="12" width="13.33203125" style="102" customWidth="1"/>
    <col min="13" max="13" width="3.1640625" style="102" customWidth="1"/>
    <col min="14" max="14" width="15" style="102" hidden="1" customWidth="1"/>
    <col min="15" max="15" width="5.6640625" style="102" customWidth="1"/>
    <col min="16" max="16" width="9.33203125" style="102" customWidth="1"/>
    <col min="17" max="18" width="16" style="102" customWidth="1"/>
    <col min="19" max="19" width="18.1640625" style="102" customWidth="1"/>
    <col min="20" max="20" width="9.33203125" style="102"/>
    <col min="21" max="21" width="22.33203125" style="102" customWidth="1"/>
    <col min="22" max="22" width="18.1640625" style="102" customWidth="1"/>
    <col min="23" max="23" width="9.6640625" style="102" bestFit="1" customWidth="1"/>
    <col min="24" max="27" width="9.33203125" style="102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27" ht="15.75">
      <c r="B2" s="100" t="str">
        <f>T54</f>
        <v>PVS.PX.GOE.1.A43.PV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27" ht="15.75">
      <c r="B3" s="100" t="str">
        <f>TEXT($C$63,"0%")&amp;" Capacity Factor"</f>
        <v>28% Capacity Factor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2:27">
      <c r="B4" s="101"/>
      <c r="C4" s="101"/>
      <c r="D4" s="101"/>
      <c r="E4" s="101"/>
      <c r="F4" s="101"/>
      <c r="G4" s="101"/>
      <c r="H4" s="101"/>
      <c r="I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280</v>
      </c>
      <c r="J5" s="104" t="s">
        <v>73</v>
      </c>
      <c r="K5" s="15" t="s">
        <v>52</v>
      </c>
      <c r="L5" s="104" t="s">
        <v>138</v>
      </c>
      <c r="N5" s="175"/>
      <c r="O5" s="175"/>
      <c r="Q5" s="175"/>
      <c r="S5" s="224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6" t="s">
        <v>31</v>
      </c>
      <c r="J6" s="106" t="s">
        <v>31</v>
      </c>
      <c r="K6" s="17" t="s">
        <v>9</v>
      </c>
      <c r="L6" s="107" t="s">
        <v>9</v>
      </c>
      <c r="P6" s="102" t="s">
        <v>507</v>
      </c>
      <c r="S6" s="225"/>
    </row>
    <row r="7" spans="2:27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22</v>
      </c>
      <c r="K7" s="108" t="s">
        <v>23</v>
      </c>
      <c r="L7" s="108" t="s">
        <v>24</v>
      </c>
    </row>
    <row r="8" spans="2:27" ht="6" customHeight="1"/>
    <row r="9" spans="2:27" ht="15.75">
      <c r="B9" s="39" t="str">
        <f>C52</f>
        <v>PVS.PX.GOE.1.A43.PV - 28%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1"/>
      <c r="J10" s="112"/>
      <c r="K10" s="112"/>
      <c r="L10" s="111"/>
      <c r="O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1"/>
      <c r="J11" s="112"/>
      <c r="K11" s="112"/>
      <c r="L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1"/>
      <c r="J12" s="112"/>
      <c r="K12" s="112"/>
      <c r="L12" s="111"/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1"/>
      <c r="J13" s="112"/>
      <c r="K13" s="112"/>
      <c r="L13" s="111"/>
      <c r="R13" s="102" t="s">
        <v>545</v>
      </c>
      <c r="S13" s="129"/>
      <c r="T13" s="102" t="s">
        <v>265</v>
      </c>
      <c r="U13" s="129"/>
      <c r="W13" s="129"/>
      <c r="X13" s="102" t="s">
        <v>247</v>
      </c>
      <c r="Z13" s="129"/>
      <c r="AA13" s="129"/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1"/>
      <c r="J14" s="112"/>
      <c r="K14" s="112"/>
      <c r="L14" s="111"/>
      <c r="P14" s="114"/>
      <c r="Q14" s="265"/>
      <c r="R14" s="115" t="s">
        <v>232</v>
      </c>
      <c r="S14" s="129" t="s">
        <v>275</v>
      </c>
      <c r="T14" s="102" t="s">
        <v>238</v>
      </c>
      <c r="U14" s="129"/>
      <c r="X14" s="115" t="s">
        <v>232</v>
      </c>
      <c r="Z14" s="129"/>
      <c r="AA14" s="129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1"/>
      <c r="J15" s="112"/>
      <c r="K15" s="112"/>
      <c r="L15" s="111"/>
      <c r="P15" s="266"/>
      <c r="Q15" s="265"/>
      <c r="R15" s="115"/>
      <c r="W15" s="129"/>
      <c r="Z15" s="129"/>
      <c r="AA15" s="129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1"/>
      <c r="J16" s="112"/>
      <c r="K16" s="112"/>
      <c r="L16" s="111"/>
      <c r="R16" s="274">
        <v>1152.1201952304518</v>
      </c>
      <c r="S16" s="284">
        <f>T16-R16</f>
        <v>5.7198047695480909</v>
      </c>
      <c r="T16" s="113">
        <v>1157.8399999999999</v>
      </c>
      <c r="U16" s="113"/>
      <c r="X16" s="129">
        <v>21.158014243080867</v>
      </c>
      <c r="Z16" s="129"/>
      <c r="AA16" s="129"/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1"/>
      <c r="J17" s="112"/>
      <c r="K17" s="112"/>
      <c r="L17" s="111"/>
      <c r="R17" s="113"/>
      <c r="T17" s="113">
        <f>T16*IRP_PTC_ESC!$Q3</f>
        <v>1556.9474479999999</v>
      </c>
      <c r="U17" s="113"/>
      <c r="V17" s="129"/>
      <c r="X17" s="277">
        <f t="shared" ref="X17:X23" si="1">X16*(1+IRP23_Infl_Rate)</f>
        <v>21.638301166494205</v>
      </c>
      <c r="Z17" s="129"/>
      <c r="AA17" s="129"/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1"/>
      <c r="J18" s="112"/>
      <c r="K18" s="112"/>
      <c r="L18" s="111"/>
      <c r="Q18" s="263"/>
      <c r="R18" s="113"/>
      <c r="T18" s="113">
        <f>T17*IRP_PTC_ESC!$Q4</f>
        <v>1556.9474479999999</v>
      </c>
      <c r="U18" s="113"/>
      <c r="V18" s="129"/>
      <c r="X18" s="277">
        <f t="shared" si="1"/>
        <v>22.12949060307119</v>
      </c>
      <c r="Z18" s="129"/>
      <c r="AA18" s="129"/>
      <c r="AB18" s="253"/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1"/>
      <c r="J19" s="112"/>
      <c r="K19" s="112"/>
      <c r="L19" s="111"/>
      <c r="P19" s="129">
        <f>Q19-I19</f>
        <v>0</v>
      </c>
      <c r="Q19" s="112">
        <v>0</v>
      </c>
      <c r="R19" s="113"/>
      <c r="T19" s="113">
        <f>T18*IRP_PTC_ESC!$Q5</f>
        <v>1556.9474479999999</v>
      </c>
      <c r="U19" s="284"/>
      <c r="W19" s="129"/>
      <c r="X19" s="277">
        <f t="shared" si="1"/>
        <v>22.631830039860688</v>
      </c>
      <c r="Y19" s="129"/>
      <c r="Z19" s="129"/>
      <c r="AA19" s="129"/>
    </row>
    <row r="20" spans="2:29">
      <c r="B20" s="109">
        <f t="shared" si="0"/>
        <v>2026</v>
      </c>
      <c r="C20" s="113"/>
      <c r="D20" s="111"/>
      <c r="E20" s="111"/>
      <c r="F20" s="165"/>
      <c r="G20" s="112"/>
      <c r="H20" s="111"/>
      <c r="I20" s="111"/>
      <c r="J20" s="112"/>
      <c r="K20" s="112"/>
      <c r="L20" s="111"/>
      <c r="P20" s="129">
        <f t="shared" ref="P20:P36" si="2">Q20-I20</f>
        <v>0</v>
      </c>
      <c r="Q20" s="112">
        <v>0</v>
      </c>
      <c r="S20" s="129"/>
      <c r="T20" s="113">
        <f>T19*IRP_PTC_ESC!$Q6</f>
        <v>1556.9474479999999</v>
      </c>
      <c r="U20" s="284"/>
      <c r="V20" s="129"/>
      <c r="W20" s="129"/>
      <c r="X20" s="277">
        <f t="shared" si="1"/>
        <v>23.145572581867572</v>
      </c>
      <c r="Y20" s="129"/>
      <c r="Z20" s="129"/>
      <c r="AA20" s="129"/>
    </row>
    <row r="21" spans="2:29">
      <c r="B21" s="109">
        <f t="shared" si="0"/>
        <v>2027</v>
      </c>
      <c r="C21" s="113"/>
      <c r="D21" s="111"/>
      <c r="E21" s="111"/>
      <c r="F21" s="165"/>
      <c r="G21" s="112"/>
      <c r="H21" s="111"/>
      <c r="I21" s="111"/>
      <c r="J21" s="112"/>
      <c r="K21" s="112"/>
      <c r="L21" s="111"/>
      <c r="P21" s="129">
        <f t="shared" si="2"/>
        <v>0</v>
      </c>
      <c r="Q21" s="112">
        <v>0</v>
      </c>
      <c r="S21" s="129"/>
      <c r="T21" s="113">
        <f>T20*IRP_PTC_ESC!$Q7</f>
        <v>1556.9474479999999</v>
      </c>
      <c r="U21" s="284"/>
      <c r="V21" s="129"/>
      <c r="W21" s="129"/>
      <c r="X21" s="277">
        <f t="shared" si="1"/>
        <v>23.670977079580329</v>
      </c>
      <c r="Y21" s="129"/>
      <c r="Z21" s="129"/>
      <c r="AA21" s="129"/>
    </row>
    <row r="22" spans="2:29">
      <c r="B22" s="109">
        <f t="shared" si="0"/>
        <v>2028</v>
      </c>
      <c r="C22" s="113"/>
      <c r="D22" s="111"/>
      <c r="E22" s="111"/>
      <c r="F22" s="165"/>
      <c r="G22" s="112"/>
      <c r="H22" s="111"/>
      <c r="I22" s="111"/>
      <c r="J22" s="112"/>
      <c r="K22" s="112"/>
      <c r="L22" s="111"/>
      <c r="P22" s="129">
        <f t="shared" si="2"/>
        <v>0</v>
      </c>
      <c r="Q22" s="112">
        <v>0</v>
      </c>
      <c r="S22" s="129"/>
      <c r="T22" s="113">
        <f>T21*IRP_PTC_ESC!$Q8</f>
        <v>1556.9474479999999</v>
      </c>
      <c r="U22" s="284"/>
      <c r="V22" s="129"/>
      <c r="W22" s="129"/>
      <c r="X22" s="277">
        <f t="shared" si="1"/>
        <v>24.208308259393533</v>
      </c>
      <c r="Y22" s="129"/>
      <c r="Z22" s="129"/>
      <c r="AA22" s="129"/>
    </row>
    <row r="23" spans="2:29">
      <c r="B23" s="109">
        <f t="shared" si="0"/>
        <v>2029</v>
      </c>
      <c r="C23" s="307">
        <f>T23</f>
        <v>1477.543128152</v>
      </c>
      <c r="D23" s="111">
        <f>C23*$C$62</f>
        <v>74.704580559365112</v>
      </c>
      <c r="E23" s="281">
        <f>IRP_LTReport!$L$54</f>
        <v>24.420819896455722</v>
      </c>
      <c r="F23" s="165">
        <f t="shared" ref="F23" si="3">$C$60</f>
        <v>9.2763534735238604</v>
      </c>
      <c r="G23" s="112">
        <f t="shared" ref="G23:G37" si="4">(D23+E23+F23)/(8.76*$C$63)</f>
        <v>44.361366237796972</v>
      </c>
      <c r="H23" s="111"/>
      <c r="I23" s="111">
        <v>-39.78</v>
      </c>
      <c r="J23" s="112">
        <f t="shared" ref="J23:J37" si="5">(G23+H23+I23)</f>
        <v>4.5813662377969706</v>
      </c>
      <c r="K23" s="112">
        <f t="shared" ref="K23:K37" si="6">ROUND(J23*$C$63*8.76,2)</f>
        <v>11.2</v>
      </c>
      <c r="L23" s="111">
        <f t="shared" ref="L23:L37" si="7">(D23+E23+F23)</f>
        <v>108.40175392934469</v>
      </c>
      <c r="P23" s="129">
        <f t="shared" si="2"/>
        <v>1.9610979506978765E-12</v>
      </c>
      <c r="Q23" s="112">
        <v>-39.77999999999804</v>
      </c>
      <c r="S23" s="129"/>
      <c r="T23" s="113">
        <f>T22*IRP_PTC_ESC!$Q9</f>
        <v>1477.543128152</v>
      </c>
      <c r="U23" s="284">
        <f>T23-C23</f>
        <v>0</v>
      </c>
      <c r="V23" s="129"/>
      <c r="W23" s="129"/>
      <c r="X23" s="277">
        <f t="shared" si="1"/>
        <v>24.75783685699092</v>
      </c>
      <c r="Y23" s="129">
        <f t="shared" ref="Y23" si="8">X23-E23</f>
        <v>0.33701696053519825</v>
      </c>
      <c r="Z23" s="129"/>
      <c r="AA23" s="129"/>
    </row>
    <row r="24" spans="2:29">
      <c r="B24" s="109">
        <f t="shared" si="0"/>
        <v>2030</v>
      </c>
      <c r="C24" s="113"/>
      <c r="D24" s="111">
        <f t="shared" ref="D24:F37" si="9">ROUND(D23*(1+IRP23_Infl_Rate),2)</f>
        <v>76.400000000000006</v>
      </c>
      <c r="E24" s="111">
        <f t="shared" si="9"/>
        <v>24.98</v>
      </c>
      <c r="F24" s="111">
        <f t="shared" si="9"/>
        <v>9.49</v>
      </c>
      <c r="G24" s="112">
        <f t="shared" si="4"/>
        <v>45.37144922941269</v>
      </c>
      <c r="H24" s="111"/>
      <c r="I24" s="111">
        <v>-39.78</v>
      </c>
      <c r="J24" s="112">
        <f t="shared" si="5"/>
        <v>5.5914492294126887</v>
      </c>
      <c r="K24" s="112">
        <f t="shared" si="6"/>
        <v>13.66</v>
      </c>
      <c r="L24" s="111">
        <f t="shared" si="7"/>
        <v>110.87</v>
      </c>
      <c r="P24" s="129">
        <f t="shared" si="2"/>
        <v>1.2207049877588361E-6</v>
      </c>
      <c r="Q24" s="112">
        <v>-39.779998779295013</v>
      </c>
      <c r="S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9"/>
        <v>78.13</v>
      </c>
      <c r="E25" s="111">
        <f t="shared" si="9"/>
        <v>25.55</v>
      </c>
      <c r="F25" s="111">
        <f t="shared" ref="F25" si="10">ROUND(F24*(1+IRP23_Infl_Rate),2)</f>
        <v>9.7100000000000009</v>
      </c>
      <c r="G25" s="112">
        <f t="shared" si="4"/>
        <v>46.402711537143539</v>
      </c>
      <c r="H25" s="111"/>
      <c r="I25" s="111">
        <v>-41.11</v>
      </c>
      <c r="J25" s="112">
        <f t="shared" si="5"/>
        <v>5.2927115371435391</v>
      </c>
      <c r="K25" s="112">
        <f t="shared" si="6"/>
        <v>12.93</v>
      </c>
      <c r="L25" s="111">
        <f t="shared" si="7"/>
        <v>113.38999999999999</v>
      </c>
      <c r="P25" s="129">
        <f t="shared" si="2"/>
        <v>2.1742607714259066E-12</v>
      </c>
      <c r="Q25" s="112">
        <v>-41.109999999997825</v>
      </c>
      <c r="S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9"/>
        <v>79.900000000000006</v>
      </c>
      <c r="E26" s="111">
        <f t="shared" si="9"/>
        <v>26.13</v>
      </c>
      <c r="F26" s="111">
        <f t="shared" ref="F26" si="11">ROUND(F25*(1+IRP23_Infl_Rate),2)</f>
        <v>9.93</v>
      </c>
      <c r="G26" s="112">
        <f t="shared" si="4"/>
        <v>47.454435398599223</v>
      </c>
      <c r="H26" s="111"/>
      <c r="I26" s="111">
        <v>-41.11</v>
      </c>
      <c r="J26" s="112">
        <f t="shared" si="5"/>
        <v>6.3444353985992237</v>
      </c>
      <c r="K26" s="112">
        <f t="shared" si="6"/>
        <v>15.5</v>
      </c>
      <c r="L26" s="111">
        <f t="shared" si="7"/>
        <v>115.96000000000001</v>
      </c>
      <c r="P26" s="129">
        <f t="shared" si="2"/>
        <v>-6.1034663190184801E-7</v>
      </c>
      <c r="Q26" s="112">
        <v>-41.110000610346631</v>
      </c>
      <c r="S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9"/>
        <v>81.709999999999994</v>
      </c>
      <c r="E27" s="111">
        <f t="shared" si="9"/>
        <v>26.72</v>
      </c>
      <c r="F27" s="111">
        <f t="shared" ref="F27" si="12">ROUND(F26*(1+IRP23_Infl_Rate),2)</f>
        <v>10.16</v>
      </c>
      <c r="G27" s="112">
        <f t="shared" si="4"/>
        <v>48.530713124524674</v>
      </c>
      <c r="H27" s="111"/>
      <c r="I27" s="111">
        <v>-42.43</v>
      </c>
      <c r="J27" s="112">
        <f t="shared" si="5"/>
        <v>6.100713124524674</v>
      </c>
      <c r="K27" s="112">
        <f t="shared" si="6"/>
        <v>14.91</v>
      </c>
      <c r="L27" s="111">
        <f t="shared" si="7"/>
        <v>118.58999999999999</v>
      </c>
      <c r="P27" s="129">
        <f t="shared" si="2"/>
        <v>-3.0517315252609478E-7</v>
      </c>
      <c r="Q27" s="112">
        <v>-42.430000305173152</v>
      </c>
      <c r="S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9"/>
        <v>83.56</v>
      </c>
      <c r="E28" s="111">
        <f t="shared" si="9"/>
        <v>27.33</v>
      </c>
      <c r="F28" s="111">
        <f t="shared" ref="F28" si="13">ROUND(F27*(1+IRP23_Infl_Rate),2)</f>
        <v>10.39</v>
      </c>
      <c r="G28" s="112">
        <f t="shared" si="4"/>
        <v>49.631544714919912</v>
      </c>
      <c r="H28" s="111"/>
      <c r="I28" s="111">
        <v>-43.76</v>
      </c>
      <c r="J28" s="112">
        <f t="shared" si="5"/>
        <v>5.8715447149199136</v>
      </c>
      <c r="K28" s="112">
        <f t="shared" si="6"/>
        <v>14.35</v>
      </c>
      <c r="L28" s="111">
        <f t="shared" si="7"/>
        <v>121.28</v>
      </c>
      <c r="P28" s="129">
        <f t="shared" si="2"/>
        <v>2.2879476091475226E-12</v>
      </c>
      <c r="Q28" s="112">
        <v>-43.75999999999771</v>
      </c>
      <c r="S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9"/>
        <v>85.46</v>
      </c>
      <c r="E29" s="111">
        <f t="shared" si="9"/>
        <v>27.95</v>
      </c>
      <c r="F29" s="111">
        <f t="shared" ref="F29" si="14">ROUND(F28*(1+IRP23_Infl_Rate),2)</f>
        <v>10.63</v>
      </c>
      <c r="G29" s="112">
        <f t="shared" si="4"/>
        <v>50.761022480529896</v>
      </c>
      <c r="H29" s="111"/>
      <c r="I29" s="111">
        <v>-43.76</v>
      </c>
      <c r="J29" s="112">
        <f t="shared" si="5"/>
        <v>7.0010224805298975</v>
      </c>
      <c r="K29" s="112">
        <f t="shared" si="6"/>
        <v>17.11</v>
      </c>
      <c r="L29" s="111">
        <f t="shared" si="7"/>
        <v>124.03999999999999</v>
      </c>
      <c r="P29" s="129">
        <f t="shared" si="2"/>
        <v>1.6784687488780037E-6</v>
      </c>
      <c r="Q29" s="112">
        <v>-43.759998321531249</v>
      </c>
      <c r="S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9"/>
        <v>87.4</v>
      </c>
      <c r="E30" s="111">
        <f t="shared" si="9"/>
        <v>28.58</v>
      </c>
      <c r="F30" s="111">
        <f t="shared" ref="F30" si="15">ROUND(F29*(1+IRP23_Infl_Rate),2)</f>
        <v>10.87</v>
      </c>
      <c r="G30" s="112">
        <f t="shared" si="4"/>
        <v>51.910961799864708</v>
      </c>
      <c r="H30" s="111"/>
      <c r="I30" s="111">
        <v>-45.09</v>
      </c>
      <c r="J30" s="112">
        <f t="shared" si="5"/>
        <v>6.8209617998647047</v>
      </c>
      <c r="K30" s="112">
        <f t="shared" si="6"/>
        <v>16.670000000000002</v>
      </c>
      <c r="L30" s="111">
        <f t="shared" si="7"/>
        <v>126.85000000000001</v>
      </c>
      <c r="P30" s="129">
        <f t="shared" si="2"/>
        <v>9.9981689469075263E-3</v>
      </c>
      <c r="Q30" s="112">
        <v>-45.080001831053096</v>
      </c>
      <c r="S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9"/>
        <v>89.38</v>
      </c>
      <c r="E31" s="111">
        <f t="shared" si="9"/>
        <v>29.23</v>
      </c>
      <c r="F31" s="111">
        <f t="shared" ref="F31" si="16">ROUND(F30*(1+IRP23_Infl_Rate),2)</f>
        <v>11.12</v>
      </c>
      <c r="G31" s="112">
        <f t="shared" si="4"/>
        <v>53.089547294414245</v>
      </c>
      <c r="H31" s="111"/>
      <c r="I31" s="111">
        <v>-46.41</v>
      </c>
      <c r="J31" s="112">
        <f t="shared" si="5"/>
        <v>6.6795472944142489</v>
      </c>
      <c r="K31" s="112">
        <f t="shared" si="6"/>
        <v>16.32</v>
      </c>
      <c r="L31" s="111">
        <f t="shared" si="7"/>
        <v>129.72999999999999</v>
      </c>
      <c r="P31" s="129">
        <f t="shared" si="2"/>
        <v>2.3021584638627246E-12</v>
      </c>
      <c r="Q31" s="112">
        <v>-46.409999999997694</v>
      </c>
      <c r="S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9"/>
        <v>91.41</v>
      </c>
      <c r="E32" s="111">
        <f t="shared" si="9"/>
        <v>29.89</v>
      </c>
      <c r="F32" s="111">
        <f t="shared" ref="F32" si="17">ROUND(F31*(1+IRP23_Infl_Rate),2)</f>
        <v>11.37</v>
      </c>
      <c r="G32" s="112">
        <f t="shared" si="4"/>
        <v>54.292686653433577</v>
      </c>
      <c r="H32" s="111"/>
      <c r="I32" s="111">
        <v>-46.41</v>
      </c>
      <c r="J32" s="112">
        <f t="shared" si="5"/>
        <v>7.8826866534335807</v>
      </c>
      <c r="K32" s="112">
        <f t="shared" si="6"/>
        <v>19.260000000000002</v>
      </c>
      <c r="L32" s="111">
        <f t="shared" si="7"/>
        <v>132.66999999999999</v>
      </c>
      <c r="P32" s="129">
        <f t="shared" si="2"/>
        <v>1.525901112131578E-7</v>
      </c>
      <c r="Q32" s="112">
        <v>-46.409999847409885</v>
      </c>
      <c r="S32" s="129"/>
      <c r="V32" s="129"/>
      <c r="W32" s="129"/>
      <c r="Y32" s="129"/>
      <c r="Z32" s="129"/>
      <c r="AA32" s="129"/>
    </row>
    <row r="33" spans="2:17">
      <c r="B33" s="109">
        <f t="shared" si="0"/>
        <v>2039</v>
      </c>
      <c r="C33" s="113"/>
      <c r="D33" s="111">
        <f t="shared" si="9"/>
        <v>93.49</v>
      </c>
      <c r="E33" s="111">
        <f t="shared" si="9"/>
        <v>30.57</v>
      </c>
      <c r="F33" s="111">
        <f t="shared" ref="F33" si="18">ROUND(F32*(1+IRP23_Infl_Rate),2)</f>
        <v>11.63</v>
      </c>
      <c r="G33" s="112">
        <f t="shared" si="4"/>
        <v>55.528564498412621</v>
      </c>
      <c r="H33" s="111"/>
      <c r="I33" s="111"/>
      <c r="J33" s="112">
        <f t="shared" si="5"/>
        <v>55.528564498412621</v>
      </c>
      <c r="K33" s="112">
        <f t="shared" si="6"/>
        <v>135.69</v>
      </c>
      <c r="L33" s="111">
        <f t="shared" si="7"/>
        <v>135.69</v>
      </c>
      <c r="P33" s="129">
        <f t="shared" si="2"/>
        <v>0</v>
      </c>
      <c r="Q33" s="112">
        <v>0</v>
      </c>
    </row>
    <row r="34" spans="2:17">
      <c r="B34" s="109">
        <f t="shared" si="0"/>
        <v>2040</v>
      </c>
      <c r="C34" s="113"/>
      <c r="D34" s="111">
        <f t="shared" si="9"/>
        <v>95.61</v>
      </c>
      <c r="E34" s="111">
        <f t="shared" si="9"/>
        <v>31.26</v>
      </c>
      <c r="F34" s="111">
        <f t="shared" ref="F34" si="19">ROUND(F33*(1+IRP23_Infl_Rate),2)</f>
        <v>11.89</v>
      </c>
      <c r="G34" s="112">
        <f t="shared" si="4"/>
        <v>56.784903897116479</v>
      </c>
      <c r="H34" s="111"/>
      <c r="I34" s="111"/>
      <c r="J34" s="112">
        <f t="shared" si="5"/>
        <v>56.784903897116479</v>
      </c>
      <c r="K34" s="112">
        <f t="shared" si="6"/>
        <v>138.76</v>
      </c>
      <c r="L34" s="111">
        <f t="shared" si="7"/>
        <v>138.76</v>
      </c>
      <c r="P34" s="129">
        <f t="shared" si="2"/>
        <v>0</v>
      </c>
      <c r="Q34" s="112">
        <v>0</v>
      </c>
    </row>
    <row r="35" spans="2:17">
      <c r="B35" s="109">
        <f t="shared" si="0"/>
        <v>2041</v>
      </c>
      <c r="C35" s="113"/>
      <c r="D35" s="111">
        <f t="shared" si="9"/>
        <v>97.78</v>
      </c>
      <c r="E35" s="111">
        <f t="shared" si="9"/>
        <v>31.97</v>
      </c>
      <c r="F35" s="111">
        <f t="shared" ref="F35" si="20">ROUND(F34*(1+IRP23_Infl_Rate),2)</f>
        <v>12.16</v>
      </c>
      <c r="G35" s="112">
        <f t="shared" si="4"/>
        <v>58.073981781780056</v>
      </c>
      <c r="H35" s="111"/>
      <c r="I35" s="111"/>
      <c r="J35" s="112">
        <f t="shared" si="5"/>
        <v>58.073981781780056</v>
      </c>
      <c r="K35" s="112">
        <f t="shared" si="6"/>
        <v>141.91</v>
      </c>
      <c r="L35" s="111">
        <f t="shared" si="7"/>
        <v>141.91</v>
      </c>
      <c r="P35" s="129">
        <f t="shared" si="2"/>
        <v>0</v>
      </c>
      <c r="Q35" s="112">
        <v>0</v>
      </c>
    </row>
    <row r="36" spans="2:17">
      <c r="B36" s="109">
        <f t="shared" si="0"/>
        <v>2042</v>
      </c>
      <c r="C36" s="113"/>
      <c r="D36" s="111">
        <f t="shared" si="9"/>
        <v>100</v>
      </c>
      <c r="E36" s="111">
        <f t="shared" si="9"/>
        <v>32.700000000000003</v>
      </c>
      <c r="F36" s="111">
        <f t="shared" ref="F36" si="21">ROUND(F35*(1+IRP23_Infl_Rate),2)</f>
        <v>12.44</v>
      </c>
      <c r="G36" s="112">
        <f t="shared" si="4"/>
        <v>59.39579815240333</v>
      </c>
      <c r="H36" s="111"/>
      <c r="I36" s="111"/>
      <c r="J36" s="112">
        <f t="shared" si="5"/>
        <v>59.39579815240333</v>
      </c>
      <c r="K36" s="112">
        <f t="shared" si="6"/>
        <v>145.13999999999999</v>
      </c>
      <c r="L36" s="111">
        <f t="shared" si="7"/>
        <v>145.13999999999999</v>
      </c>
      <c r="P36" s="129">
        <f t="shared" si="2"/>
        <v>0</v>
      </c>
      <c r="Q36" s="112">
        <v>0</v>
      </c>
    </row>
    <row r="37" spans="2:17">
      <c r="B37" s="109">
        <f t="shared" si="0"/>
        <v>2043</v>
      </c>
      <c r="C37" s="113"/>
      <c r="D37" s="111">
        <f t="shared" si="9"/>
        <v>102.27</v>
      </c>
      <c r="E37" s="111">
        <f t="shared" si="9"/>
        <v>33.44</v>
      </c>
      <c r="F37" s="111">
        <f t="shared" ref="F37" si="22">ROUND(F36*(1+IRP23_Infl_Rate),2)</f>
        <v>12.72</v>
      </c>
      <c r="G37" s="112">
        <f t="shared" si="4"/>
        <v>60.742168387496385</v>
      </c>
      <c r="H37" s="111"/>
      <c r="I37" s="111"/>
      <c r="J37" s="112">
        <f t="shared" si="5"/>
        <v>60.742168387496385</v>
      </c>
      <c r="K37" s="112">
        <f t="shared" si="6"/>
        <v>148.43</v>
      </c>
      <c r="L37" s="111">
        <f t="shared" si="7"/>
        <v>148.42999999999998</v>
      </c>
      <c r="Q37" s="112"/>
    </row>
    <row r="38" spans="2:17">
      <c r="B38" s="109"/>
      <c r="C38" s="113"/>
      <c r="D38" s="111"/>
      <c r="E38" s="111"/>
      <c r="F38" s="111"/>
      <c r="G38" s="112"/>
      <c r="H38" s="111"/>
      <c r="I38" s="111"/>
      <c r="J38" s="112"/>
      <c r="K38" s="112"/>
      <c r="L38" s="116"/>
    </row>
    <row r="39" spans="2:17">
      <c r="B39" s="109"/>
      <c r="C39" s="113"/>
      <c r="D39" s="111"/>
      <c r="E39" s="111"/>
      <c r="F39" s="111"/>
      <c r="G39" s="112"/>
      <c r="H39" s="111"/>
      <c r="I39" s="111"/>
      <c r="J39" s="287">
        <f>-PMT(Discount_Rate,COUNT(J20:J37),NPV(Discount_Rate,J20:J37))</f>
        <v>18.091330787669655</v>
      </c>
      <c r="K39" s="287">
        <f>-PMT(Discount_Rate,COUNT(K20:K37),NPV(Discount_Rate,K20:K37))</f>
        <v>44.20810730105736</v>
      </c>
      <c r="L39" s="287">
        <f>-PMT(Discount_Rate,COUNT(L20:L37),NPV(Discount_Rate,L20:L37))</f>
        <v>124.02998766422161</v>
      </c>
    </row>
    <row r="40" spans="2:17">
      <c r="B40" s="109"/>
      <c r="C40" s="113"/>
      <c r="D40" s="111"/>
      <c r="E40" s="111"/>
      <c r="F40" s="111"/>
      <c r="G40" s="112"/>
      <c r="H40" s="111"/>
      <c r="I40" s="111"/>
      <c r="J40" s="111"/>
      <c r="K40" s="112"/>
      <c r="L40" s="112"/>
      <c r="M40" s="116"/>
    </row>
    <row r="42" spans="2:17" ht="14.25">
      <c r="B42" s="117" t="s">
        <v>25</v>
      </c>
      <c r="C42" s="118"/>
      <c r="D42" s="118"/>
      <c r="E42" s="118"/>
      <c r="F42" s="118"/>
      <c r="G42" s="118"/>
      <c r="H42" s="118"/>
      <c r="I42" s="118"/>
    </row>
    <row r="44" spans="2:17">
      <c r="B44" s="102" t="s">
        <v>63</v>
      </c>
      <c r="C44" s="119" t="s">
        <v>64</v>
      </c>
      <c r="D44" s="230" t="s">
        <v>231</v>
      </c>
    </row>
    <row r="45" spans="2:17">
      <c r="C45" s="119" t="str">
        <f>C7</f>
        <v>(a)</v>
      </c>
      <c r="D45" s="102" t="s">
        <v>65</v>
      </c>
    </row>
    <row r="46" spans="2:17">
      <c r="C46" s="119" t="str">
        <f>D7</f>
        <v>(b)</v>
      </c>
      <c r="D46" s="112" t="str">
        <f>"= "&amp;C7&amp;" x "&amp;C62</f>
        <v>= (a) x 0.05056</v>
      </c>
    </row>
    <row r="47" spans="2:17">
      <c r="C47" s="119" t="str">
        <f>F7</f>
        <v>(d)</v>
      </c>
      <c r="D47" s="112" t="str">
        <f>"= ("&amp;$D$7&amp;" + "&amp;$E$7&amp;") /  (8.76 x "&amp;TEXT(C63,"0.0%")&amp;")"</f>
        <v>= ((b) + (c)) /  (8.76 x 27.9%)</v>
      </c>
    </row>
    <row r="48" spans="2:17">
      <c r="C48" s="119" t="str">
        <f>J7</f>
        <v>(g)</v>
      </c>
      <c r="D48" s="112" t="str">
        <f>"= "&amp;$G$7&amp;" + "&amp;$H$7</f>
        <v>= (e) + (f)</v>
      </c>
    </row>
    <row r="49" spans="2:20">
      <c r="C49" s="119" t="str">
        <f>K7</f>
        <v>(h)</v>
      </c>
      <c r="D49" t="str">
        <f>D44</f>
        <v>Plant Costs  - 2023 IRP - Table 7.1 &amp; 7.2</v>
      </c>
    </row>
    <row r="50" spans="2:20">
      <c r="C50" s="119"/>
      <c r="D50" s="112"/>
    </row>
    <row r="51" spans="2:20" ht="13.5" thickBot="1"/>
    <row r="52" spans="2:20" ht="13.5" thickBot="1">
      <c r="C52" s="38" t="str">
        <f>B2&amp;" - "&amp;B3</f>
        <v>PVS.PX.GOE.1.A43.PV - 28% Capacity Factor</v>
      </c>
      <c r="D52" s="120"/>
      <c r="E52" s="120"/>
      <c r="F52" s="120"/>
      <c r="G52" s="120"/>
      <c r="H52" s="120"/>
      <c r="I52" s="120"/>
      <c r="J52" s="121"/>
      <c r="K52" s="121"/>
      <c r="L52" s="122"/>
    </row>
    <row r="53" spans="2:20" ht="13.5" thickBot="1">
      <c r="C53" s="123"/>
      <c r="D53" s="124" t="s">
        <v>67</v>
      </c>
      <c r="E53" s="124"/>
      <c r="F53" s="124"/>
      <c r="G53" s="124"/>
      <c r="H53" s="124"/>
      <c r="I53" s="125"/>
      <c r="J53" s="121"/>
      <c r="K53" s="121"/>
      <c r="L53" s="122"/>
    </row>
    <row r="54" spans="2:20">
      <c r="Q54" s="102" t="s">
        <v>98</v>
      </c>
      <c r="R54" s="102">
        <v>2029</v>
      </c>
      <c r="S54" s="273"/>
      <c r="T54" s="273" t="s">
        <v>389</v>
      </c>
    </row>
    <row r="55" spans="2:20">
      <c r="B55" t="s">
        <v>152</v>
      </c>
      <c r="C55" s="267"/>
      <c r="D55" s="102" t="s">
        <v>65</v>
      </c>
      <c r="P55" s="226">
        <v>200</v>
      </c>
      <c r="Q55" s="102" t="s">
        <v>32</v>
      </c>
      <c r="S55" s="273"/>
    </row>
    <row r="56" spans="2:20">
      <c r="B56" t="s">
        <v>152</v>
      </c>
      <c r="C56" s="126"/>
      <c r="D56" s="102" t="s">
        <v>68</v>
      </c>
    </row>
    <row r="57" spans="2:20" ht="24" customHeight="1">
      <c r="B57"/>
      <c r="C57" s="129"/>
      <c r="D57" s="102" t="s">
        <v>99</v>
      </c>
      <c r="R57" s="175"/>
    </row>
    <row r="58" spans="2:20">
      <c r="B58" t="s">
        <v>152</v>
      </c>
      <c r="C58" s="126"/>
      <c r="D58" s="102" t="s">
        <v>69</v>
      </c>
      <c r="M58" s="268"/>
      <c r="N58" s="46"/>
      <c r="O58" s="135"/>
      <c r="P58" s="46"/>
      <c r="Q58" s="46"/>
    </row>
    <row r="59" spans="2:20">
      <c r="B59"/>
      <c r="C59" s="133"/>
      <c r="D59" s="102" t="s">
        <v>70</v>
      </c>
      <c r="J59" s="269" t="s">
        <v>90</v>
      </c>
      <c r="M59" s="270"/>
      <c r="N59" s="128"/>
      <c r="P59" s="127"/>
    </row>
    <row r="60" spans="2:20">
      <c r="B60" s="250" t="str">
        <f>LEFT(RIGHT(INDEX('Table 3 TransCost'!$39:$39,1,MATCH(F60,'Table 3 TransCost'!$4:$4,0)),6),5)</f>
        <v>2029$</v>
      </c>
      <c r="C60" s="223">
        <f>IFERROR(INDEX('Table 3 TransCost'!$39:$39,1,MATCH(F60,'Table 3 TransCost'!$4:$4,0)+2),0)</f>
        <v>9.2763534735238604</v>
      </c>
      <c r="D60" s="102" t="s">
        <v>137</v>
      </c>
      <c r="F60" t="s">
        <v>430</v>
      </c>
      <c r="L60" s="270"/>
      <c r="M60" s="270"/>
      <c r="N60" s="270"/>
      <c r="P60" s="127"/>
    </row>
    <row r="61" spans="2:20">
      <c r="B61"/>
      <c r="C61" s="166"/>
      <c r="L61" s="270"/>
      <c r="M61" s="270"/>
      <c r="N61" s="270"/>
      <c r="P61" s="270"/>
    </row>
    <row r="62" spans="2:20">
      <c r="C62" s="271">
        <v>5.0559999999999994E-2</v>
      </c>
      <c r="D62" s="102" t="s">
        <v>36</v>
      </c>
      <c r="E62" s="257"/>
      <c r="L62" s="229"/>
      <c r="M62" s="131"/>
      <c r="N62" s="131"/>
      <c r="P62" s="132"/>
    </row>
    <row r="63" spans="2:20">
      <c r="C63" s="272">
        <v>0.27895059357855467</v>
      </c>
      <c r="D63" s="102" t="s">
        <v>37</v>
      </c>
    </row>
    <row r="64" spans="2:20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3" orientation="landscape" r:id="rId1"/>
  <headerFooter alignWithMargins="0"/>
  <rowBreaks count="1" manualBreakCount="1">
    <brk id="51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D4C85-54F8-4AC8-9F0E-CB43FD530EA7}">
  <sheetPr>
    <tabColor rgb="FFFFC000"/>
    <pageSetUpPr fitToPage="1"/>
  </sheetPr>
  <dimension ref="B1:AC91"/>
  <sheetViews>
    <sheetView zoomScale="70" zoomScaleNormal="70" workbookViewId="0">
      <selection activeCell="C19" sqref="C19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1.1640625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23.5" style="102" customWidth="1"/>
    <col min="19" max="19" width="18.1640625" style="102" customWidth="1"/>
    <col min="20" max="20" width="9.33203125" style="102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7" ht="15.75">
      <c r="B2" s="100" t="str">
        <f>S54</f>
        <v>PVS.PX.UTS._.SER.BAT</v>
      </c>
      <c r="C2" s="101"/>
      <c r="D2" s="101"/>
      <c r="E2" s="101"/>
      <c r="F2" s="101"/>
      <c r="G2" s="101"/>
      <c r="H2" s="101"/>
      <c r="I2" s="101"/>
      <c r="J2" s="101"/>
    </row>
    <row r="3" spans="2:27" ht="15.75">
      <c r="B3" s="100" t="str">
        <f>TEXT($C$63,"0%")&amp;" Capacity Factor"</f>
        <v>6% Capacity Factor</v>
      </c>
      <c r="C3" s="101"/>
      <c r="D3" s="101"/>
      <c r="E3" s="101"/>
      <c r="F3" s="101"/>
      <c r="G3" s="101"/>
      <c r="H3" s="101"/>
      <c r="I3" s="101"/>
      <c r="J3" s="101"/>
    </row>
    <row r="4" spans="2:27">
      <c r="B4" s="101"/>
      <c r="C4" s="101"/>
      <c r="D4" s="101"/>
      <c r="E4" s="101"/>
      <c r="F4" s="101"/>
      <c r="G4" s="101"/>
      <c r="H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Q6" s="102" t="s">
        <v>277</v>
      </c>
      <c r="S6" s="102" t="s">
        <v>265</v>
      </c>
      <c r="V6" s="129"/>
      <c r="W6" s="129"/>
    </row>
    <row r="7" spans="2:27" ht="25.5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  <c r="Q7" s="115" t="s">
        <v>232</v>
      </c>
      <c r="R7" s="129" t="s">
        <v>275</v>
      </c>
      <c r="S7" s="175" t="s">
        <v>238</v>
      </c>
      <c r="U7" s="129" t="s">
        <v>276</v>
      </c>
      <c r="W7" s="102" t="s">
        <v>247</v>
      </c>
    </row>
    <row r="8" spans="2:27" ht="18.75" customHeight="1">
      <c r="Q8" s="115"/>
      <c r="S8" s="102" t="s">
        <v>274</v>
      </c>
      <c r="T8" s="129"/>
      <c r="W8" s="115" t="s">
        <v>232</v>
      </c>
    </row>
    <row r="9" spans="2:27" ht="15.75">
      <c r="B9" s="39" t="str">
        <f>C52</f>
        <v>PVS.PX.UTS._.SER.BAT - 6%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>
        <f t="shared" ref="K13:K37" si="1">(D13+E13+F13)</f>
        <v>0</v>
      </c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>
        <f t="shared" si="1"/>
        <v>0</v>
      </c>
      <c r="O14" s="114"/>
      <c r="P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>
        <f t="shared" si="1"/>
        <v>0</v>
      </c>
      <c r="O15" s="266"/>
      <c r="P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>
        <f t="shared" si="1"/>
        <v>0</v>
      </c>
      <c r="Q16" s="274">
        <v>1728.6589634669394</v>
      </c>
      <c r="R16" s="129">
        <f>S16-Q16</f>
        <v>-6.1889634669394127</v>
      </c>
      <c r="S16" s="102">
        <v>1722.47</v>
      </c>
      <c r="W16" s="277">
        <v>40.308364530000006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>
        <f t="shared" si="1"/>
        <v>0</v>
      </c>
      <c r="O17" s="114"/>
      <c r="Q17" s="277"/>
      <c r="R17" s="277"/>
      <c r="S17" s="102">
        <f>S16*IRP_PTC_ESC!$AJ3</f>
        <v>1809.626982</v>
      </c>
      <c r="T17" s="129"/>
      <c r="W17" s="277">
        <f>W16*(1+IRP23_Infl_Rate)</f>
        <v>41.223364405012759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>
        <f t="shared" si="1"/>
        <v>0</v>
      </c>
      <c r="P18" s="263"/>
      <c r="Q18" s="277"/>
      <c r="R18" s="277"/>
      <c r="S18" s="102">
        <f>S17*IRP_PTC_ESC!$AJ4</f>
        <v>1809.626982</v>
      </c>
      <c r="T18" s="129"/>
      <c r="W18" s="277">
        <f>W17*(1+IRP23_Infl_Rate)</f>
        <v>42.159134777192428</v>
      </c>
      <c r="AC18" s="227"/>
    </row>
    <row r="19" spans="2:29">
      <c r="B19" s="109">
        <f t="shared" si="0"/>
        <v>2025</v>
      </c>
      <c r="C19" s="274">
        <f>IRP_LTReport!R20</f>
        <v>1809.627071361519</v>
      </c>
      <c r="D19" s="111">
        <f>C19*$C$62</f>
        <v>152.09915534793566</v>
      </c>
      <c r="E19" s="281">
        <f>IRP_LTReport!L20</f>
        <v>46.340000000011642</v>
      </c>
      <c r="F19" s="165">
        <f>$C$60</f>
        <v>0</v>
      </c>
      <c r="G19" s="112">
        <f t="shared" ref="G19:G37" si="2">(D19+E19+F19)/(8.76*$C$63)</f>
        <v>385.6085807276927</v>
      </c>
      <c r="H19" s="111"/>
      <c r="I19" s="112">
        <f t="shared" ref="I19:I37" si="3">(G19+H19)</f>
        <v>385.6085807276927</v>
      </c>
      <c r="J19" s="112">
        <f t="shared" ref="J19:J37" si="4">ROUND(I19*$C$63*8.76,2)</f>
        <v>198.44</v>
      </c>
      <c r="K19" s="301">
        <f t="shared" si="1"/>
        <v>198.43915534794729</v>
      </c>
      <c r="P19" s="263"/>
      <c r="Q19" s="277"/>
      <c r="R19" s="277"/>
      <c r="S19" s="102">
        <f>S18*IRP_PTC_ESC!$AJ5</f>
        <v>1809.626982</v>
      </c>
      <c r="U19" s="129">
        <f>S19-C19</f>
        <v>-8.9361519030717318E-5</v>
      </c>
      <c r="W19" s="277">
        <f>W18*(1+IRP23_Infl_Rate)</f>
        <v>43.116147136824793</v>
      </c>
      <c r="X19" s="129">
        <f>W19-E19</f>
        <v>-3.223852863186849</v>
      </c>
      <c r="Y19" s="273" t="s">
        <v>278</v>
      </c>
    </row>
    <row r="20" spans="2:29">
      <c r="B20" s="109">
        <f t="shared" si="0"/>
        <v>2026</v>
      </c>
      <c r="C20" s="113"/>
      <c r="D20" s="111">
        <f t="shared" ref="D20:E35" si="5">ROUND(D19*(1+IRP23_Infl_Rate),2)</f>
        <v>155.55000000000001</v>
      </c>
      <c r="E20" s="111">
        <f t="shared" si="5"/>
        <v>47.39</v>
      </c>
      <c r="F20" s="165">
        <f t="shared" ref="F20:F37" si="6">$C$60</f>
        <v>0</v>
      </c>
      <c r="G20" s="112">
        <f t="shared" si="2"/>
        <v>394.35465866433128</v>
      </c>
      <c r="H20" s="111"/>
      <c r="I20" s="112">
        <f t="shared" si="3"/>
        <v>394.35465866433128</v>
      </c>
      <c r="J20" s="112">
        <f t="shared" si="4"/>
        <v>202.94</v>
      </c>
      <c r="K20" s="111">
        <f t="shared" si="1"/>
        <v>202.94</v>
      </c>
      <c r="P20" s="112"/>
      <c r="S20" s="129"/>
      <c r="T20" s="129"/>
      <c r="V20" s="129"/>
      <c r="W20" s="129"/>
      <c r="X20" s="129"/>
    </row>
    <row r="21" spans="2:29">
      <c r="B21" s="109">
        <f t="shared" si="0"/>
        <v>2027</v>
      </c>
      <c r="C21" s="113"/>
      <c r="D21" s="111">
        <f t="shared" si="5"/>
        <v>159.08000000000001</v>
      </c>
      <c r="E21" s="111">
        <f t="shared" si="5"/>
        <v>48.47</v>
      </c>
      <c r="F21" s="165">
        <f t="shared" si="6"/>
        <v>0</v>
      </c>
      <c r="G21" s="112">
        <f t="shared" si="2"/>
        <v>403.31284816094393</v>
      </c>
      <c r="H21" s="111"/>
      <c r="I21" s="112">
        <f t="shared" si="3"/>
        <v>403.31284816094393</v>
      </c>
      <c r="J21" s="112">
        <f t="shared" si="4"/>
        <v>207.55</v>
      </c>
      <c r="K21" s="111">
        <f t="shared" si="1"/>
        <v>207.55</v>
      </c>
      <c r="P21" s="112"/>
      <c r="U21" s="129"/>
      <c r="V21" s="129"/>
      <c r="Y21" s="129"/>
    </row>
    <row r="22" spans="2:29">
      <c r="B22" s="109">
        <f t="shared" si="0"/>
        <v>2028</v>
      </c>
      <c r="C22" s="113"/>
      <c r="D22" s="111">
        <f t="shared" si="5"/>
        <v>162.69</v>
      </c>
      <c r="E22" s="111">
        <f t="shared" si="5"/>
        <v>49.57</v>
      </c>
      <c r="F22" s="165">
        <f t="shared" si="6"/>
        <v>0</v>
      </c>
      <c r="G22" s="112">
        <f t="shared" si="2"/>
        <v>412.46535847093207</v>
      </c>
      <c r="H22" s="111"/>
      <c r="I22" s="112">
        <f t="shared" si="3"/>
        <v>412.46535847093207</v>
      </c>
      <c r="J22" s="112">
        <f t="shared" si="4"/>
        <v>212.26</v>
      </c>
      <c r="K22" s="111">
        <f t="shared" si="1"/>
        <v>212.26</v>
      </c>
      <c r="P22" s="112"/>
      <c r="S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5"/>
        <v>166.38</v>
      </c>
      <c r="E23" s="111">
        <f t="shared" si="5"/>
        <v>50.7</v>
      </c>
      <c r="F23" s="165">
        <f t="shared" si="6"/>
        <v>0</v>
      </c>
      <c r="G23" s="112">
        <f t="shared" si="2"/>
        <v>421.8316216756333</v>
      </c>
      <c r="H23" s="111"/>
      <c r="I23" s="112">
        <f t="shared" si="3"/>
        <v>421.8316216756333</v>
      </c>
      <c r="J23" s="112">
        <f t="shared" si="4"/>
        <v>217.08</v>
      </c>
      <c r="K23" s="111">
        <f t="shared" si="1"/>
        <v>217.07999999999998</v>
      </c>
      <c r="P23" s="112"/>
      <c r="S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5"/>
        <v>170.16</v>
      </c>
      <c r="E24" s="111">
        <f t="shared" si="5"/>
        <v>51.85</v>
      </c>
      <c r="F24" s="165">
        <f t="shared" si="6"/>
        <v>0</v>
      </c>
      <c r="G24" s="112">
        <f t="shared" si="2"/>
        <v>431.41163777504772</v>
      </c>
      <c r="H24" s="111"/>
      <c r="I24" s="112">
        <f t="shared" si="3"/>
        <v>431.41163777504772</v>
      </c>
      <c r="J24" s="112">
        <f t="shared" si="4"/>
        <v>222.01</v>
      </c>
      <c r="K24" s="111">
        <f t="shared" si="1"/>
        <v>222.01</v>
      </c>
      <c r="P24" s="112"/>
      <c r="S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5"/>
        <v>174.02</v>
      </c>
      <c r="E25" s="111">
        <f t="shared" si="5"/>
        <v>53.03</v>
      </c>
      <c r="F25" s="165">
        <f t="shared" si="6"/>
        <v>0</v>
      </c>
      <c r="G25" s="112">
        <f t="shared" si="2"/>
        <v>441.20540676917523</v>
      </c>
      <c r="H25" s="111"/>
      <c r="I25" s="112">
        <f t="shared" si="3"/>
        <v>441.20540676917523</v>
      </c>
      <c r="J25" s="112">
        <f t="shared" si="4"/>
        <v>227.05</v>
      </c>
      <c r="K25" s="111">
        <f t="shared" si="1"/>
        <v>227.05</v>
      </c>
      <c r="P25" s="112"/>
      <c r="S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5"/>
        <v>177.97</v>
      </c>
      <c r="E26" s="111">
        <f t="shared" si="5"/>
        <v>54.23</v>
      </c>
      <c r="F26" s="165">
        <f t="shared" si="6"/>
        <v>0</v>
      </c>
      <c r="G26" s="112">
        <f t="shared" si="2"/>
        <v>451.21292865801576</v>
      </c>
      <c r="H26" s="111"/>
      <c r="I26" s="112">
        <f t="shared" si="3"/>
        <v>451.21292865801576</v>
      </c>
      <c r="J26" s="112">
        <f t="shared" si="4"/>
        <v>232.2</v>
      </c>
      <c r="K26" s="111">
        <f t="shared" si="1"/>
        <v>232.2</v>
      </c>
      <c r="P26" s="112"/>
      <c r="S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5"/>
        <v>182.01</v>
      </c>
      <c r="E27" s="111">
        <f t="shared" si="5"/>
        <v>55.46</v>
      </c>
      <c r="F27" s="165">
        <f t="shared" si="6"/>
        <v>0</v>
      </c>
      <c r="G27" s="112">
        <f t="shared" si="2"/>
        <v>461.45363552290701</v>
      </c>
      <c r="H27" s="111"/>
      <c r="I27" s="112">
        <f t="shared" si="3"/>
        <v>461.45363552290701</v>
      </c>
      <c r="J27" s="112">
        <f t="shared" si="4"/>
        <v>237.47</v>
      </c>
      <c r="K27" s="111">
        <f t="shared" si="1"/>
        <v>237.47</v>
      </c>
      <c r="P27" s="112"/>
      <c r="S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5"/>
        <v>186.14</v>
      </c>
      <c r="E28" s="111">
        <f t="shared" si="5"/>
        <v>56.72</v>
      </c>
      <c r="F28" s="165">
        <f t="shared" si="6"/>
        <v>0</v>
      </c>
      <c r="G28" s="112">
        <f t="shared" si="2"/>
        <v>471.92752736384887</v>
      </c>
      <c r="H28" s="111"/>
      <c r="I28" s="112">
        <f t="shared" si="3"/>
        <v>471.92752736384887</v>
      </c>
      <c r="J28" s="112">
        <f t="shared" si="4"/>
        <v>242.86</v>
      </c>
      <c r="K28" s="111">
        <f t="shared" si="1"/>
        <v>242.85999999999999</v>
      </c>
      <c r="P28" s="112"/>
      <c r="S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5"/>
        <v>190.37</v>
      </c>
      <c r="E29" s="111">
        <f t="shared" si="5"/>
        <v>58.01</v>
      </c>
      <c r="F29" s="165">
        <f t="shared" si="6"/>
        <v>0</v>
      </c>
      <c r="G29" s="112">
        <f t="shared" si="2"/>
        <v>482.65403626217898</v>
      </c>
      <c r="H29" s="111"/>
      <c r="I29" s="112">
        <f t="shared" si="3"/>
        <v>482.65403626217898</v>
      </c>
      <c r="J29" s="112">
        <f t="shared" si="4"/>
        <v>248.38</v>
      </c>
      <c r="K29" s="111">
        <f t="shared" si="1"/>
        <v>248.38</v>
      </c>
      <c r="P29" s="112"/>
      <c r="S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5"/>
        <v>194.69</v>
      </c>
      <c r="E30" s="111">
        <f t="shared" si="5"/>
        <v>59.33</v>
      </c>
      <c r="F30" s="165">
        <f t="shared" si="6"/>
        <v>0</v>
      </c>
      <c r="G30" s="112">
        <f t="shared" si="2"/>
        <v>493.6137301365597</v>
      </c>
      <c r="H30" s="111"/>
      <c r="I30" s="112">
        <f t="shared" si="3"/>
        <v>493.6137301365597</v>
      </c>
      <c r="J30" s="112">
        <f t="shared" si="4"/>
        <v>254.02</v>
      </c>
      <c r="K30" s="111">
        <f t="shared" si="1"/>
        <v>254.01999999999998</v>
      </c>
      <c r="P30" s="112"/>
      <c r="S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5"/>
        <v>199.11</v>
      </c>
      <c r="E31" s="111">
        <f t="shared" si="5"/>
        <v>60.68</v>
      </c>
      <c r="F31" s="165">
        <f t="shared" si="6"/>
        <v>0</v>
      </c>
      <c r="G31" s="112">
        <f t="shared" si="2"/>
        <v>504.82604106832872</v>
      </c>
      <c r="H31" s="111"/>
      <c r="I31" s="112">
        <f t="shared" si="3"/>
        <v>504.82604106832872</v>
      </c>
      <c r="J31" s="112">
        <f t="shared" si="4"/>
        <v>259.79000000000002</v>
      </c>
      <c r="K31" s="111">
        <f t="shared" si="1"/>
        <v>259.79000000000002</v>
      </c>
      <c r="P31" s="112"/>
      <c r="S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5"/>
        <v>203.63</v>
      </c>
      <c r="E32" s="111">
        <f t="shared" si="5"/>
        <v>62.06</v>
      </c>
      <c r="F32" s="165">
        <f t="shared" si="6"/>
        <v>0</v>
      </c>
      <c r="G32" s="112">
        <f t="shared" si="2"/>
        <v>516.29096905748577</v>
      </c>
      <c r="H32" s="111"/>
      <c r="I32" s="112">
        <f t="shared" si="3"/>
        <v>516.29096905748577</v>
      </c>
      <c r="J32" s="112">
        <f t="shared" si="4"/>
        <v>265.69</v>
      </c>
      <c r="K32" s="111">
        <f t="shared" si="1"/>
        <v>265.69</v>
      </c>
      <c r="P32" s="112"/>
      <c r="S32" s="129"/>
      <c r="V32" s="129"/>
      <c r="W32" s="129"/>
      <c r="Y32" s="129"/>
      <c r="Z32" s="129"/>
      <c r="AA32" s="129"/>
    </row>
    <row r="33" spans="2:16">
      <c r="B33" s="109">
        <f t="shared" si="0"/>
        <v>2039</v>
      </c>
      <c r="C33" s="113"/>
      <c r="D33" s="111">
        <f t="shared" si="5"/>
        <v>208.25</v>
      </c>
      <c r="E33" s="111">
        <f t="shared" si="5"/>
        <v>63.47</v>
      </c>
      <c r="F33" s="165">
        <f t="shared" si="6"/>
        <v>0</v>
      </c>
      <c r="G33" s="112">
        <f t="shared" si="2"/>
        <v>528.00851410403129</v>
      </c>
      <c r="H33" s="111"/>
      <c r="I33" s="112">
        <f t="shared" si="3"/>
        <v>528.00851410403129</v>
      </c>
      <c r="J33" s="112">
        <f t="shared" si="4"/>
        <v>271.72000000000003</v>
      </c>
      <c r="K33" s="111">
        <f t="shared" si="1"/>
        <v>271.72000000000003</v>
      </c>
      <c r="P33" s="112"/>
    </row>
    <row r="34" spans="2:16">
      <c r="B34" s="109">
        <f t="shared" si="0"/>
        <v>2040</v>
      </c>
      <c r="C34" s="113"/>
      <c r="D34" s="111">
        <f t="shared" si="5"/>
        <v>212.98</v>
      </c>
      <c r="E34" s="111">
        <f t="shared" si="5"/>
        <v>64.91</v>
      </c>
      <c r="F34" s="165">
        <f t="shared" si="6"/>
        <v>0</v>
      </c>
      <c r="G34" s="112">
        <f t="shared" si="2"/>
        <v>539.99810828930231</v>
      </c>
      <c r="H34" s="111"/>
      <c r="I34" s="112">
        <f t="shared" si="3"/>
        <v>539.99810828930231</v>
      </c>
      <c r="J34" s="112">
        <f t="shared" si="4"/>
        <v>277.89</v>
      </c>
      <c r="K34" s="111">
        <f t="shared" si="1"/>
        <v>277.89</v>
      </c>
      <c r="P34" s="112"/>
    </row>
    <row r="35" spans="2:16">
      <c r="B35" s="109">
        <f t="shared" si="0"/>
        <v>2041</v>
      </c>
      <c r="C35" s="113"/>
      <c r="D35" s="111">
        <f t="shared" si="5"/>
        <v>217.81</v>
      </c>
      <c r="E35" s="111">
        <f t="shared" si="5"/>
        <v>66.38</v>
      </c>
      <c r="F35" s="165">
        <f t="shared" si="6"/>
        <v>0</v>
      </c>
      <c r="G35" s="112">
        <f t="shared" si="2"/>
        <v>552.24031953196163</v>
      </c>
      <c r="H35" s="111"/>
      <c r="I35" s="112">
        <f t="shared" si="3"/>
        <v>552.24031953196163</v>
      </c>
      <c r="J35" s="112">
        <f t="shared" si="4"/>
        <v>284.19</v>
      </c>
      <c r="K35" s="111">
        <f t="shared" si="1"/>
        <v>284.19</v>
      </c>
      <c r="P35" s="112"/>
    </row>
    <row r="36" spans="2:16">
      <c r="B36" s="109">
        <f t="shared" si="0"/>
        <v>2042</v>
      </c>
      <c r="C36" s="113"/>
      <c r="D36" s="111">
        <f t="shared" ref="D36:E37" si="7">ROUND(D35*(1+IRP23_Infl_Rate),2)</f>
        <v>222.75</v>
      </c>
      <c r="E36" s="111">
        <f t="shared" si="7"/>
        <v>67.89</v>
      </c>
      <c r="F36" s="165">
        <f t="shared" si="6"/>
        <v>0</v>
      </c>
      <c r="G36" s="112">
        <f t="shared" si="2"/>
        <v>564.77401199468432</v>
      </c>
      <c r="H36" s="111"/>
      <c r="I36" s="112">
        <f t="shared" si="3"/>
        <v>564.77401199468432</v>
      </c>
      <c r="J36" s="112">
        <f t="shared" si="4"/>
        <v>290.64</v>
      </c>
      <c r="K36" s="111">
        <f t="shared" si="1"/>
        <v>290.64</v>
      </c>
      <c r="P36" s="112"/>
    </row>
    <row r="37" spans="2:16">
      <c r="B37" s="109">
        <f t="shared" si="0"/>
        <v>2043</v>
      </c>
      <c r="C37" s="113"/>
      <c r="D37" s="111">
        <f t="shared" si="7"/>
        <v>227.81</v>
      </c>
      <c r="E37" s="111">
        <f t="shared" si="7"/>
        <v>69.430000000000007</v>
      </c>
      <c r="F37" s="165">
        <f t="shared" si="6"/>
        <v>0</v>
      </c>
      <c r="G37" s="112">
        <f t="shared" si="2"/>
        <v>577.59918567747036</v>
      </c>
      <c r="H37" s="111"/>
      <c r="I37" s="112">
        <f t="shared" si="3"/>
        <v>577.59918567747036</v>
      </c>
      <c r="J37" s="112">
        <f t="shared" si="4"/>
        <v>297.24</v>
      </c>
      <c r="K37" s="111">
        <f t="shared" si="1"/>
        <v>297.24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-PMT(Discount_Rate,COUNT(I19:I37),NPV(Discount_Rate,I19:I37))</f>
        <v>455.29837024997312</v>
      </c>
      <c r="J39" s="287">
        <f>-PMT(Discount_Rate,COUNT(J19:J37),NPV(Discount_Rate,J19:J37))</f>
        <v>234.30249622787196</v>
      </c>
      <c r="K39" s="287">
        <f>-PMT(Discount_Rate,COUNT(K19:K37),NPV(Discount_Rate,K19:K37))</f>
        <v>234.30242100215062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5.9%)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9">
      <c r="C49" s="119" t="str">
        <f>J7</f>
        <v>(h)</v>
      </c>
      <c r="D49" t="str">
        <f>D44</f>
        <v>Plant Costs  - 2023 IRP - Table 7.1 &amp; 7.2</v>
      </c>
    </row>
    <row r="50" spans="2:19">
      <c r="C50" s="119"/>
      <c r="D50" s="112"/>
    </row>
    <row r="51" spans="2:19" ht="13.5" thickBot="1"/>
    <row r="52" spans="2:19" ht="13.5" thickBot="1">
      <c r="C52" s="38" t="str">
        <f>B2&amp;" - "&amp;B3</f>
        <v>PVS.PX.UTS._.SER.BAT - 6%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9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9">
      <c r="P54" s="102" t="s">
        <v>98</v>
      </c>
      <c r="Q54" s="102">
        <v>2025</v>
      </c>
      <c r="S54" s="273" t="s">
        <v>240</v>
      </c>
    </row>
    <row r="55" spans="2:19">
      <c r="B55" t="s">
        <v>152</v>
      </c>
      <c r="C55" s="267"/>
      <c r="D55" s="102" t="s">
        <v>65</v>
      </c>
      <c r="O55" s="226">
        <v>158</v>
      </c>
      <c r="P55" s="102" t="s">
        <v>32</v>
      </c>
      <c r="S55" s="273"/>
    </row>
    <row r="56" spans="2:19">
      <c r="B56" t="s">
        <v>152</v>
      </c>
      <c r="C56" s="126"/>
      <c r="D56" s="102" t="s">
        <v>68</v>
      </c>
    </row>
    <row r="57" spans="2:19" ht="24" customHeight="1">
      <c r="B57"/>
      <c r="C57" s="129"/>
      <c r="D57" s="102" t="s">
        <v>99</v>
      </c>
      <c r="Q57" s="175"/>
      <c r="R57" s="175"/>
    </row>
    <row r="58" spans="2:19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9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9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K60" s="270"/>
      <c r="L60" s="270"/>
      <c r="M60" s="270"/>
      <c r="O60" s="127"/>
    </row>
    <row r="61" spans="2:19">
      <c r="B61"/>
      <c r="C61" s="166"/>
      <c r="K61" s="270"/>
      <c r="L61" s="270"/>
      <c r="M61" s="270"/>
      <c r="O61" s="270"/>
    </row>
    <row r="62" spans="2:19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9">
      <c r="C63" s="272">
        <f>IRP_LTReport!F19*1000/('2025_PVS.PX.UTS._.SER.BAT'!O55*8760)</f>
        <v>5.8745766425408928E-2</v>
      </c>
      <c r="D63" s="102" t="s">
        <v>37</v>
      </c>
    </row>
    <row r="64" spans="2:19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0" orientation="landscape" r:id="rId1"/>
  <headerFooter alignWithMargins="0"/>
  <rowBreaks count="1" manualBreakCount="1">
    <brk id="51" max="13" man="1"/>
  </rowBreaks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5267-0A5D-4BD8-B966-AD91DC37E029}">
  <sheetPr>
    <tabColor rgb="FFFFC000"/>
    <pageSetUpPr fitToPage="1"/>
  </sheetPr>
  <dimension ref="B1:AB91"/>
  <sheetViews>
    <sheetView view="pageBreakPreview" zoomScale="60" zoomScaleNormal="100" workbookViewId="0">
      <selection activeCell="Q16" sqref="Q16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3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18.1640625" style="102" customWidth="1"/>
    <col min="19" max="19" width="9.33203125" style="102"/>
    <col min="20" max="20" width="15.5" style="102" customWidth="1"/>
    <col min="21" max="21" width="8" style="102" customWidth="1"/>
    <col min="22" max="22" width="31.33203125" style="102" customWidth="1"/>
    <col min="23" max="26" width="9.33203125" style="102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R54</f>
        <v>PVS.PX.UWY._.SER.BAT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5%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R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R6" s="225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</row>
    <row r="8" spans="2:26" ht="6" customHeight="1"/>
    <row r="9" spans="2:26" ht="15.75">
      <c r="B9" s="39" t="str">
        <f>C52</f>
        <v>PVS.PX.UWY._.SER.BAT - 5%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>
        <f>(D12+E12+F12)</f>
        <v>0</v>
      </c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>
        <f t="shared" ref="K13:K37" si="1">(D13+E13+F13)</f>
        <v>0</v>
      </c>
      <c r="Q13" s="102" t="s">
        <v>545</v>
      </c>
      <c r="R13" s="129"/>
      <c r="S13" s="102" t="s">
        <v>265</v>
      </c>
      <c r="T13" s="129"/>
      <c r="V13" s="129" t="s">
        <v>276</v>
      </c>
      <c r="W13" s="102" t="s">
        <v>247</v>
      </c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>
        <f t="shared" si="1"/>
        <v>0</v>
      </c>
      <c r="O14" s="114"/>
      <c r="P14" s="265"/>
      <c r="Q14" s="115" t="s">
        <v>232</v>
      </c>
      <c r="R14" s="129" t="s">
        <v>275</v>
      </c>
      <c r="S14" s="102" t="s">
        <v>238</v>
      </c>
      <c r="T14" s="129"/>
      <c r="W14" s="115" t="s">
        <v>232</v>
      </c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>
        <f t="shared" si="1"/>
        <v>0</v>
      </c>
      <c r="O15" s="266"/>
      <c r="P15" s="265"/>
      <c r="Q15" s="115"/>
      <c r="S15" s="102" t="s">
        <v>273</v>
      </c>
      <c r="T15" s="129" t="s">
        <v>274</v>
      </c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>
        <f t="shared" si="1"/>
        <v>0</v>
      </c>
      <c r="Q16" s="274">
        <v>1728.6589634669394</v>
      </c>
      <c r="R16" s="129">
        <f>S16-Q16</f>
        <v>-6.1889634669394127</v>
      </c>
      <c r="S16" s="102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>
        <f t="shared" si="1"/>
        <v>0</v>
      </c>
      <c r="O17" s="114"/>
      <c r="Q17" s="277"/>
      <c r="R17" s="277"/>
      <c r="S17" s="102">
        <f>S16*IRP_PTC_ESC!$AJ3</f>
        <v>1809.626982</v>
      </c>
      <c r="T17" s="129"/>
      <c r="W17" s="277">
        <f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>
        <f t="shared" si="1"/>
        <v>0</v>
      </c>
      <c r="P18" s="263"/>
      <c r="Q18" s="277"/>
      <c r="R18" s="277"/>
      <c r="S18" s="102">
        <f>S17*IRP_PTC_ESC!$AJ4</f>
        <v>1809.626982</v>
      </c>
      <c r="T18" s="129"/>
      <c r="W18" s="277">
        <f>W17*(1+IRP23_Infl_Rate)</f>
        <v>42.159134777192428</v>
      </c>
      <c r="AB18" s="227"/>
    </row>
    <row r="19" spans="2:28">
      <c r="B19" s="109">
        <f t="shared" si="0"/>
        <v>2025</v>
      </c>
      <c r="C19" s="274">
        <f>IRP_LTReport!R24</f>
        <v>1809.627071361544</v>
      </c>
      <c r="D19" s="111">
        <f>C19*$C$62</f>
        <v>152.09915534793777</v>
      </c>
      <c r="E19" s="281">
        <f>+IRP_LTReport!L24</f>
        <v>46.340000000002391</v>
      </c>
      <c r="F19" s="165">
        <f>$C$60</f>
        <v>0</v>
      </c>
      <c r="G19" s="112">
        <f t="shared" ref="G19:G37" si="2">(D19+E19+F19)/(8.76*$C$63)</f>
        <v>479.28243278639582</v>
      </c>
      <c r="H19" s="111"/>
      <c r="I19" s="112">
        <f t="shared" ref="I19:I37" si="3">(G19+H19)</f>
        <v>479.28243278639582</v>
      </c>
      <c r="J19" s="112">
        <f t="shared" ref="J19:J37" si="4">ROUND(I19*$C$63*8.76,2)</f>
        <v>198.44</v>
      </c>
      <c r="K19" s="111">
        <f t="shared" si="1"/>
        <v>198.43915534794016</v>
      </c>
      <c r="P19" s="263"/>
      <c r="Q19" s="277"/>
      <c r="R19" s="277"/>
      <c r="S19" s="102">
        <f>S18*IRP_PTC_ESC!$AJ5</f>
        <v>1809.626982</v>
      </c>
      <c r="U19" s="129">
        <f>S19-C19</f>
        <v>-8.9361544041821617E-5</v>
      </c>
      <c r="W19" s="277">
        <f>W18*(1+IRP23_Infl_Rate)</f>
        <v>43.116147136824793</v>
      </c>
      <c r="X19" s="129">
        <f>W19-E19</f>
        <v>-3.2238528631775978</v>
      </c>
      <c r="Y19" s="273" t="s">
        <v>278</v>
      </c>
    </row>
    <row r="20" spans="2:28">
      <c r="B20" s="109">
        <f t="shared" si="0"/>
        <v>2026</v>
      </c>
      <c r="C20" s="113"/>
      <c r="D20" s="111">
        <f t="shared" ref="D20:E35" si="5">ROUND(D19*(1+IRP23_Infl_Rate),2)</f>
        <v>155.55000000000001</v>
      </c>
      <c r="E20" s="111">
        <f t="shared" si="5"/>
        <v>47.39</v>
      </c>
      <c r="F20" s="165">
        <f t="shared" ref="F20:F37" si="6">$C$60</f>
        <v>0</v>
      </c>
      <c r="G20" s="112">
        <f t="shared" si="2"/>
        <v>490.15314915610884</v>
      </c>
      <c r="H20" s="111"/>
      <c r="I20" s="112">
        <f t="shared" si="3"/>
        <v>490.15314915610884</v>
      </c>
      <c r="J20" s="112">
        <f t="shared" si="4"/>
        <v>202.94</v>
      </c>
      <c r="K20" s="111">
        <f t="shared" si="1"/>
        <v>202.94</v>
      </c>
      <c r="O20" s="102">
        <f>K20-'2026_PVS.PX.BOR._.2C5.BAT'!K20</f>
        <v>-19.469155347936777</v>
      </c>
      <c r="P20" s="112"/>
      <c r="R20" s="129"/>
      <c r="U20" s="129"/>
      <c r="V20" s="129"/>
      <c r="X20" s="129"/>
    </row>
    <row r="21" spans="2:28">
      <c r="B21" s="109">
        <f t="shared" si="0"/>
        <v>2027</v>
      </c>
      <c r="C21" s="113"/>
      <c r="D21" s="111">
        <f t="shared" si="5"/>
        <v>159.08000000000001</v>
      </c>
      <c r="E21" s="111">
        <f t="shared" si="5"/>
        <v>48.47</v>
      </c>
      <c r="F21" s="165">
        <f t="shared" si="6"/>
        <v>0</v>
      </c>
      <c r="G21" s="112">
        <f t="shared" si="2"/>
        <v>501.28750422464964</v>
      </c>
      <c r="H21" s="111"/>
      <c r="I21" s="112">
        <f t="shared" si="3"/>
        <v>501.28750422464964</v>
      </c>
      <c r="J21" s="112">
        <f t="shared" si="4"/>
        <v>207.55</v>
      </c>
      <c r="K21" s="111">
        <f t="shared" si="1"/>
        <v>207.55</v>
      </c>
      <c r="O21" s="102">
        <f>K21-'2026_PVS.PX.BOR._.2C5.BAT'!K21</f>
        <v>-19.909999999999997</v>
      </c>
      <c r="P21" s="112"/>
      <c r="R21" s="129"/>
      <c r="U21" s="129"/>
      <c r="V21" s="129"/>
      <c r="X21" s="129"/>
      <c r="Y21" s="129"/>
      <c r="Z21" s="129"/>
    </row>
    <row r="22" spans="2:28">
      <c r="B22" s="109">
        <f t="shared" si="0"/>
        <v>2028</v>
      </c>
      <c r="C22" s="113"/>
      <c r="D22" s="111">
        <f t="shared" si="5"/>
        <v>162.69</v>
      </c>
      <c r="E22" s="111">
        <f t="shared" si="5"/>
        <v>49.57</v>
      </c>
      <c r="F22" s="165">
        <f t="shared" si="6"/>
        <v>0</v>
      </c>
      <c r="G22" s="112">
        <f t="shared" si="2"/>
        <v>512.66338543350571</v>
      </c>
      <c r="H22" s="111"/>
      <c r="I22" s="112">
        <f t="shared" si="3"/>
        <v>512.66338543350571</v>
      </c>
      <c r="J22" s="112">
        <f t="shared" si="4"/>
        <v>212.26</v>
      </c>
      <c r="K22" s="111">
        <f t="shared" si="1"/>
        <v>212.26</v>
      </c>
      <c r="O22" s="102">
        <f>K22-'2026_PVS.PX.BOR._.2C5.BAT'!K22</f>
        <v>-20.360000000000014</v>
      </c>
      <c r="P22" s="112"/>
      <c r="R22" s="129"/>
      <c r="U22" s="129"/>
      <c r="V22" s="129"/>
      <c r="X22" s="129"/>
      <c r="Y22" s="129"/>
      <c r="Z22" s="129"/>
    </row>
    <row r="23" spans="2:28">
      <c r="B23" s="109">
        <f t="shared" si="0"/>
        <v>2029</v>
      </c>
      <c r="C23" s="113"/>
      <c r="D23" s="111">
        <f t="shared" si="5"/>
        <v>166.38</v>
      </c>
      <c r="E23" s="111">
        <f t="shared" si="5"/>
        <v>50.7</v>
      </c>
      <c r="F23" s="165">
        <f t="shared" si="6"/>
        <v>0</v>
      </c>
      <c r="G23" s="112">
        <f t="shared" si="2"/>
        <v>524.30494539670883</v>
      </c>
      <c r="H23" s="111"/>
      <c r="I23" s="112">
        <f t="shared" si="3"/>
        <v>524.30494539670883</v>
      </c>
      <c r="J23" s="112">
        <f t="shared" si="4"/>
        <v>217.08</v>
      </c>
      <c r="K23" s="111">
        <f t="shared" si="1"/>
        <v>217.07999999999998</v>
      </c>
      <c r="O23" s="102">
        <f>K23-'2026_PVS.PX.BOR._.2C5.BAT'!K23</f>
        <v>-20.819999999999993</v>
      </c>
      <c r="P23" s="112"/>
      <c r="R23" s="129"/>
      <c r="U23" s="129"/>
      <c r="V23" s="129"/>
      <c r="X23" s="129"/>
      <c r="Y23" s="129"/>
      <c r="Z23" s="129"/>
    </row>
    <row r="24" spans="2:28">
      <c r="B24" s="109">
        <f t="shared" si="0"/>
        <v>2030</v>
      </c>
      <c r="C24" s="113"/>
      <c r="D24" s="111">
        <f t="shared" si="5"/>
        <v>170.16</v>
      </c>
      <c r="E24" s="111">
        <f t="shared" si="5"/>
        <v>51.85</v>
      </c>
      <c r="F24" s="165">
        <f t="shared" si="6"/>
        <v>0</v>
      </c>
      <c r="G24" s="112">
        <f t="shared" si="2"/>
        <v>536.212184114259</v>
      </c>
      <c r="H24" s="111"/>
      <c r="I24" s="112">
        <f t="shared" si="3"/>
        <v>536.212184114259</v>
      </c>
      <c r="J24" s="112">
        <f t="shared" si="4"/>
        <v>222.01</v>
      </c>
      <c r="K24" s="111">
        <f t="shared" si="1"/>
        <v>222.01</v>
      </c>
      <c r="O24" s="102">
        <f>K24-'2026_PVS.PX.BOR._.2C5.BAT'!K24</f>
        <v>-21.29000000000002</v>
      </c>
      <c r="P24" s="112"/>
      <c r="R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si="5"/>
        <v>174.02</v>
      </c>
      <c r="E25" s="111">
        <f t="shared" si="5"/>
        <v>53.03</v>
      </c>
      <c r="F25" s="165">
        <f t="shared" si="6"/>
        <v>0</v>
      </c>
      <c r="G25" s="112">
        <f t="shared" si="2"/>
        <v>548.38510158615611</v>
      </c>
      <c r="H25" s="111"/>
      <c r="I25" s="112">
        <f t="shared" si="3"/>
        <v>548.38510158615611</v>
      </c>
      <c r="J25" s="112">
        <f t="shared" si="4"/>
        <v>227.05</v>
      </c>
      <c r="K25" s="111">
        <f t="shared" si="1"/>
        <v>227.05</v>
      </c>
      <c r="O25" s="102">
        <f>K25-'2026_PVS.PX.BOR._.2C5.BAT'!K25</f>
        <v>-21.779999999999973</v>
      </c>
      <c r="P25" s="112"/>
      <c r="R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si="5"/>
        <v>177.97</v>
      </c>
      <c r="E26" s="111">
        <f t="shared" si="5"/>
        <v>54.23</v>
      </c>
      <c r="F26" s="165">
        <f t="shared" si="6"/>
        <v>0</v>
      </c>
      <c r="G26" s="112">
        <f t="shared" si="2"/>
        <v>560.82369781240004</v>
      </c>
      <c r="H26" s="111"/>
      <c r="I26" s="112">
        <f t="shared" si="3"/>
        <v>560.82369781240004</v>
      </c>
      <c r="J26" s="112">
        <f t="shared" si="4"/>
        <v>232.2</v>
      </c>
      <c r="K26" s="111">
        <f t="shared" si="1"/>
        <v>232.2</v>
      </c>
      <c r="O26" s="102">
        <f>K26-'2026_PVS.PX.BOR._.2C5.BAT'!K26</f>
        <v>-22.28000000000003</v>
      </c>
      <c r="P26" s="112"/>
      <c r="R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si="5"/>
        <v>182.01</v>
      </c>
      <c r="E27" s="111">
        <f t="shared" si="5"/>
        <v>55.46</v>
      </c>
      <c r="F27" s="165">
        <f t="shared" si="6"/>
        <v>0</v>
      </c>
      <c r="G27" s="112">
        <f t="shared" si="2"/>
        <v>573.55212540702257</v>
      </c>
      <c r="H27" s="111"/>
      <c r="I27" s="112">
        <f t="shared" si="3"/>
        <v>573.55212540702257</v>
      </c>
      <c r="J27" s="112">
        <f t="shared" si="4"/>
        <v>237.47</v>
      </c>
      <c r="K27" s="111">
        <f t="shared" si="1"/>
        <v>237.47</v>
      </c>
      <c r="O27" s="102">
        <f>K27-'2026_PVS.PX.BOR._.2C5.BAT'!K27</f>
        <v>-22.789999999999992</v>
      </c>
      <c r="P27" s="112"/>
      <c r="R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si="5"/>
        <v>186.14</v>
      </c>
      <c r="E28" s="111">
        <f t="shared" si="5"/>
        <v>56.72</v>
      </c>
      <c r="F28" s="165">
        <f t="shared" si="6"/>
        <v>0</v>
      </c>
      <c r="G28" s="112">
        <f t="shared" si="2"/>
        <v>586.57038437002359</v>
      </c>
      <c r="H28" s="111"/>
      <c r="I28" s="112">
        <f t="shared" si="3"/>
        <v>586.57038437002359</v>
      </c>
      <c r="J28" s="112">
        <f t="shared" si="4"/>
        <v>242.86</v>
      </c>
      <c r="K28" s="111">
        <f t="shared" si="1"/>
        <v>242.85999999999999</v>
      </c>
      <c r="O28" s="102">
        <f>K28-'2026_PVS.PX.BOR._.2C5.BAT'!K28</f>
        <v>-23.309999999999974</v>
      </c>
      <c r="P28" s="112"/>
      <c r="R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si="5"/>
        <v>190.37</v>
      </c>
      <c r="E29" s="111">
        <f t="shared" si="5"/>
        <v>58.01</v>
      </c>
      <c r="F29" s="165">
        <f t="shared" si="6"/>
        <v>0</v>
      </c>
      <c r="G29" s="112">
        <f t="shared" si="2"/>
        <v>599.90262731543464</v>
      </c>
      <c r="H29" s="111"/>
      <c r="I29" s="112">
        <f t="shared" si="3"/>
        <v>599.90262731543464</v>
      </c>
      <c r="J29" s="112">
        <f t="shared" si="4"/>
        <v>248.38</v>
      </c>
      <c r="K29" s="111">
        <f t="shared" si="1"/>
        <v>248.38</v>
      </c>
      <c r="O29" s="102">
        <f>K29-'2026_PVS.PX.BOR._.2C5.BAT'!K29</f>
        <v>-23.829999999999984</v>
      </c>
      <c r="P29" s="112"/>
      <c r="R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si="5"/>
        <v>194.69</v>
      </c>
      <c r="E30" s="111">
        <f t="shared" si="5"/>
        <v>59.33</v>
      </c>
      <c r="F30" s="165">
        <f t="shared" si="6"/>
        <v>0</v>
      </c>
      <c r="G30" s="112">
        <f t="shared" si="2"/>
        <v>613.52470162922418</v>
      </c>
      <c r="H30" s="111"/>
      <c r="I30" s="112">
        <f t="shared" si="3"/>
        <v>613.52470162922418</v>
      </c>
      <c r="J30" s="112">
        <f t="shared" si="4"/>
        <v>254.02</v>
      </c>
      <c r="K30" s="111">
        <f t="shared" si="1"/>
        <v>254.01999999999998</v>
      </c>
      <c r="O30" s="102">
        <f>K30-'2026_PVS.PX.BOR._.2C5.BAT'!K30</f>
        <v>-24.370000000000005</v>
      </c>
      <c r="P30" s="112"/>
      <c r="R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si="5"/>
        <v>199.11</v>
      </c>
      <c r="E31" s="111">
        <f t="shared" si="5"/>
        <v>60.68</v>
      </c>
      <c r="F31" s="165">
        <f t="shared" si="6"/>
        <v>0</v>
      </c>
      <c r="G31" s="112">
        <f t="shared" si="2"/>
        <v>627.46075992542387</v>
      </c>
      <c r="H31" s="111"/>
      <c r="I31" s="112">
        <f t="shared" si="3"/>
        <v>627.46075992542387</v>
      </c>
      <c r="J31" s="112">
        <f t="shared" si="4"/>
        <v>259.79000000000002</v>
      </c>
      <c r="K31" s="111">
        <f t="shared" si="1"/>
        <v>259.79000000000002</v>
      </c>
      <c r="O31" s="102">
        <f>K31-'2026_PVS.PX.BOR._.2C5.BAT'!K31</f>
        <v>-24.919999999999959</v>
      </c>
      <c r="P31" s="112"/>
      <c r="R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si="5"/>
        <v>203.63</v>
      </c>
      <c r="E32" s="111">
        <f t="shared" si="5"/>
        <v>62.06</v>
      </c>
      <c r="F32" s="165">
        <f t="shared" si="6"/>
        <v>0</v>
      </c>
      <c r="G32" s="112">
        <f t="shared" si="2"/>
        <v>641.71080220403348</v>
      </c>
      <c r="H32" s="111"/>
      <c r="I32" s="112">
        <f t="shared" si="3"/>
        <v>641.71080220403348</v>
      </c>
      <c r="J32" s="112">
        <f t="shared" si="4"/>
        <v>265.69</v>
      </c>
      <c r="K32" s="111">
        <f t="shared" si="1"/>
        <v>265.69</v>
      </c>
      <c r="O32" s="102">
        <f>K32-'2026_PVS.PX.BOR._.2C5.BAT'!K32</f>
        <v>-25.480000000000018</v>
      </c>
      <c r="P32" s="112"/>
      <c r="R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si="5"/>
        <v>208.25</v>
      </c>
      <c r="E33" s="111">
        <f t="shared" si="5"/>
        <v>63.47</v>
      </c>
      <c r="F33" s="165">
        <f t="shared" si="6"/>
        <v>0</v>
      </c>
      <c r="G33" s="112">
        <f t="shared" si="2"/>
        <v>656.27482846505325</v>
      </c>
      <c r="H33" s="111"/>
      <c r="I33" s="112">
        <f t="shared" si="3"/>
        <v>656.27482846505325</v>
      </c>
      <c r="J33" s="112">
        <f t="shared" si="4"/>
        <v>271.72000000000003</v>
      </c>
      <c r="K33" s="111">
        <f t="shared" si="1"/>
        <v>271.72000000000003</v>
      </c>
      <c r="O33" s="102">
        <f>K33-'2026_PVS.PX.BOR._.2C5.BAT'!K33</f>
        <v>-26.059999999999945</v>
      </c>
      <c r="P33" s="112"/>
    </row>
    <row r="34" spans="2:16">
      <c r="B34" s="109">
        <f t="shared" si="0"/>
        <v>2040</v>
      </c>
      <c r="C34" s="113"/>
      <c r="D34" s="111">
        <f t="shared" si="5"/>
        <v>212.98</v>
      </c>
      <c r="E34" s="111">
        <f t="shared" si="5"/>
        <v>64.91</v>
      </c>
      <c r="F34" s="165">
        <f t="shared" si="6"/>
        <v>0</v>
      </c>
      <c r="G34" s="112">
        <f t="shared" si="2"/>
        <v>671.17699132251437</v>
      </c>
      <c r="H34" s="111"/>
      <c r="I34" s="112">
        <f t="shared" si="3"/>
        <v>671.17699132251437</v>
      </c>
      <c r="J34" s="112">
        <f t="shared" si="4"/>
        <v>277.89</v>
      </c>
      <c r="K34" s="111">
        <f t="shared" si="1"/>
        <v>277.89</v>
      </c>
      <c r="O34" s="102">
        <f>K34-'2026_PVS.PX.BOR._.2C5.BAT'!K34</f>
        <v>-26.650000000000034</v>
      </c>
      <c r="P34" s="112"/>
    </row>
    <row r="35" spans="2:16">
      <c r="B35" s="109">
        <f t="shared" si="0"/>
        <v>2041</v>
      </c>
      <c r="C35" s="113"/>
      <c r="D35" s="111">
        <f t="shared" si="5"/>
        <v>217.81</v>
      </c>
      <c r="E35" s="111">
        <f t="shared" si="5"/>
        <v>66.38</v>
      </c>
      <c r="F35" s="165">
        <f t="shared" si="6"/>
        <v>0</v>
      </c>
      <c r="G35" s="112">
        <f t="shared" si="2"/>
        <v>686.39313816238575</v>
      </c>
      <c r="H35" s="111"/>
      <c r="I35" s="112">
        <f t="shared" si="3"/>
        <v>686.39313816238575</v>
      </c>
      <c r="J35" s="112">
        <f t="shared" si="4"/>
        <v>284.19</v>
      </c>
      <c r="K35" s="111">
        <f t="shared" si="1"/>
        <v>284.19</v>
      </c>
      <c r="O35" s="102">
        <f>K35-'2026_PVS.PX.BOR._.2C5.BAT'!K35</f>
        <v>-27.269999999999982</v>
      </c>
      <c r="P35" s="112"/>
    </row>
    <row r="36" spans="2:16">
      <c r="B36" s="109">
        <f t="shared" si="0"/>
        <v>2042</v>
      </c>
      <c r="C36" s="113"/>
      <c r="D36" s="111">
        <f t="shared" ref="D36:E37" si="7">ROUND(D35*(1+IRP23_Infl_Rate),2)</f>
        <v>222.75</v>
      </c>
      <c r="E36" s="111">
        <f t="shared" si="7"/>
        <v>67.89</v>
      </c>
      <c r="F36" s="165">
        <f t="shared" si="6"/>
        <v>0</v>
      </c>
      <c r="G36" s="112">
        <f t="shared" si="2"/>
        <v>701.97157421273016</v>
      </c>
      <c r="H36" s="111"/>
      <c r="I36" s="112">
        <f t="shared" si="3"/>
        <v>701.97157421273016</v>
      </c>
      <c r="J36" s="112">
        <f t="shared" si="4"/>
        <v>290.64</v>
      </c>
      <c r="K36" s="111">
        <f t="shared" si="1"/>
        <v>290.64</v>
      </c>
      <c r="O36" s="102">
        <f>K36-'2026_PVS.PX.BOR._.2C5.BAT'!K36</f>
        <v>-27.889999999999986</v>
      </c>
      <c r="P36" s="112"/>
    </row>
    <row r="37" spans="2:16">
      <c r="B37" s="109">
        <f t="shared" si="0"/>
        <v>2043</v>
      </c>
      <c r="C37" s="113"/>
      <c r="D37" s="111">
        <f t="shared" si="7"/>
        <v>227.81</v>
      </c>
      <c r="E37" s="111">
        <f t="shared" si="7"/>
        <v>69.430000000000007</v>
      </c>
      <c r="F37" s="165">
        <f t="shared" si="6"/>
        <v>0</v>
      </c>
      <c r="G37" s="112">
        <f t="shared" si="2"/>
        <v>717.91229947354782</v>
      </c>
      <c r="H37" s="111"/>
      <c r="I37" s="112">
        <f t="shared" si="3"/>
        <v>717.91229947354782</v>
      </c>
      <c r="J37" s="112">
        <f t="shared" si="4"/>
        <v>297.24</v>
      </c>
      <c r="K37" s="111">
        <f t="shared" si="1"/>
        <v>297.24</v>
      </c>
      <c r="O37" s="102">
        <f>K37-'2026_PVS.PX.BOR._.2C5.BAT'!K37</f>
        <v>-28.519999999999982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-PMT(Discount_Rate,COUNT(I19:I37),NPV(Discount_Rate,I19:I37))</f>
        <v>565.90159411207367</v>
      </c>
      <c r="J39" s="287">
        <f>-PMT(Discount_Rate,COUNT(J19:J37),NPV(Discount_Rate,J19:J37))</f>
        <v>234.30249622787196</v>
      </c>
      <c r="K39" s="287">
        <f>-PMT(Discount_Rate,COUNT(K19:K37),NPV(Discount_Rate,K19:K37))</f>
        <v>234.30242100214997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4.7%)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8">
      <c r="C49" s="119" t="str">
        <f>J7</f>
        <v>(h)</v>
      </c>
      <c r="D49" t="str">
        <f>D44</f>
        <v>Plant Costs  - 2023 IRP - Table 7.1 &amp; 7.2</v>
      </c>
    </row>
    <row r="50" spans="2:18">
      <c r="C50" s="119"/>
      <c r="D50" s="112"/>
    </row>
    <row r="51" spans="2:18" ht="13.5" thickBot="1"/>
    <row r="52" spans="2:18" ht="13.5" thickBot="1">
      <c r="C52" s="38" t="str">
        <f>B2&amp;" - "&amp;B3</f>
        <v>PVS.PX.UWY._.SER.BAT - 5%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8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8">
      <c r="P54" s="102" t="s">
        <v>98</v>
      </c>
      <c r="Q54" s="102">
        <v>2025</v>
      </c>
      <c r="R54" s="273" t="s">
        <v>250</v>
      </c>
    </row>
    <row r="55" spans="2:18">
      <c r="B55" t="s">
        <v>152</v>
      </c>
      <c r="C55" s="267"/>
      <c r="D55" s="102" t="s">
        <v>65</v>
      </c>
      <c r="O55" s="226">
        <v>272</v>
      </c>
      <c r="P55" s="102" t="s">
        <v>32</v>
      </c>
      <c r="R55" s="273"/>
    </row>
    <row r="56" spans="2:18">
      <c r="B56" t="s">
        <v>152</v>
      </c>
      <c r="C56" s="126"/>
      <c r="D56" s="102" t="s">
        <v>68</v>
      </c>
    </row>
    <row r="57" spans="2:18" ht="24" customHeight="1">
      <c r="B57"/>
      <c r="C57" s="129"/>
      <c r="D57" s="102" t="s">
        <v>99</v>
      </c>
      <c r="Q57" s="175"/>
    </row>
    <row r="58" spans="2:18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8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8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K60" s="270"/>
      <c r="L60" s="270"/>
      <c r="M60" s="270"/>
      <c r="O60" s="127"/>
    </row>
    <row r="61" spans="2:18">
      <c r="B61"/>
      <c r="C61" s="166"/>
      <c r="K61" s="270"/>
      <c r="L61" s="270"/>
      <c r="M61" s="270"/>
      <c r="O61" s="270"/>
    </row>
    <row r="62" spans="2:18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8">
      <c r="C63" s="272">
        <f>IRP_LTReport!F23*1000/(O55*8760)</f>
        <v>4.7264139191092534E-2</v>
      </c>
      <c r="D63" s="102" t="s">
        <v>37</v>
      </c>
    </row>
    <row r="64" spans="2:18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F4D8-711A-42A3-A36F-8A443691584B}">
  <sheetPr>
    <tabColor rgb="FFFFC000"/>
    <pageSetUpPr fitToPage="1"/>
  </sheetPr>
  <dimension ref="B1:AB91"/>
  <sheetViews>
    <sheetView topLeftCell="A6" zoomScale="70" zoomScaleNormal="70" workbookViewId="0">
      <selection activeCell="O20" sqref="O20:O37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3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18.1640625" style="102" customWidth="1"/>
    <col min="19" max="19" width="9.33203125" style="102"/>
    <col min="20" max="20" width="15.5" style="102" customWidth="1"/>
    <col min="21" max="21" width="8" style="102" customWidth="1"/>
    <col min="22" max="22" width="31.33203125" style="102" customWidth="1"/>
    <col min="23" max="26" width="9.33203125" style="102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R54</f>
        <v>PVS.PX.WYE._.SER.BAT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8%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R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R6" s="225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</row>
    <row r="8" spans="2:26" ht="6" customHeight="1"/>
    <row r="9" spans="2:26" ht="15.75">
      <c r="B9" s="39" t="str">
        <f>C52</f>
        <v>PVS.PX.WYE._.SER.BAT - 8%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>
        <f>(D12+E12+F12)</f>
        <v>0</v>
      </c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>
        <f t="shared" ref="K13:K37" si="1">(D13+E13+F13)</f>
        <v>0</v>
      </c>
      <c r="Q13" s="102" t="s">
        <v>545</v>
      </c>
      <c r="R13" s="129"/>
      <c r="S13" s="102" t="s">
        <v>265</v>
      </c>
      <c r="T13" s="129"/>
      <c r="V13" s="129" t="s">
        <v>276</v>
      </c>
      <c r="W13" s="102" t="s">
        <v>247</v>
      </c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>
        <f t="shared" si="1"/>
        <v>0</v>
      </c>
      <c r="O14" s="114"/>
      <c r="P14" s="265"/>
      <c r="Q14" s="115" t="s">
        <v>232</v>
      </c>
      <c r="R14" s="129" t="s">
        <v>275</v>
      </c>
      <c r="S14" s="102" t="s">
        <v>238</v>
      </c>
      <c r="T14" s="129"/>
      <c r="W14" s="115" t="s">
        <v>232</v>
      </c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>
        <f t="shared" si="1"/>
        <v>0</v>
      </c>
      <c r="O15" s="266"/>
      <c r="P15" s="265"/>
      <c r="Q15" s="115"/>
      <c r="S15" s="102" t="s">
        <v>273</v>
      </c>
      <c r="T15" s="129" t="s">
        <v>274</v>
      </c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>
        <f t="shared" si="1"/>
        <v>0</v>
      </c>
      <c r="Q16" s="274">
        <v>1728.6589634669394</v>
      </c>
      <c r="R16" s="129">
        <f>S16-Q16</f>
        <v>-6.1889634669394127</v>
      </c>
      <c r="S16" s="102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>
        <f t="shared" si="1"/>
        <v>0</v>
      </c>
      <c r="O17" s="114"/>
      <c r="Q17" s="277"/>
      <c r="R17" s="277"/>
      <c r="S17" s="102">
        <f>S16*IRP_PTC_ESC!$AJ3</f>
        <v>1809.626982</v>
      </c>
      <c r="T17" s="129"/>
      <c r="W17" s="277">
        <f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>
        <f t="shared" si="1"/>
        <v>0</v>
      </c>
      <c r="P18" s="263"/>
      <c r="Q18" s="277"/>
      <c r="R18" s="277"/>
      <c r="S18" s="102">
        <f>S17*IRP_PTC_ESC!$AJ4</f>
        <v>1809.626982</v>
      </c>
      <c r="T18" s="129"/>
      <c r="W18" s="277">
        <f>W17*(1+IRP23_Infl_Rate)</f>
        <v>42.159134777192428</v>
      </c>
      <c r="AB18" s="227"/>
    </row>
    <row r="19" spans="2:28">
      <c r="B19" s="109">
        <f t="shared" si="0"/>
        <v>2025</v>
      </c>
      <c r="C19" s="274">
        <f>IRP_LTReport!R28</f>
        <v>1809.6270713615436</v>
      </c>
      <c r="D19" s="111">
        <f>C19*$C$62</f>
        <v>152.09915534793774</v>
      </c>
      <c r="E19" s="281">
        <f>+IRP_LTReport!L28</f>
        <v>46.340000000000096</v>
      </c>
      <c r="F19" s="165">
        <f>$C$60</f>
        <v>0</v>
      </c>
      <c r="G19" s="112">
        <f t="shared" ref="G19:G37" si="2">(D19+E19+F19)/(8.76*$C$63)</f>
        <v>299.19420625087486</v>
      </c>
      <c r="H19" s="111"/>
      <c r="I19" s="112">
        <f t="shared" ref="I19:I37" si="3">(G19+H19)</f>
        <v>299.19420625087486</v>
      </c>
      <c r="J19" s="112">
        <f t="shared" ref="J19:J37" si="4">ROUND(I19*$C$63*8.76,2)</f>
        <v>198.44</v>
      </c>
      <c r="K19" s="111">
        <f t="shared" si="1"/>
        <v>198.43915534793783</v>
      </c>
      <c r="P19" s="263"/>
      <c r="Q19" s="277"/>
      <c r="R19" s="277"/>
      <c r="S19" s="102">
        <f>S18*IRP_PTC_ESC!$AJ5</f>
        <v>1809.626982</v>
      </c>
      <c r="U19" s="129">
        <f>S19-C19</f>
        <v>-8.9361543587074266E-5</v>
      </c>
      <c r="W19" s="277">
        <f>W18*(1+IRP23_Infl_Rate)</f>
        <v>43.116147136824793</v>
      </c>
      <c r="X19" s="129">
        <f>W19-E19</f>
        <v>-3.2238528631753027</v>
      </c>
      <c r="Y19" s="273" t="s">
        <v>278</v>
      </c>
    </row>
    <row r="20" spans="2:28">
      <c r="B20" s="109">
        <f t="shared" si="0"/>
        <v>2026</v>
      </c>
      <c r="C20" s="113"/>
      <c r="D20" s="111">
        <f t="shared" ref="D20:E35" si="5">ROUND(D19*(1+IRP23_Infl_Rate),2)</f>
        <v>155.55000000000001</v>
      </c>
      <c r="E20" s="111">
        <f t="shared" si="5"/>
        <v>47.39</v>
      </c>
      <c r="F20" s="165">
        <f t="shared" ref="F20:F37" si="6">$C$60</f>
        <v>0</v>
      </c>
      <c r="G20" s="112">
        <f t="shared" si="2"/>
        <v>305.98029965452344</v>
      </c>
      <c r="H20" s="111"/>
      <c r="I20" s="112">
        <f t="shared" si="3"/>
        <v>305.98029965452344</v>
      </c>
      <c r="J20" s="112">
        <f t="shared" si="4"/>
        <v>202.94</v>
      </c>
      <c r="K20" s="111">
        <f t="shared" si="1"/>
        <v>202.94</v>
      </c>
      <c r="P20" s="112"/>
      <c r="R20" s="129"/>
      <c r="U20" s="129"/>
      <c r="V20" s="129"/>
      <c r="X20" s="129"/>
    </row>
    <row r="21" spans="2:28">
      <c r="B21" s="109">
        <f t="shared" si="0"/>
        <v>2027</v>
      </c>
      <c r="C21" s="113"/>
      <c r="D21" s="111">
        <f t="shared" si="5"/>
        <v>159.08000000000001</v>
      </c>
      <c r="E21" s="111">
        <f t="shared" si="5"/>
        <v>48.47</v>
      </c>
      <c r="F21" s="165">
        <f t="shared" si="6"/>
        <v>0</v>
      </c>
      <c r="G21" s="112">
        <f t="shared" si="2"/>
        <v>312.9309706972324</v>
      </c>
      <c r="H21" s="111"/>
      <c r="I21" s="112">
        <f t="shared" si="3"/>
        <v>312.9309706972324</v>
      </c>
      <c r="J21" s="112">
        <f t="shared" si="4"/>
        <v>207.55</v>
      </c>
      <c r="K21" s="111">
        <f t="shared" si="1"/>
        <v>207.55</v>
      </c>
      <c r="P21" s="112"/>
      <c r="R21" s="129"/>
      <c r="U21" s="129"/>
      <c r="V21" s="129"/>
      <c r="X21" s="129"/>
      <c r="Y21" s="129"/>
      <c r="Z21" s="129"/>
    </row>
    <row r="22" spans="2:28">
      <c r="B22" s="109">
        <f t="shared" si="0"/>
        <v>2028</v>
      </c>
      <c r="C22" s="113"/>
      <c r="D22" s="111">
        <f t="shared" si="5"/>
        <v>162.69</v>
      </c>
      <c r="E22" s="111">
        <f t="shared" si="5"/>
        <v>49.57</v>
      </c>
      <c r="F22" s="165">
        <f t="shared" si="6"/>
        <v>0</v>
      </c>
      <c r="G22" s="112">
        <f t="shared" si="2"/>
        <v>320.03241551527123</v>
      </c>
      <c r="H22" s="111"/>
      <c r="I22" s="112">
        <f t="shared" si="3"/>
        <v>320.03241551527123</v>
      </c>
      <c r="J22" s="112">
        <f t="shared" si="4"/>
        <v>212.26</v>
      </c>
      <c r="K22" s="111">
        <f t="shared" si="1"/>
        <v>212.26</v>
      </c>
      <c r="P22" s="112"/>
      <c r="R22" s="129"/>
      <c r="U22" s="129"/>
      <c r="V22" s="129"/>
      <c r="X22" s="129"/>
      <c r="Y22" s="129"/>
      <c r="Z22" s="129"/>
    </row>
    <row r="23" spans="2:28">
      <c r="B23" s="109">
        <f t="shared" si="0"/>
        <v>2029</v>
      </c>
      <c r="C23" s="113"/>
      <c r="D23" s="111">
        <f t="shared" si="5"/>
        <v>166.38</v>
      </c>
      <c r="E23" s="111">
        <f t="shared" si="5"/>
        <v>50.7</v>
      </c>
      <c r="F23" s="165">
        <f t="shared" si="6"/>
        <v>0</v>
      </c>
      <c r="G23" s="112">
        <f t="shared" si="2"/>
        <v>327.29971148617295</v>
      </c>
      <c r="H23" s="111"/>
      <c r="I23" s="112">
        <f t="shared" si="3"/>
        <v>327.29971148617295</v>
      </c>
      <c r="J23" s="112">
        <f t="shared" si="4"/>
        <v>217.08</v>
      </c>
      <c r="K23" s="111">
        <f t="shared" si="1"/>
        <v>217.07999999999998</v>
      </c>
      <c r="P23" s="112"/>
      <c r="R23" s="129"/>
      <c r="U23" s="129"/>
      <c r="V23" s="129"/>
      <c r="X23" s="129"/>
      <c r="Y23" s="129"/>
      <c r="Z23" s="129"/>
    </row>
    <row r="24" spans="2:28">
      <c r="B24" s="109">
        <f t="shared" si="0"/>
        <v>2030</v>
      </c>
      <c r="C24" s="113"/>
      <c r="D24" s="111">
        <f t="shared" si="5"/>
        <v>170.16</v>
      </c>
      <c r="E24" s="111">
        <f t="shared" si="5"/>
        <v>51.85</v>
      </c>
      <c r="F24" s="165">
        <f t="shared" si="6"/>
        <v>0</v>
      </c>
      <c r="G24" s="112">
        <f t="shared" si="2"/>
        <v>334.73285860993764</v>
      </c>
      <c r="H24" s="111"/>
      <c r="I24" s="112">
        <f t="shared" si="3"/>
        <v>334.73285860993764</v>
      </c>
      <c r="J24" s="112">
        <f t="shared" si="4"/>
        <v>222.01</v>
      </c>
      <c r="K24" s="111">
        <f t="shared" si="1"/>
        <v>222.01</v>
      </c>
      <c r="P24" s="112"/>
      <c r="R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si="5"/>
        <v>174.02</v>
      </c>
      <c r="E25" s="111">
        <f t="shared" si="5"/>
        <v>53.03</v>
      </c>
      <c r="F25" s="165">
        <f t="shared" si="6"/>
        <v>0</v>
      </c>
      <c r="G25" s="112">
        <f t="shared" si="2"/>
        <v>342.33185688656522</v>
      </c>
      <c r="H25" s="111"/>
      <c r="I25" s="112">
        <f t="shared" si="3"/>
        <v>342.33185688656522</v>
      </c>
      <c r="J25" s="112">
        <f t="shared" si="4"/>
        <v>227.05</v>
      </c>
      <c r="K25" s="111">
        <f t="shared" si="1"/>
        <v>227.05</v>
      </c>
      <c r="P25" s="112"/>
      <c r="R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si="5"/>
        <v>177.97</v>
      </c>
      <c r="E26" s="111">
        <f t="shared" si="5"/>
        <v>54.23</v>
      </c>
      <c r="F26" s="165">
        <f t="shared" si="6"/>
        <v>0</v>
      </c>
      <c r="G26" s="112">
        <f t="shared" si="2"/>
        <v>350.09670631605564</v>
      </c>
      <c r="H26" s="111"/>
      <c r="I26" s="112">
        <f t="shared" si="3"/>
        <v>350.09670631605564</v>
      </c>
      <c r="J26" s="112">
        <f t="shared" si="4"/>
        <v>232.2</v>
      </c>
      <c r="K26" s="111">
        <f t="shared" si="1"/>
        <v>232.2</v>
      </c>
      <c r="P26" s="112"/>
      <c r="R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si="5"/>
        <v>182.01</v>
      </c>
      <c r="E27" s="111">
        <f t="shared" si="5"/>
        <v>55.46</v>
      </c>
      <c r="F27" s="165">
        <f t="shared" si="6"/>
        <v>0</v>
      </c>
      <c r="G27" s="112">
        <f t="shared" si="2"/>
        <v>358.042484275942</v>
      </c>
      <c r="H27" s="111"/>
      <c r="I27" s="112">
        <f t="shared" si="3"/>
        <v>358.042484275942</v>
      </c>
      <c r="J27" s="112">
        <f t="shared" si="4"/>
        <v>237.47</v>
      </c>
      <c r="K27" s="111">
        <f t="shared" si="1"/>
        <v>237.47</v>
      </c>
      <c r="P27" s="112"/>
      <c r="R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si="5"/>
        <v>186.14</v>
      </c>
      <c r="E28" s="111">
        <f t="shared" si="5"/>
        <v>56.72</v>
      </c>
      <c r="F28" s="165">
        <f t="shared" si="6"/>
        <v>0</v>
      </c>
      <c r="G28" s="112">
        <f t="shared" si="2"/>
        <v>366.16919076622429</v>
      </c>
      <c r="H28" s="111"/>
      <c r="I28" s="112">
        <f t="shared" si="3"/>
        <v>366.16919076622429</v>
      </c>
      <c r="J28" s="112">
        <f t="shared" si="4"/>
        <v>242.86</v>
      </c>
      <c r="K28" s="111">
        <f t="shared" si="1"/>
        <v>242.85999999999999</v>
      </c>
      <c r="P28" s="112"/>
      <c r="R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si="5"/>
        <v>190.37</v>
      </c>
      <c r="E29" s="111">
        <f t="shared" si="5"/>
        <v>58.01</v>
      </c>
      <c r="F29" s="165">
        <f t="shared" si="6"/>
        <v>0</v>
      </c>
      <c r="G29" s="112">
        <f t="shared" si="2"/>
        <v>374.49190316443543</v>
      </c>
      <c r="H29" s="111"/>
      <c r="I29" s="112">
        <f t="shared" si="3"/>
        <v>374.49190316443543</v>
      </c>
      <c r="J29" s="112">
        <f t="shared" si="4"/>
        <v>248.38</v>
      </c>
      <c r="K29" s="111">
        <f t="shared" si="1"/>
        <v>248.38</v>
      </c>
      <c r="P29" s="112"/>
      <c r="R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si="5"/>
        <v>194.69</v>
      </c>
      <c r="E30" s="111">
        <f t="shared" si="5"/>
        <v>59.33</v>
      </c>
      <c r="F30" s="165">
        <f t="shared" si="6"/>
        <v>0</v>
      </c>
      <c r="G30" s="112">
        <f t="shared" si="2"/>
        <v>382.99554409304244</v>
      </c>
      <c r="H30" s="111"/>
      <c r="I30" s="112">
        <f t="shared" si="3"/>
        <v>382.99554409304244</v>
      </c>
      <c r="J30" s="112">
        <f t="shared" si="4"/>
        <v>254.02</v>
      </c>
      <c r="K30" s="111">
        <f t="shared" si="1"/>
        <v>254.01999999999998</v>
      </c>
      <c r="P30" s="112"/>
      <c r="R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si="5"/>
        <v>199.11</v>
      </c>
      <c r="E31" s="111">
        <f t="shared" si="5"/>
        <v>60.68</v>
      </c>
      <c r="F31" s="165">
        <f t="shared" si="6"/>
        <v>0</v>
      </c>
      <c r="G31" s="112">
        <f t="shared" si="2"/>
        <v>391.69519092957842</v>
      </c>
      <c r="H31" s="111"/>
      <c r="I31" s="112">
        <f t="shared" si="3"/>
        <v>391.69519092957842</v>
      </c>
      <c r="J31" s="112">
        <f t="shared" si="4"/>
        <v>259.79000000000002</v>
      </c>
      <c r="K31" s="111">
        <f t="shared" si="1"/>
        <v>259.79000000000002</v>
      </c>
      <c r="P31" s="112"/>
      <c r="R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si="5"/>
        <v>203.63</v>
      </c>
      <c r="E32" s="111">
        <f t="shared" si="5"/>
        <v>62.06</v>
      </c>
      <c r="F32" s="165">
        <f t="shared" si="6"/>
        <v>0</v>
      </c>
      <c r="G32" s="112">
        <f t="shared" si="2"/>
        <v>400.59084367404319</v>
      </c>
      <c r="H32" s="111"/>
      <c r="I32" s="112">
        <f t="shared" si="3"/>
        <v>400.59084367404319</v>
      </c>
      <c r="J32" s="112">
        <f t="shared" si="4"/>
        <v>265.69</v>
      </c>
      <c r="K32" s="111">
        <f t="shared" si="1"/>
        <v>265.69</v>
      </c>
      <c r="P32" s="112"/>
      <c r="R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si="5"/>
        <v>208.25</v>
      </c>
      <c r="E33" s="111">
        <f t="shared" si="5"/>
        <v>63.47</v>
      </c>
      <c r="F33" s="165">
        <f t="shared" si="6"/>
        <v>0</v>
      </c>
      <c r="G33" s="112">
        <f t="shared" si="2"/>
        <v>409.68250232643692</v>
      </c>
      <c r="H33" s="111"/>
      <c r="I33" s="112">
        <f t="shared" si="3"/>
        <v>409.68250232643692</v>
      </c>
      <c r="J33" s="112">
        <f t="shared" si="4"/>
        <v>271.72000000000003</v>
      </c>
      <c r="K33" s="111">
        <f t="shared" si="1"/>
        <v>271.72000000000003</v>
      </c>
      <c r="P33" s="112"/>
    </row>
    <row r="34" spans="2:16">
      <c r="B34" s="109">
        <f t="shared" si="0"/>
        <v>2040</v>
      </c>
      <c r="C34" s="113"/>
      <c r="D34" s="111">
        <f t="shared" si="5"/>
        <v>212.98</v>
      </c>
      <c r="E34" s="111">
        <f t="shared" si="5"/>
        <v>64.91</v>
      </c>
      <c r="F34" s="165">
        <f t="shared" si="6"/>
        <v>0</v>
      </c>
      <c r="G34" s="112">
        <f t="shared" si="2"/>
        <v>418.98524426429242</v>
      </c>
      <c r="H34" s="111"/>
      <c r="I34" s="112">
        <f t="shared" si="3"/>
        <v>418.98524426429242</v>
      </c>
      <c r="J34" s="112">
        <f t="shared" si="4"/>
        <v>277.89</v>
      </c>
      <c r="K34" s="111">
        <f t="shared" si="1"/>
        <v>277.89</v>
      </c>
      <c r="P34" s="112"/>
    </row>
    <row r="35" spans="2:16">
      <c r="B35" s="109">
        <f t="shared" si="0"/>
        <v>2041</v>
      </c>
      <c r="C35" s="113"/>
      <c r="D35" s="111">
        <f t="shared" si="5"/>
        <v>217.81</v>
      </c>
      <c r="E35" s="111">
        <f t="shared" si="5"/>
        <v>66.38</v>
      </c>
      <c r="F35" s="165">
        <f t="shared" si="6"/>
        <v>0</v>
      </c>
      <c r="G35" s="112">
        <f t="shared" si="2"/>
        <v>428.48399211007694</v>
      </c>
      <c r="H35" s="111"/>
      <c r="I35" s="112">
        <f t="shared" si="3"/>
        <v>428.48399211007694</v>
      </c>
      <c r="J35" s="112">
        <f t="shared" si="4"/>
        <v>284.19</v>
      </c>
      <c r="K35" s="111">
        <f t="shared" si="1"/>
        <v>284.19</v>
      </c>
      <c r="P35" s="112"/>
    </row>
    <row r="36" spans="2:16">
      <c r="B36" s="109">
        <f t="shared" si="0"/>
        <v>2042</v>
      </c>
      <c r="C36" s="113"/>
      <c r="D36" s="111">
        <f t="shared" ref="D36:E37" si="7">ROUND(D35*(1+IRP23_Infl_Rate),2)</f>
        <v>222.75</v>
      </c>
      <c r="E36" s="111">
        <f t="shared" si="7"/>
        <v>67.89</v>
      </c>
      <c r="F36" s="165">
        <f t="shared" si="6"/>
        <v>0</v>
      </c>
      <c r="G36" s="112">
        <f t="shared" si="2"/>
        <v>438.20890061885621</v>
      </c>
      <c r="H36" s="111"/>
      <c r="I36" s="112">
        <f t="shared" si="3"/>
        <v>438.20890061885621</v>
      </c>
      <c r="J36" s="112">
        <f t="shared" si="4"/>
        <v>290.64</v>
      </c>
      <c r="K36" s="111">
        <f t="shared" si="1"/>
        <v>290.64</v>
      </c>
      <c r="P36" s="112"/>
    </row>
    <row r="37" spans="2:16">
      <c r="B37" s="109">
        <f t="shared" si="0"/>
        <v>2043</v>
      </c>
      <c r="C37" s="113"/>
      <c r="D37" s="111">
        <f t="shared" si="7"/>
        <v>227.81</v>
      </c>
      <c r="E37" s="111">
        <f t="shared" si="7"/>
        <v>69.430000000000007</v>
      </c>
      <c r="F37" s="165">
        <f t="shared" si="6"/>
        <v>0</v>
      </c>
      <c r="G37" s="112">
        <f t="shared" si="2"/>
        <v>448.15996979063044</v>
      </c>
      <c r="H37" s="111"/>
      <c r="I37" s="112">
        <f t="shared" si="3"/>
        <v>448.15996979063044</v>
      </c>
      <c r="J37" s="112">
        <f t="shared" si="4"/>
        <v>297.24</v>
      </c>
      <c r="K37" s="111">
        <f t="shared" si="1"/>
        <v>297.24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-PMT(Discount_Rate,COUNT(I19:I37),NPV(Discount_Rate,I19:I37))</f>
        <v>353.26660583432579</v>
      </c>
      <c r="J39" s="287">
        <f>-PMT(Discount_Rate,COUNT(J19:J37),NPV(Discount_Rate,J19:J37))</f>
        <v>234.30249622787196</v>
      </c>
      <c r="K39" s="287">
        <f>-PMT(Discount_Rate,COUNT(K19:K37),NPV(Discount_Rate,K19:K37))</f>
        <v>234.30242100214974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7.6%)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8">
      <c r="C49" s="119" t="str">
        <f>J7</f>
        <v>(h)</v>
      </c>
      <c r="D49" t="str">
        <f>D44</f>
        <v>Plant Costs  - 2023 IRP - Table 7.1 &amp; 7.2</v>
      </c>
    </row>
    <row r="50" spans="2:18">
      <c r="C50" s="119"/>
      <c r="D50" s="112"/>
    </row>
    <row r="51" spans="2:18" ht="13.5" thickBot="1"/>
    <row r="52" spans="2:18" ht="13.5" thickBot="1">
      <c r="C52" s="38" t="str">
        <f>B2&amp;" - "&amp;B3</f>
        <v>PVS.PX.WYE._.SER.BAT - 8%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8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8">
      <c r="P54" s="102" t="s">
        <v>98</v>
      </c>
      <c r="Q54" s="102">
        <v>2025</v>
      </c>
      <c r="R54" s="273" t="s">
        <v>252</v>
      </c>
    </row>
    <row r="55" spans="2:18">
      <c r="B55" t="s">
        <v>152</v>
      </c>
      <c r="C55" s="267"/>
      <c r="D55" s="102" t="s">
        <v>65</v>
      </c>
      <c r="O55" s="226">
        <v>314.89999999999998</v>
      </c>
      <c r="P55" s="102" t="s">
        <v>32</v>
      </c>
      <c r="R55" s="273"/>
    </row>
    <row r="56" spans="2:18">
      <c r="B56" t="s">
        <v>152</v>
      </c>
      <c r="C56" s="126"/>
      <c r="D56" s="102" t="s">
        <v>68</v>
      </c>
    </row>
    <row r="57" spans="2:18" ht="24" customHeight="1">
      <c r="B57"/>
      <c r="C57" s="129"/>
      <c r="D57" s="102" t="s">
        <v>99</v>
      </c>
      <c r="Q57" s="175"/>
    </row>
    <row r="58" spans="2:18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8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8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K60" s="270"/>
      <c r="L60" s="270"/>
      <c r="M60" s="270"/>
      <c r="O60" s="127"/>
    </row>
    <row r="61" spans="2:18">
      <c r="B61"/>
      <c r="C61" s="166"/>
      <c r="K61" s="270"/>
      <c r="L61" s="270"/>
      <c r="M61" s="270"/>
      <c r="O61" s="270"/>
    </row>
    <row r="62" spans="2:18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8">
      <c r="C63" s="272">
        <f>IRP_LTReport!F27*1000/(O55*8760)</f>
        <v>7.5712935417161537E-2</v>
      </c>
      <c r="D63" s="102" t="s">
        <v>37</v>
      </c>
      <c r="Q63" s="102" t="s">
        <v>230</v>
      </c>
    </row>
    <row r="64" spans="2:18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233-286E-4F39-B577-AFE51F3D5D4E}">
  <sheetPr>
    <tabColor rgb="FFFFC000"/>
    <pageSetUpPr fitToPage="1"/>
  </sheetPr>
  <dimension ref="B1:AB91"/>
  <sheetViews>
    <sheetView topLeftCell="A9" zoomScale="70" zoomScaleNormal="70" workbookViewId="0">
      <selection activeCell="O20" sqref="O20:O42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3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18.1640625" style="102" customWidth="1"/>
    <col min="19" max="19" width="9.33203125" style="102"/>
    <col min="20" max="20" width="15.5" style="102" customWidth="1"/>
    <col min="21" max="21" width="8" style="102" customWidth="1"/>
    <col min="22" max="22" width="31.33203125" style="102" customWidth="1"/>
    <col min="23" max="26" width="9.33203125" style="102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R54</f>
        <v>PVS.PX.WMV._.222.BAT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13%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R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R6" s="225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</row>
    <row r="8" spans="2:26" ht="6" customHeight="1"/>
    <row r="9" spans="2:26" ht="15.75">
      <c r="B9" s="39" t="str">
        <f>C52</f>
        <v>PVS.PX.WMV._.222.BAT - 13%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>
        <f>(D12+E12+F12)</f>
        <v>0</v>
      </c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>
        <f t="shared" ref="K13:K37" si="1">(D13+E13+F13)</f>
        <v>0</v>
      </c>
      <c r="Q13" s="102" t="s">
        <v>545</v>
      </c>
      <c r="R13" s="129"/>
      <c r="S13" s="102" t="s">
        <v>265</v>
      </c>
      <c r="T13" s="129"/>
      <c r="V13" s="129" t="s">
        <v>276</v>
      </c>
      <c r="W13" s="102" t="s">
        <v>247</v>
      </c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>
        <f t="shared" si="1"/>
        <v>0</v>
      </c>
      <c r="O14" s="114"/>
      <c r="P14" s="265"/>
      <c r="Q14" s="115" t="s">
        <v>232</v>
      </c>
      <c r="R14" s="129" t="s">
        <v>275</v>
      </c>
      <c r="S14" s="102" t="s">
        <v>238</v>
      </c>
      <c r="T14" s="129"/>
      <c r="W14" s="115" t="s">
        <v>232</v>
      </c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>
        <f t="shared" si="1"/>
        <v>0</v>
      </c>
      <c r="O15" s="266"/>
      <c r="P15" s="265"/>
      <c r="Q15" s="115"/>
      <c r="S15" s="102" t="s">
        <v>273</v>
      </c>
      <c r="T15" s="129" t="s">
        <v>274</v>
      </c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>
        <f t="shared" si="1"/>
        <v>0</v>
      </c>
      <c r="Q16" s="274">
        <v>1728.6589634669394</v>
      </c>
      <c r="R16" s="129">
        <f>S16-Q16</f>
        <v>-6.1889634669394127</v>
      </c>
      <c r="S16" s="102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>
        <f t="shared" si="1"/>
        <v>0</v>
      </c>
      <c r="O17" s="114"/>
      <c r="Q17" s="277"/>
      <c r="R17" s="277"/>
      <c r="S17" s="102">
        <f>S16*IRP_PTC_ESC!$AJ3</f>
        <v>1809.626982</v>
      </c>
      <c r="T17" s="129"/>
      <c r="W17" s="277">
        <f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>
        <f t="shared" si="1"/>
        <v>0</v>
      </c>
      <c r="P18" s="263"/>
      <c r="Q18" s="277"/>
      <c r="R18" s="277"/>
      <c r="S18" s="102">
        <f>S17*IRP_PTC_ESC!$AJ4</f>
        <v>1809.626982</v>
      </c>
      <c r="T18" s="129"/>
      <c r="W18" s="277">
        <f>W17*(1+IRP23_Infl_Rate)</f>
        <v>42.159134777192428</v>
      </c>
      <c r="AB18" s="227"/>
    </row>
    <row r="19" spans="2:28">
      <c r="B19" s="109">
        <f t="shared" si="0"/>
        <v>2025</v>
      </c>
      <c r="C19" s="274">
        <f>IRP_LTReport!R60</f>
        <v>1809.6270713611111</v>
      </c>
      <c r="D19" s="111">
        <f>C19*$C$62</f>
        <v>152.09915534790139</v>
      </c>
      <c r="E19" s="281">
        <f>+IRP_LTReport!L60</f>
        <v>68.749999999916966</v>
      </c>
      <c r="F19" s="165">
        <f>$C$60</f>
        <v>0</v>
      </c>
      <c r="G19" s="112">
        <f t="shared" ref="G19:G37" si="2">(D19+E19+F19)/(8.76*$C$63)</f>
        <v>195.9445970617104</v>
      </c>
      <c r="H19" s="111"/>
      <c r="I19" s="112">
        <f t="shared" ref="I19:I37" si="3">(G19+H19)</f>
        <v>195.9445970617104</v>
      </c>
      <c r="J19" s="112">
        <f t="shared" ref="J19:J37" si="4">ROUND(I19*$C$63*8.76,2)</f>
        <v>220.85</v>
      </c>
      <c r="K19" s="111">
        <f t="shared" si="1"/>
        <v>220.84915534781834</v>
      </c>
      <c r="P19" s="263"/>
      <c r="Q19" s="277"/>
      <c r="R19" s="277"/>
      <c r="S19" s="102">
        <f>S18*IRP_PTC_ESC!$AJ5</f>
        <v>1809.626982</v>
      </c>
      <c r="U19" s="129">
        <f>S19-C19</f>
        <v>-8.9361111122343573E-5</v>
      </c>
      <c r="W19" s="277">
        <f>W18*(1+IRP23_Infl_Rate)</f>
        <v>43.116147136824793</v>
      </c>
      <c r="X19" s="129">
        <f>W19-E19</f>
        <v>-25.633852863092173</v>
      </c>
      <c r="Y19" s="273" t="s">
        <v>278</v>
      </c>
    </row>
    <row r="20" spans="2:28">
      <c r="B20" s="109">
        <f t="shared" si="0"/>
        <v>2026</v>
      </c>
      <c r="C20" s="113"/>
      <c r="D20" s="111">
        <f t="shared" ref="D20:E35" si="5">ROUND(D19*(1+IRP23_Infl_Rate),2)</f>
        <v>155.55000000000001</v>
      </c>
      <c r="E20" s="111">
        <f t="shared" si="5"/>
        <v>70.31</v>
      </c>
      <c r="F20" s="165">
        <f t="shared" ref="F20:F37" si="6">$C$60</f>
        <v>0</v>
      </c>
      <c r="G20" s="112">
        <f t="shared" si="2"/>
        <v>200.39038239769792</v>
      </c>
      <c r="H20" s="111"/>
      <c r="I20" s="112">
        <f t="shared" si="3"/>
        <v>200.39038239769792</v>
      </c>
      <c r="J20" s="112">
        <f t="shared" si="4"/>
        <v>225.86</v>
      </c>
      <c r="K20" s="111">
        <f t="shared" si="1"/>
        <v>225.86</v>
      </c>
      <c r="P20" s="112"/>
      <c r="R20" s="129"/>
      <c r="U20" s="129"/>
      <c r="V20" s="129"/>
      <c r="X20" s="129"/>
    </row>
    <row r="21" spans="2:28">
      <c r="B21" s="109">
        <f t="shared" si="0"/>
        <v>2027</v>
      </c>
      <c r="C21" s="113"/>
      <c r="D21" s="111">
        <f t="shared" si="5"/>
        <v>159.08000000000001</v>
      </c>
      <c r="E21" s="111">
        <f t="shared" si="5"/>
        <v>71.91</v>
      </c>
      <c r="F21" s="165">
        <f t="shared" si="6"/>
        <v>0</v>
      </c>
      <c r="G21" s="112">
        <f t="shared" si="2"/>
        <v>204.94188625716922</v>
      </c>
      <c r="H21" s="111"/>
      <c r="I21" s="112">
        <f t="shared" si="3"/>
        <v>204.94188625716922</v>
      </c>
      <c r="J21" s="112">
        <f t="shared" si="4"/>
        <v>230.99</v>
      </c>
      <c r="K21" s="111">
        <f t="shared" si="1"/>
        <v>230.99</v>
      </c>
      <c r="P21" s="112"/>
      <c r="R21" s="129"/>
      <c r="U21" s="129"/>
      <c r="V21" s="129"/>
      <c r="X21" s="129"/>
      <c r="Y21" s="129"/>
      <c r="Z21" s="129"/>
    </row>
    <row r="22" spans="2:28">
      <c r="B22" s="109">
        <f t="shared" si="0"/>
        <v>2028</v>
      </c>
      <c r="C22" s="113"/>
      <c r="D22" s="111">
        <f t="shared" si="5"/>
        <v>162.69</v>
      </c>
      <c r="E22" s="111">
        <f t="shared" si="5"/>
        <v>73.540000000000006</v>
      </c>
      <c r="F22" s="165">
        <f t="shared" si="6"/>
        <v>0</v>
      </c>
      <c r="G22" s="112">
        <f t="shared" si="2"/>
        <v>209.59098571596644</v>
      </c>
      <c r="H22" s="111"/>
      <c r="I22" s="112">
        <f t="shared" si="3"/>
        <v>209.59098571596644</v>
      </c>
      <c r="J22" s="112">
        <f t="shared" si="4"/>
        <v>236.23</v>
      </c>
      <c r="K22" s="111">
        <f t="shared" si="1"/>
        <v>236.23000000000002</v>
      </c>
      <c r="P22" s="112"/>
      <c r="R22" s="129"/>
      <c r="U22" s="129"/>
      <c r="V22" s="129"/>
      <c r="X22" s="129"/>
      <c r="Y22" s="129"/>
      <c r="Z22" s="129"/>
    </row>
    <row r="23" spans="2:28">
      <c r="B23" s="109">
        <f t="shared" si="0"/>
        <v>2029</v>
      </c>
      <c r="C23" s="113"/>
      <c r="D23" s="111">
        <f t="shared" si="5"/>
        <v>166.38</v>
      </c>
      <c r="E23" s="111">
        <f t="shared" si="5"/>
        <v>75.209999999999994</v>
      </c>
      <c r="F23" s="165">
        <f t="shared" si="6"/>
        <v>0</v>
      </c>
      <c r="G23" s="112">
        <f t="shared" si="2"/>
        <v>214.34655310130094</v>
      </c>
      <c r="H23" s="111"/>
      <c r="I23" s="112">
        <f t="shared" si="3"/>
        <v>214.34655310130094</v>
      </c>
      <c r="J23" s="112">
        <f t="shared" si="4"/>
        <v>241.59</v>
      </c>
      <c r="K23" s="111">
        <f t="shared" si="1"/>
        <v>241.58999999999997</v>
      </c>
      <c r="P23" s="112"/>
      <c r="R23" s="129"/>
      <c r="U23" s="129"/>
      <c r="V23" s="129"/>
      <c r="X23" s="129"/>
      <c r="Y23" s="129"/>
      <c r="Z23" s="129"/>
    </row>
    <row r="24" spans="2:28">
      <c r="B24" s="109">
        <f t="shared" si="0"/>
        <v>2030</v>
      </c>
      <c r="C24" s="113"/>
      <c r="D24" s="111">
        <f t="shared" si="5"/>
        <v>170.16</v>
      </c>
      <c r="E24" s="111">
        <f t="shared" si="5"/>
        <v>76.92</v>
      </c>
      <c r="F24" s="165">
        <f t="shared" si="6"/>
        <v>0</v>
      </c>
      <c r="G24" s="112">
        <f t="shared" si="2"/>
        <v>219.2174607403843</v>
      </c>
      <c r="H24" s="111"/>
      <c r="I24" s="112">
        <f t="shared" si="3"/>
        <v>219.2174607403843</v>
      </c>
      <c r="J24" s="112">
        <f t="shared" si="4"/>
        <v>247.08</v>
      </c>
      <c r="K24" s="111">
        <f t="shared" si="1"/>
        <v>247.07999999999998</v>
      </c>
      <c r="P24" s="112"/>
      <c r="R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si="5"/>
        <v>174.02</v>
      </c>
      <c r="E25" s="111">
        <f t="shared" si="5"/>
        <v>78.67</v>
      </c>
      <c r="F25" s="165">
        <f t="shared" si="6"/>
        <v>0</v>
      </c>
      <c r="G25" s="112">
        <f t="shared" si="2"/>
        <v>224.19483630600499</v>
      </c>
      <c r="H25" s="111"/>
      <c r="I25" s="112">
        <f t="shared" si="3"/>
        <v>224.19483630600499</v>
      </c>
      <c r="J25" s="112">
        <f t="shared" si="4"/>
        <v>252.69</v>
      </c>
      <c r="K25" s="111">
        <f t="shared" si="1"/>
        <v>252.69</v>
      </c>
      <c r="P25" s="112"/>
      <c r="R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si="5"/>
        <v>177.97</v>
      </c>
      <c r="E26" s="111">
        <f t="shared" si="5"/>
        <v>80.459999999999994</v>
      </c>
      <c r="F26" s="165">
        <f t="shared" si="6"/>
        <v>0</v>
      </c>
      <c r="G26" s="112">
        <f t="shared" si="2"/>
        <v>229.28755212537445</v>
      </c>
      <c r="H26" s="111"/>
      <c r="I26" s="112">
        <f t="shared" si="3"/>
        <v>229.28755212537445</v>
      </c>
      <c r="J26" s="112">
        <f t="shared" si="4"/>
        <v>258.43</v>
      </c>
      <c r="K26" s="111">
        <f t="shared" si="1"/>
        <v>258.43</v>
      </c>
      <c r="P26" s="112"/>
      <c r="R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si="5"/>
        <v>182.01</v>
      </c>
      <c r="E27" s="111">
        <f t="shared" si="5"/>
        <v>82.29</v>
      </c>
      <c r="F27" s="165">
        <f t="shared" si="6"/>
        <v>0</v>
      </c>
      <c r="G27" s="112">
        <f t="shared" si="2"/>
        <v>234.4956081984927</v>
      </c>
      <c r="H27" s="111"/>
      <c r="I27" s="112">
        <f t="shared" si="3"/>
        <v>234.4956081984927</v>
      </c>
      <c r="J27" s="112">
        <f t="shared" si="4"/>
        <v>264.3</v>
      </c>
      <c r="K27" s="111">
        <f t="shared" si="1"/>
        <v>264.3</v>
      </c>
      <c r="P27" s="112"/>
      <c r="R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si="5"/>
        <v>186.14</v>
      </c>
      <c r="E28" s="111">
        <f t="shared" si="5"/>
        <v>84.16</v>
      </c>
      <c r="F28" s="165">
        <f t="shared" si="6"/>
        <v>0</v>
      </c>
      <c r="G28" s="112">
        <f t="shared" si="2"/>
        <v>239.81900452535967</v>
      </c>
      <c r="H28" s="111"/>
      <c r="I28" s="112">
        <f t="shared" si="3"/>
        <v>239.81900452535967</v>
      </c>
      <c r="J28" s="112">
        <f t="shared" si="4"/>
        <v>270.3</v>
      </c>
      <c r="K28" s="111">
        <f t="shared" si="1"/>
        <v>270.29999999999995</v>
      </c>
      <c r="P28" s="112"/>
      <c r="R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si="5"/>
        <v>190.37</v>
      </c>
      <c r="E29" s="111">
        <f t="shared" si="5"/>
        <v>86.07</v>
      </c>
      <c r="F29" s="165">
        <f t="shared" si="6"/>
        <v>0</v>
      </c>
      <c r="G29" s="112">
        <f t="shared" si="2"/>
        <v>245.26661343318696</v>
      </c>
      <c r="H29" s="111"/>
      <c r="I29" s="112">
        <f t="shared" si="3"/>
        <v>245.26661343318696</v>
      </c>
      <c r="J29" s="112">
        <f t="shared" si="4"/>
        <v>276.44</v>
      </c>
      <c r="K29" s="111">
        <f t="shared" si="1"/>
        <v>276.44</v>
      </c>
      <c r="P29" s="112"/>
      <c r="R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si="5"/>
        <v>194.69</v>
      </c>
      <c r="E30" s="111">
        <f t="shared" si="5"/>
        <v>88.02</v>
      </c>
      <c r="F30" s="165">
        <f t="shared" si="6"/>
        <v>0</v>
      </c>
      <c r="G30" s="112">
        <f t="shared" si="2"/>
        <v>250.82956259476299</v>
      </c>
      <c r="H30" s="111"/>
      <c r="I30" s="112">
        <f t="shared" si="3"/>
        <v>250.82956259476299</v>
      </c>
      <c r="J30" s="112">
        <f t="shared" si="4"/>
        <v>282.70999999999998</v>
      </c>
      <c r="K30" s="111">
        <f t="shared" si="1"/>
        <v>282.70999999999998</v>
      </c>
      <c r="P30" s="112"/>
      <c r="R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si="5"/>
        <v>199.11</v>
      </c>
      <c r="E31" s="111">
        <f t="shared" si="5"/>
        <v>90.02</v>
      </c>
      <c r="F31" s="165">
        <f t="shared" si="6"/>
        <v>0</v>
      </c>
      <c r="G31" s="112">
        <f t="shared" si="2"/>
        <v>256.52559666451072</v>
      </c>
      <c r="H31" s="111"/>
      <c r="I31" s="112">
        <f t="shared" si="3"/>
        <v>256.52559666451072</v>
      </c>
      <c r="J31" s="112">
        <f t="shared" si="4"/>
        <v>289.13</v>
      </c>
      <c r="K31" s="111">
        <f t="shared" si="1"/>
        <v>289.13</v>
      </c>
      <c r="P31" s="112"/>
      <c r="R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si="5"/>
        <v>203.63</v>
      </c>
      <c r="E32" s="111">
        <f t="shared" si="5"/>
        <v>92.06</v>
      </c>
      <c r="F32" s="165">
        <f t="shared" si="6"/>
        <v>0</v>
      </c>
      <c r="G32" s="112">
        <f t="shared" si="2"/>
        <v>262.3458433152187</v>
      </c>
      <c r="H32" s="111"/>
      <c r="I32" s="112">
        <f t="shared" si="3"/>
        <v>262.3458433152187</v>
      </c>
      <c r="J32" s="112">
        <f t="shared" si="4"/>
        <v>295.69</v>
      </c>
      <c r="K32" s="111">
        <f t="shared" si="1"/>
        <v>295.69</v>
      </c>
      <c r="P32" s="112"/>
      <c r="R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si="5"/>
        <v>208.25</v>
      </c>
      <c r="E33" s="111">
        <f t="shared" si="5"/>
        <v>94.15</v>
      </c>
      <c r="F33" s="165">
        <f t="shared" si="6"/>
        <v>0</v>
      </c>
      <c r="G33" s="112">
        <f t="shared" si="2"/>
        <v>268.2991748740983</v>
      </c>
      <c r="H33" s="111"/>
      <c r="I33" s="112">
        <f t="shared" si="3"/>
        <v>268.2991748740983</v>
      </c>
      <c r="J33" s="112">
        <f t="shared" si="4"/>
        <v>302.39999999999998</v>
      </c>
      <c r="K33" s="111">
        <f t="shared" si="1"/>
        <v>302.39999999999998</v>
      </c>
      <c r="P33" s="112"/>
    </row>
    <row r="34" spans="2:16">
      <c r="B34" s="109">
        <f t="shared" si="0"/>
        <v>2040</v>
      </c>
      <c r="C34" s="113"/>
      <c r="D34" s="111">
        <f t="shared" si="5"/>
        <v>212.98</v>
      </c>
      <c r="E34" s="111">
        <f t="shared" si="5"/>
        <v>96.29</v>
      </c>
      <c r="F34" s="165">
        <f t="shared" si="6"/>
        <v>0</v>
      </c>
      <c r="G34" s="112">
        <f t="shared" si="2"/>
        <v>274.39446366836108</v>
      </c>
      <c r="H34" s="111"/>
      <c r="I34" s="112">
        <f t="shared" si="3"/>
        <v>274.39446366836108</v>
      </c>
      <c r="J34" s="112">
        <f t="shared" si="4"/>
        <v>309.27</v>
      </c>
      <c r="K34" s="111">
        <f t="shared" si="1"/>
        <v>309.27</v>
      </c>
      <c r="P34" s="112"/>
    </row>
    <row r="35" spans="2:16">
      <c r="B35" s="109">
        <f t="shared" si="0"/>
        <v>2041</v>
      </c>
      <c r="C35" s="113"/>
      <c r="D35" s="111">
        <f t="shared" si="5"/>
        <v>217.81</v>
      </c>
      <c r="E35" s="111">
        <f t="shared" si="5"/>
        <v>98.48</v>
      </c>
      <c r="F35" s="165">
        <f t="shared" si="6"/>
        <v>0</v>
      </c>
      <c r="G35" s="112">
        <f t="shared" si="2"/>
        <v>280.62283737079554</v>
      </c>
      <c r="H35" s="111"/>
      <c r="I35" s="112">
        <f t="shared" si="3"/>
        <v>280.62283737079554</v>
      </c>
      <c r="J35" s="112">
        <f t="shared" si="4"/>
        <v>316.29000000000002</v>
      </c>
      <c r="K35" s="111">
        <f t="shared" si="1"/>
        <v>316.29000000000002</v>
      </c>
      <c r="P35" s="112"/>
    </row>
    <row r="36" spans="2:16">
      <c r="B36" s="109">
        <f t="shared" si="0"/>
        <v>2042</v>
      </c>
      <c r="C36" s="113"/>
      <c r="D36" s="111">
        <f t="shared" ref="D36:E37" si="7">ROUND(D35*(1+IRP23_Infl_Rate),2)</f>
        <v>222.75</v>
      </c>
      <c r="E36" s="111">
        <f t="shared" si="7"/>
        <v>100.72</v>
      </c>
      <c r="F36" s="165">
        <f t="shared" si="6"/>
        <v>0</v>
      </c>
      <c r="G36" s="112">
        <f t="shared" si="2"/>
        <v>286.99316830861306</v>
      </c>
      <c r="H36" s="111"/>
      <c r="I36" s="112">
        <f t="shared" si="3"/>
        <v>286.99316830861306</v>
      </c>
      <c r="J36" s="112">
        <f t="shared" si="4"/>
        <v>323.47000000000003</v>
      </c>
      <c r="K36" s="111">
        <f t="shared" si="1"/>
        <v>323.47000000000003</v>
      </c>
      <c r="P36" s="112"/>
    </row>
    <row r="37" spans="2:16">
      <c r="B37" s="109">
        <f t="shared" si="0"/>
        <v>2043</v>
      </c>
      <c r="C37" s="113"/>
      <c r="D37" s="111">
        <f t="shared" si="7"/>
        <v>227.81</v>
      </c>
      <c r="E37" s="111">
        <f t="shared" si="7"/>
        <v>103.01</v>
      </c>
      <c r="F37" s="165">
        <f t="shared" si="6"/>
        <v>0</v>
      </c>
      <c r="G37" s="112">
        <f t="shared" si="2"/>
        <v>293.51432880902513</v>
      </c>
      <c r="H37" s="111"/>
      <c r="I37" s="112">
        <f t="shared" si="3"/>
        <v>293.51432880902513</v>
      </c>
      <c r="J37" s="112">
        <f t="shared" si="4"/>
        <v>330.82</v>
      </c>
      <c r="K37" s="111">
        <f t="shared" si="1"/>
        <v>330.82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-PMT(Discount_Rate,COUNT(I19:I37),NPV(Discount_Rate,I19:I37))</f>
        <v>231.3590769791131</v>
      </c>
      <c r="J39" s="287">
        <f>-PMT(Discount_Rate,COUNT(J19:J37),NPV(Discount_Rate,J19:J37))</f>
        <v>260.76489088837712</v>
      </c>
      <c r="K39" s="287">
        <f>-PMT(Discount_Rate,COUNT(K19:K37),NPV(Discount_Rate,K19:K37))</f>
        <v>260.76481566264431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12.9%)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8">
      <c r="C49" s="119" t="str">
        <f>J7</f>
        <v>(h)</v>
      </c>
      <c r="D49" t="str">
        <f>D44</f>
        <v>Plant Costs  - 2023 IRP - Table 7.1 &amp; 7.2</v>
      </c>
    </row>
    <row r="50" spans="2:18">
      <c r="C50" s="119"/>
      <c r="D50" s="112"/>
    </row>
    <row r="51" spans="2:18" ht="13.5" thickBot="1"/>
    <row r="52" spans="2:18" ht="13.5" thickBot="1">
      <c r="C52" s="38" t="str">
        <f>B2&amp;" - "&amp;B3</f>
        <v>PVS.PX.WMV._.222.BAT - 13%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8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8">
      <c r="P54" s="102" t="s">
        <v>98</v>
      </c>
      <c r="Q54" s="102">
        <v>2025</v>
      </c>
      <c r="R54" s="273" t="s">
        <v>439</v>
      </c>
    </row>
    <row r="55" spans="2:18">
      <c r="B55" t="s">
        <v>152</v>
      </c>
      <c r="C55" s="267"/>
      <c r="D55" s="102" t="s">
        <v>65</v>
      </c>
      <c r="O55" s="226">
        <v>9</v>
      </c>
      <c r="P55" s="102" t="s">
        <v>32</v>
      </c>
      <c r="R55" s="273"/>
    </row>
    <row r="56" spans="2:18">
      <c r="B56" t="s">
        <v>152</v>
      </c>
      <c r="C56" s="126"/>
      <c r="D56" s="102" t="s">
        <v>68</v>
      </c>
    </row>
    <row r="57" spans="2:18" ht="24" customHeight="1">
      <c r="B57"/>
      <c r="C57" s="129"/>
      <c r="D57" s="102" t="s">
        <v>99</v>
      </c>
      <c r="Q57" s="175"/>
    </row>
    <row r="58" spans="2:18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8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8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K60" s="270"/>
      <c r="L60" s="270"/>
      <c r="M60" s="270"/>
      <c r="O60" s="127"/>
    </row>
    <row r="61" spans="2:18">
      <c r="B61"/>
      <c r="C61" s="166"/>
      <c r="K61" s="270"/>
      <c r="L61" s="270"/>
      <c r="M61" s="270"/>
      <c r="O61" s="270"/>
    </row>
    <row r="62" spans="2:18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8">
      <c r="C63" s="272">
        <f>IRP_LTReport!F59*1000/(O55*8760)</f>
        <v>0.12866438356139015</v>
      </c>
      <c r="D63" s="102" t="s">
        <v>37</v>
      </c>
      <c r="Q63" s="102" t="s">
        <v>230</v>
      </c>
    </row>
    <row r="64" spans="2:18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8DB0-BF9F-43F6-83F7-74B3E77CA5BD}">
  <sheetPr>
    <tabColor rgb="FFFFC000"/>
    <pageSetUpPr fitToPage="1"/>
  </sheetPr>
  <dimension ref="B1:AC91"/>
  <sheetViews>
    <sheetView view="pageBreakPreview" topLeftCell="A8" zoomScale="60" zoomScaleNormal="100" workbookViewId="0">
      <selection activeCell="I15" sqref="I15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1.1640625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23.5" style="102" customWidth="1"/>
    <col min="19" max="19" width="18.1640625" style="102" customWidth="1"/>
    <col min="20" max="20" width="9.33203125" style="102"/>
    <col min="21" max="21" width="13.33203125" style="102" customWidth="1"/>
    <col min="22" max="22" width="18.1640625" style="102" customWidth="1"/>
    <col min="23" max="23" width="12.83203125" style="102" customWidth="1"/>
    <col min="24" max="24" width="15.33203125" style="102" customWidth="1"/>
    <col min="25" max="26" width="9.33203125" style="102"/>
    <col min="27" max="27" width="13.33203125" style="102" customWidth="1"/>
    <col min="28" max="28" width="13.6640625" style="102" customWidth="1"/>
    <col min="29" max="29" width="12" style="102" bestFit="1" customWidth="1"/>
    <col min="30" max="16384" width="9.33203125" style="102"/>
  </cols>
  <sheetData>
    <row r="1" spans="2:27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7" ht="15.75">
      <c r="B2" s="100" t="str">
        <f>S54</f>
        <v>PVS.PX.CLV.1.TC4.BAT</v>
      </c>
      <c r="C2" s="101"/>
      <c r="D2" s="101"/>
      <c r="E2" s="101"/>
      <c r="F2" s="101"/>
      <c r="G2" s="101"/>
      <c r="H2" s="101"/>
      <c r="I2" s="101"/>
      <c r="J2" s="101"/>
    </row>
    <row r="3" spans="2:27" ht="15.75">
      <c r="B3" s="100" t="str">
        <f>TEXT($C$63,"0%")&amp;" Capacity Factor"</f>
        <v>11% Capacity Factor</v>
      </c>
      <c r="C3" s="101"/>
      <c r="D3" s="101"/>
      <c r="E3" s="101"/>
      <c r="F3" s="101"/>
      <c r="G3" s="101"/>
      <c r="H3" s="101"/>
      <c r="I3" s="101"/>
      <c r="J3" s="101"/>
    </row>
    <row r="4" spans="2:27">
      <c r="B4" s="101"/>
      <c r="C4" s="101"/>
      <c r="D4" s="101"/>
      <c r="E4" s="101"/>
      <c r="F4" s="101"/>
      <c r="G4" s="101"/>
      <c r="H4" s="101"/>
    </row>
    <row r="5" spans="2:27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Z5" s="175"/>
      <c r="AA5" s="175"/>
    </row>
    <row r="6" spans="2:27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Q6" s="102" t="s">
        <v>277</v>
      </c>
      <c r="S6" s="102" t="s">
        <v>265</v>
      </c>
      <c r="V6" s="129"/>
      <c r="W6" s="129"/>
    </row>
    <row r="7" spans="2:27" ht="25.5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  <c r="Q7" s="115" t="s">
        <v>232</v>
      </c>
      <c r="R7" s="129" t="s">
        <v>275</v>
      </c>
      <c r="S7" s="175" t="s">
        <v>238</v>
      </c>
      <c r="U7" s="129" t="s">
        <v>276</v>
      </c>
      <c r="W7" s="102" t="s">
        <v>247</v>
      </c>
    </row>
    <row r="8" spans="2:27" ht="18.75" customHeight="1">
      <c r="Q8" s="115"/>
      <c r="S8" s="102" t="s">
        <v>274</v>
      </c>
      <c r="T8" s="129"/>
      <c r="W8" s="115" t="s">
        <v>232</v>
      </c>
    </row>
    <row r="9" spans="2:27" ht="15.75">
      <c r="B9" s="39" t="str">
        <f>C52</f>
        <v>PVS.PX.CLV.1.TC4.BAT - 11% Capacity Factor</v>
      </c>
    </row>
    <row r="10" spans="2:27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7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7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>
        <f>(D12+E12+F12)</f>
        <v>0</v>
      </c>
      <c r="V12" s="129"/>
      <c r="W12" s="129"/>
      <c r="Z12" s="129"/>
      <c r="AA12" s="129"/>
    </row>
    <row r="13" spans="2:27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>
        <f t="shared" ref="K13:K37" si="1">(D13+E13+F13)</f>
        <v>0</v>
      </c>
    </row>
    <row r="14" spans="2:27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>
        <f t="shared" si="1"/>
        <v>0</v>
      </c>
      <c r="O14" s="114"/>
      <c r="P14" s="265"/>
    </row>
    <row r="15" spans="2:27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>
        <f t="shared" si="1"/>
        <v>0</v>
      </c>
      <c r="O15" s="266"/>
      <c r="P15" s="265"/>
    </row>
    <row r="16" spans="2:27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>
        <f t="shared" si="1"/>
        <v>0</v>
      </c>
      <c r="Q16" s="274">
        <v>1728.6589634669394</v>
      </c>
      <c r="R16" s="129">
        <f>S16-Q16</f>
        <v>-6.1889634669394127</v>
      </c>
      <c r="S16" s="102">
        <v>1722.47</v>
      </c>
      <c r="W16" s="277">
        <v>40.308364530000006</v>
      </c>
    </row>
    <row r="17" spans="2:29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>
        <f t="shared" si="1"/>
        <v>0</v>
      </c>
      <c r="O17" s="114"/>
      <c r="Q17" s="277"/>
      <c r="R17" s="277"/>
      <c r="S17" s="102">
        <f>S16*IRP_PTC_ESC!$AJ3</f>
        <v>1809.626982</v>
      </c>
      <c r="T17" s="129"/>
      <c r="W17" s="277">
        <f>W16*(1+IRP23_Infl_Rate)</f>
        <v>41.223364405012759</v>
      </c>
    </row>
    <row r="18" spans="2:29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>
        <f t="shared" si="1"/>
        <v>0</v>
      </c>
      <c r="P18" s="263"/>
      <c r="Q18" s="277"/>
      <c r="R18" s="277"/>
      <c r="S18" s="102">
        <f>S17*IRP_PTC_ESC!$AJ4</f>
        <v>1809.626982</v>
      </c>
      <c r="T18" s="129"/>
      <c r="W18" s="277">
        <f>W17*(1+IRP23_Infl_Rate)</f>
        <v>42.159134777192428</v>
      </c>
      <c r="AC18" s="227"/>
    </row>
    <row r="19" spans="2:29">
      <c r="B19" s="109">
        <f t="shared" si="0"/>
        <v>2025</v>
      </c>
      <c r="C19" s="113"/>
      <c r="D19" s="111"/>
      <c r="E19" s="111"/>
      <c r="F19" s="111"/>
      <c r="G19" s="112"/>
      <c r="H19" s="111"/>
      <c r="I19" s="112"/>
      <c r="J19" s="112"/>
      <c r="K19" s="111">
        <f t="shared" si="1"/>
        <v>0</v>
      </c>
      <c r="P19" s="263"/>
      <c r="Q19" s="277"/>
      <c r="R19" s="277"/>
      <c r="S19" s="102">
        <f>S18*IRP_PTC_ESC!$AJ5</f>
        <v>1809.626982</v>
      </c>
      <c r="U19" s="129"/>
      <c r="W19" s="277">
        <f>W18*(1+IRP23_Infl_Rate)</f>
        <v>43.116147136824793</v>
      </c>
      <c r="X19" s="129"/>
      <c r="Y19" s="273"/>
    </row>
    <row r="20" spans="2:29">
      <c r="B20" s="109">
        <f t="shared" si="0"/>
        <v>2026</v>
      </c>
      <c r="C20" s="274">
        <f>IRP_LTReport!$R$36</f>
        <v>1809.6270713615331</v>
      </c>
      <c r="D20" s="111">
        <f>C20*$C$62</f>
        <v>152.09915534793686</v>
      </c>
      <c r="E20" s="281">
        <f>IRP_LTReport!$L$36</f>
        <v>47.390000000003603</v>
      </c>
      <c r="F20" s="165">
        <f>$C$60</f>
        <v>0</v>
      </c>
      <c r="G20" s="112">
        <f t="shared" ref="G20:G37" si="2">(D20+E20+F20)/(8.76*$C$63)</f>
        <v>212.08512608781911</v>
      </c>
      <c r="H20" s="111"/>
      <c r="I20" s="112">
        <f t="shared" ref="I20:I37" si="3">(G20+H20)</f>
        <v>212.08512608781911</v>
      </c>
      <c r="J20" s="112">
        <f t="shared" ref="J20:J37" si="4">ROUND(I20*$C$63*8.76,2)</f>
        <v>199.49</v>
      </c>
      <c r="K20" s="111">
        <f t="shared" si="1"/>
        <v>199.48915534794045</v>
      </c>
      <c r="P20" s="112"/>
      <c r="S20" s="102">
        <f>S19*IRP_PTC_ESC!$AJ6</f>
        <v>1809.626982</v>
      </c>
      <c r="U20" s="129">
        <f>S20-C20</f>
        <v>-8.9361533127885195E-5</v>
      </c>
      <c r="V20" s="129"/>
      <c r="W20" s="277">
        <f>W19*(1+IRP23_Infl_Rate)</f>
        <v>44.094883677025123</v>
      </c>
      <c r="X20" s="129">
        <f>W20-E20</f>
        <v>-3.2951163229784797</v>
      </c>
      <c r="Y20" s="273" t="s">
        <v>278</v>
      </c>
    </row>
    <row r="21" spans="2:29">
      <c r="B21" s="109">
        <f t="shared" si="0"/>
        <v>2027</v>
      </c>
      <c r="C21" s="113"/>
      <c r="D21" s="111">
        <f t="shared" ref="D21:E35" si="5">ROUND(D20*(1+IRP23_Infl_Rate),2)</f>
        <v>155.55000000000001</v>
      </c>
      <c r="E21" s="111">
        <f t="shared" si="5"/>
        <v>48.47</v>
      </c>
      <c r="F21" s="165">
        <f t="shared" ref="F21:F37" si="6">$C$60</f>
        <v>0</v>
      </c>
      <c r="G21" s="112">
        <f t="shared" si="2"/>
        <v>216.9020533921649</v>
      </c>
      <c r="H21" s="111"/>
      <c r="I21" s="112">
        <f t="shared" si="3"/>
        <v>216.9020533921649</v>
      </c>
      <c r="J21" s="112">
        <f t="shared" si="4"/>
        <v>204.02</v>
      </c>
      <c r="K21" s="111">
        <f t="shared" si="1"/>
        <v>204.02</v>
      </c>
      <c r="P21" s="112"/>
      <c r="U21" s="129"/>
      <c r="V21" s="129"/>
      <c r="Y21" s="129"/>
    </row>
    <row r="22" spans="2:29">
      <c r="B22" s="109">
        <f t="shared" si="0"/>
        <v>2028</v>
      </c>
      <c r="C22" s="113"/>
      <c r="D22" s="111">
        <f t="shared" si="5"/>
        <v>159.08000000000001</v>
      </c>
      <c r="E22" s="111">
        <f t="shared" si="5"/>
        <v>49.57</v>
      </c>
      <c r="F22" s="165">
        <f t="shared" si="6"/>
        <v>0</v>
      </c>
      <c r="G22" s="112">
        <f t="shared" si="2"/>
        <v>221.82439682518972</v>
      </c>
      <c r="H22" s="111"/>
      <c r="I22" s="112">
        <f t="shared" si="3"/>
        <v>221.82439682518972</v>
      </c>
      <c r="J22" s="112">
        <f t="shared" si="4"/>
        <v>208.65</v>
      </c>
      <c r="K22" s="111">
        <f t="shared" si="1"/>
        <v>208.65</v>
      </c>
      <c r="P22" s="112"/>
      <c r="S22" s="129"/>
      <c r="V22" s="129"/>
      <c r="W22" s="129"/>
      <c r="Y22" s="129"/>
      <c r="Z22" s="129"/>
      <c r="AA22" s="129"/>
    </row>
    <row r="23" spans="2:29">
      <c r="B23" s="109">
        <f t="shared" si="0"/>
        <v>2029</v>
      </c>
      <c r="C23" s="113"/>
      <c r="D23" s="111">
        <f t="shared" si="5"/>
        <v>162.69</v>
      </c>
      <c r="E23" s="111">
        <f t="shared" si="5"/>
        <v>50.7</v>
      </c>
      <c r="F23" s="165">
        <f t="shared" si="6"/>
        <v>0</v>
      </c>
      <c r="G23" s="112">
        <f t="shared" si="2"/>
        <v>226.86368578254124</v>
      </c>
      <c r="H23" s="111"/>
      <c r="I23" s="112">
        <f t="shared" si="3"/>
        <v>226.86368578254124</v>
      </c>
      <c r="J23" s="112">
        <f t="shared" si="4"/>
        <v>213.39</v>
      </c>
      <c r="K23" s="111">
        <f t="shared" si="1"/>
        <v>213.39</v>
      </c>
      <c r="P23" s="112"/>
      <c r="S23" s="129"/>
      <c r="V23" s="129"/>
      <c r="W23" s="129"/>
      <c r="Y23" s="129"/>
      <c r="Z23" s="129"/>
      <c r="AA23" s="129"/>
    </row>
    <row r="24" spans="2:29">
      <c r="B24" s="109">
        <f t="shared" si="0"/>
        <v>2030</v>
      </c>
      <c r="C24" s="113"/>
      <c r="D24" s="111">
        <f t="shared" si="5"/>
        <v>166.38</v>
      </c>
      <c r="E24" s="111">
        <f t="shared" si="5"/>
        <v>51.85</v>
      </c>
      <c r="F24" s="165">
        <f t="shared" si="6"/>
        <v>0</v>
      </c>
      <c r="G24" s="112">
        <f t="shared" si="2"/>
        <v>232.00928885291708</v>
      </c>
      <c r="H24" s="111"/>
      <c r="I24" s="112">
        <f t="shared" si="3"/>
        <v>232.00928885291708</v>
      </c>
      <c r="J24" s="112">
        <f t="shared" si="4"/>
        <v>218.23</v>
      </c>
      <c r="K24" s="111">
        <f t="shared" si="1"/>
        <v>218.23</v>
      </c>
      <c r="P24" s="112"/>
      <c r="S24" s="129"/>
      <c r="V24" s="129"/>
      <c r="W24" s="129"/>
      <c r="Y24" s="129"/>
      <c r="Z24" s="129"/>
      <c r="AA24" s="129"/>
    </row>
    <row r="25" spans="2:29">
      <c r="B25" s="109">
        <f t="shared" si="0"/>
        <v>2031</v>
      </c>
      <c r="C25" s="113"/>
      <c r="D25" s="111">
        <f t="shared" si="5"/>
        <v>170.16</v>
      </c>
      <c r="E25" s="111">
        <f t="shared" si="5"/>
        <v>53.03</v>
      </c>
      <c r="F25" s="165">
        <f t="shared" si="6"/>
        <v>0</v>
      </c>
      <c r="G25" s="112">
        <f t="shared" si="2"/>
        <v>237.28246885892207</v>
      </c>
      <c r="H25" s="111"/>
      <c r="I25" s="112">
        <f t="shared" si="3"/>
        <v>237.28246885892207</v>
      </c>
      <c r="J25" s="112">
        <f t="shared" si="4"/>
        <v>223.19</v>
      </c>
      <c r="K25" s="111">
        <f t="shared" si="1"/>
        <v>223.19</v>
      </c>
      <c r="P25" s="112"/>
      <c r="S25" s="129"/>
      <c r="V25" s="129"/>
      <c r="W25" s="129"/>
      <c r="Y25" s="129"/>
      <c r="Z25" s="129"/>
      <c r="AA25" s="129"/>
    </row>
    <row r="26" spans="2:29">
      <c r="B26" s="109">
        <f t="shared" si="0"/>
        <v>2032</v>
      </c>
      <c r="C26" s="113"/>
      <c r="D26" s="111">
        <f t="shared" si="5"/>
        <v>174.02</v>
      </c>
      <c r="E26" s="111">
        <f t="shared" si="5"/>
        <v>54.23</v>
      </c>
      <c r="F26" s="165">
        <f t="shared" si="6"/>
        <v>0</v>
      </c>
      <c r="G26" s="112">
        <f t="shared" si="2"/>
        <v>242.66196297795136</v>
      </c>
      <c r="H26" s="111"/>
      <c r="I26" s="112">
        <f t="shared" si="3"/>
        <v>242.66196297795136</v>
      </c>
      <c r="J26" s="112">
        <f t="shared" si="4"/>
        <v>228.25</v>
      </c>
      <c r="K26" s="111">
        <f t="shared" si="1"/>
        <v>228.25</v>
      </c>
      <c r="P26" s="112"/>
      <c r="S26" s="129"/>
      <c r="V26" s="129"/>
      <c r="W26" s="129"/>
      <c r="Y26" s="129"/>
      <c r="Z26" s="129"/>
      <c r="AA26" s="129"/>
    </row>
    <row r="27" spans="2:29">
      <c r="B27" s="109">
        <f t="shared" si="0"/>
        <v>2033</v>
      </c>
      <c r="C27" s="113"/>
      <c r="D27" s="111">
        <f t="shared" si="5"/>
        <v>177.97</v>
      </c>
      <c r="E27" s="111">
        <f t="shared" si="5"/>
        <v>55.46</v>
      </c>
      <c r="F27" s="165">
        <f t="shared" si="6"/>
        <v>0</v>
      </c>
      <c r="G27" s="112">
        <f t="shared" si="2"/>
        <v>248.1690340326098</v>
      </c>
      <c r="H27" s="111"/>
      <c r="I27" s="112">
        <f t="shared" si="3"/>
        <v>248.1690340326098</v>
      </c>
      <c r="J27" s="112">
        <f t="shared" si="4"/>
        <v>233.43</v>
      </c>
      <c r="K27" s="111">
        <f t="shared" si="1"/>
        <v>233.43</v>
      </c>
      <c r="P27" s="112"/>
      <c r="S27" s="129"/>
      <c r="V27" s="129"/>
      <c r="W27" s="129"/>
      <c r="Y27" s="129"/>
      <c r="Z27" s="129"/>
      <c r="AA27" s="129"/>
    </row>
    <row r="28" spans="2:29">
      <c r="B28" s="109">
        <f t="shared" si="0"/>
        <v>2034</v>
      </c>
      <c r="C28" s="113"/>
      <c r="D28" s="111">
        <f t="shared" si="5"/>
        <v>182.01</v>
      </c>
      <c r="E28" s="111">
        <f t="shared" si="5"/>
        <v>56.72</v>
      </c>
      <c r="F28" s="165">
        <f t="shared" si="6"/>
        <v>0</v>
      </c>
      <c r="G28" s="112">
        <f t="shared" si="2"/>
        <v>253.80368202289736</v>
      </c>
      <c r="H28" s="111"/>
      <c r="I28" s="112">
        <f t="shared" si="3"/>
        <v>253.80368202289736</v>
      </c>
      <c r="J28" s="112">
        <f t="shared" si="4"/>
        <v>238.73</v>
      </c>
      <c r="K28" s="111">
        <f t="shared" si="1"/>
        <v>238.73</v>
      </c>
      <c r="P28" s="112"/>
      <c r="S28" s="129"/>
      <c r="V28" s="129"/>
      <c r="W28" s="129"/>
      <c r="Y28" s="129"/>
      <c r="Z28" s="129"/>
      <c r="AA28" s="129"/>
    </row>
    <row r="29" spans="2:29">
      <c r="B29" s="109">
        <f t="shared" si="0"/>
        <v>2035</v>
      </c>
      <c r="C29" s="113"/>
      <c r="D29" s="111">
        <f t="shared" si="5"/>
        <v>186.14</v>
      </c>
      <c r="E29" s="111">
        <f t="shared" si="5"/>
        <v>58.01</v>
      </c>
      <c r="F29" s="165">
        <f t="shared" si="6"/>
        <v>0</v>
      </c>
      <c r="G29" s="112">
        <f t="shared" si="2"/>
        <v>259.56590694881407</v>
      </c>
      <c r="H29" s="111"/>
      <c r="I29" s="112">
        <f t="shared" si="3"/>
        <v>259.56590694881407</v>
      </c>
      <c r="J29" s="112">
        <f t="shared" si="4"/>
        <v>244.15</v>
      </c>
      <c r="K29" s="111">
        <f t="shared" si="1"/>
        <v>244.14999999999998</v>
      </c>
      <c r="P29" s="112"/>
      <c r="S29" s="129"/>
      <c r="V29" s="129"/>
      <c r="W29" s="129"/>
      <c r="Y29" s="129"/>
      <c r="Z29" s="129"/>
      <c r="AA29" s="129"/>
    </row>
    <row r="30" spans="2:29">
      <c r="B30" s="109">
        <f t="shared" si="0"/>
        <v>2036</v>
      </c>
      <c r="C30" s="113"/>
      <c r="D30" s="111">
        <f t="shared" si="5"/>
        <v>190.37</v>
      </c>
      <c r="E30" s="111">
        <f t="shared" si="5"/>
        <v>59.33</v>
      </c>
      <c r="F30" s="165">
        <f t="shared" si="6"/>
        <v>0</v>
      </c>
      <c r="G30" s="112">
        <f t="shared" si="2"/>
        <v>265.46634022166245</v>
      </c>
      <c r="H30" s="111"/>
      <c r="I30" s="112">
        <f t="shared" si="3"/>
        <v>265.46634022166245</v>
      </c>
      <c r="J30" s="112">
        <f t="shared" si="4"/>
        <v>249.7</v>
      </c>
      <c r="K30" s="111">
        <f t="shared" si="1"/>
        <v>249.7</v>
      </c>
      <c r="P30" s="112"/>
      <c r="S30" s="129"/>
      <c r="V30" s="129"/>
      <c r="W30" s="129"/>
      <c r="Y30" s="129"/>
      <c r="Z30" s="129"/>
      <c r="AA30" s="129"/>
    </row>
    <row r="31" spans="2:29">
      <c r="B31" s="109">
        <f t="shared" si="0"/>
        <v>2037</v>
      </c>
      <c r="C31" s="113"/>
      <c r="D31" s="111">
        <f t="shared" si="5"/>
        <v>194.69</v>
      </c>
      <c r="E31" s="111">
        <f t="shared" si="5"/>
        <v>60.68</v>
      </c>
      <c r="F31" s="165">
        <f t="shared" si="6"/>
        <v>0</v>
      </c>
      <c r="G31" s="112">
        <f t="shared" si="2"/>
        <v>271.49435043013995</v>
      </c>
      <c r="H31" s="111"/>
      <c r="I31" s="112">
        <f t="shared" si="3"/>
        <v>271.49435043013995</v>
      </c>
      <c r="J31" s="112">
        <f t="shared" si="4"/>
        <v>255.37</v>
      </c>
      <c r="K31" s="111">
        <f t="shared" si="1"/>
        <v>255.37</v>
      </c>
      <c r="P31" s="112"/>
      <c r="S31" s="129"/>
      <c r="V31" s="129"/>
      <c r="W31" s="129"/>
      <c r="Y31" s="129"/>
      <c r="Z31" s="129"/>
      <c r="AA31" s="129"/>
    </row>
    <row r="32" spans="2:29">
      <c r="B32" s="109">
        <f t="shared" si="0"/>
        <v>2038</v>
      </c>
      <c r="C32" s="113"/>
      <c r="D32" s="111">
        <f t="shared" si="5"/>
        <v>199.11</v>
      </c>
      <c r="E32" s="111">
        <f t="shared" si="5"/>
        <v>62.06</v>
      </c>
      <c r="F32" s="165">
        <f t="shared" si="6"/>
        <v>0</v>
      </c>
      <c r="G32" s="112">
        <f t="shared" si="2"/>
        <v>277.66056898554899</v>
      </c>
      <c r="H32" s="111"/>
      <c r="I32" s="112">
        <f t="shared" si="3"/>
        <v>277.66056898554899</v>
      </c>
      <c r="J32" s="112">
        <f t="shared" si="4"/>
        <v>261.17</v>
      </c>
      <c r="K32" s="111">
        <f t="shared" si="1"/>
        <v>261.17</v>
      </c>
      <c r="P32" s="112"/>
      <c r="S32" s="129"/>
      <c r="V32" s="129"/>
      <c r="W32" s="129"/>
      <c r="Y32" s="129"/>
      <c r="Z32" s="129"/>
      <c r="AA32" s="129"/>
    </row>
    <row r="33" spans="2:16">
      <c r="B33" s="109">
        <f t="shared" si="0"/>
        <v>2039</v>
      </c>
      <c r="C33" s="113"/>
      <c r="D33" s="111">
        <f t="shared" si="5"/>
        <v>203.63</v>
      </c>
      <c r="E33" s="111">
        <f t="shared" si="5"/>
        <v>63.47</v>
      </c>
      <c r="F33" s="165">
        <f t="shared" si="6"/>
        <v>0</v>
      </c>
      <c r="G33" s="112">
        <f t="shared" si="2"/>
        <v>283.96499588788964</v>
      </c>
      <c r="H33" s="111"/>
      <c r="I33" s="112">
        <f t="shared" si="3"/>
        <v>283.96499588788964</v>
      </c>
      <c r="J33" s="112">
        <f t="shared" si="4"/>
        <v>267.10000000000002</v>
      </c>
      <c r="K33" s="111">
        <f t="shared" si="1"/>
        <v>267.10000000000002</v>
      </c>
      <c r="P33" s="112"/>
    </row>
    <row r="34" spans="2:16">
      <c r="B34" s="109">
        <f t="shared" si="0"/>
        <v>2040</v>
      </c>
      <c r="C34" s="113"/>
      <c r="D34" s="111">
        <f t="shared" si="5"/>
        <v>208.25</v>
      </c>
      <c r="E34" s="111">
        <f t="shared" si="5"/>
        <v>64.91</v>
      </c>
      <c r="F34" s="165">
        <f t="shared" si="6"/>
        <v>0</v>
      </c>
      <c r="G34" s="112">
        <f t="shared" si="2"/>
        <v>290.40763113716184</v>
      </c>
      <c r="H34" s="111"/>
      <c r="I34" s="112">
        <f t="shared" si="3"/>
        <v>290.40763113716184</v>
      </c>
      <c r="J34" s="112">
        <f t="shared" si="4"/>
        <v>273.16000000000003</v>
      </c>
      <c r="K34" s="111">
        <f t="shared" si="1"/>
        <v>273.15999999999997</v>
      </c>
      <c r="P34" s="112"/>
    </row>
    <row r="35" spans="2:16">
      <c r="B35" s="109">
        <f t="shared" si="0"/>
        <v>2041</v>
      </c>
      <c r="C35" s="113"/>
      <c r="D35" s="111">
        <f t="shared" si="5"/>
        <v>212.98</v>
      </c>
      <c r="E35" s="111">
        <f t="shared" si="5"/>
        <v>66.38</v>
      </c>
      <c r="F35" s="165">
        <f t="shared" si="6"/>
        <v>0</v>
      </c>
      <c r="G35" s="112">
        <f t="shared" si="2"/>
        <v>296.99910614466813</v>
      </c>
      <c r="H35" s="111"/>
      <c r="I35" s="112">
        <f t="shared" si="3"/>
        <v>296.99910614466813</v>
      </c>
      <c r="J35" s="112">
        <f t="shared" si="4"/>
        <v>279.36</v>
      </c>
      <c r="K35" s="111">
        <f t="shared" si="1"/>
        <v>279.36</v>
      </c>
      <c r="P35" s="112"/>
    </row>
    <row r="36" spans="2:16">
      <c r="B36" s="109">
        <f t="shared" si="0"/>
        <v>2042</v>
      </c>
      <c r="C36" s="113"/>
      <c r="D36" s="111">
        <f t="shared" ref="D36:E37" si="7">ROUND(D35*(1+IRP23_Infl_Rate),2)</f>
        <v>217.81</v>
      </c>
      <c r="E36" s="111">
        <f t="shared" si="7"/>
        <v>67.89</v>
      </c>
      <c r="F36" s="165">
        <f t="shared" si="6"/>
        <v>0</v>
      </c>
      <c r="G36" s="112">
        <f t="shared" si="2"/>
        <v>303.73942091040834</v>
      </c>
      <c r="H36" s="111"/>
      <c r="I36" s="112">
        <f t="shared" si="3"/>
        <v>303.73942091040834</v>
      </c>
      <c r="J36" s="112">
        <f t="shared" si="4"/>
        <v>285.7</v>
      </c>
      <c r="K36" s="111">
        <f t="shared" si="1"/>
        <v>285.7</v>
      </c>
      <c r="P36" s="112"/>
    </row>
    <row r="37" spans="2:16">
      <c r="B37" s="109">
        <f t="shared" si="0"/>
        <v>2043</v>
      </c>
      <c r="C37" s="113"/>
      <c r="D37" s="111">
        <f t="shared" si="7"/>
        <v>222.75</v>
      </c>
      <c r="E37" s="111">
        <f t="shared" si="7"/>
        <v>69.430000000000007</v>
      </c>
      <c r="F37" s="165">
        <f t="shared" si="6"/>
        <v>0</v>
      </c>
      <c r="G37" s="112">
        <f t="shared" si="2"/>
        <v>310.62857543438258</v>
      </c>
      <c r="H37" s="111"/>
      <c r="I37" s="112">
        <f t="shared" si="3"/>
        <v>310.62857543438258</v>
      </c>
      <c r="J37" s="112">
        <f t="shared" si="4"/>
        <v>292.18</v>
      </c>
      <c r="K37" s="111">
        <f t="shared" si="1"/>
        <v>292.18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-PMT(Discount_Rate,COUNT(I19:I37),NPV(Discount_Rate,I19:I37))</f>
        <v>248.52378603062567</v>
      </c>
      <c r="J39" s="287">
        <f>-PMT(Discount_Rate,COUNT(J19:J37),NPV(Discount_Rate,J19:J37))</f>
        <v>233.76376022783228</v>
      </c>
      <c r="K39" s="287">
        <f>-PMT(Discount_Rate,COUNT(K19:K37),NPV(Discount_Rate,K19:K37))</f>
        <v>212.94440989201274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10.7%)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9">
      <c r="C49" s="119" t="str">
        <f>J7</f>
        <v>(h)</v>
      </c>
      <c r="D49" t="str">
        <f>D44</f>
        <v>Plant Costs  - 2023 IRP - Table 7.1 &amp; 7.2</v>
      </c>
    </row>
    <row r="50" spans="2:19">
      <c r="C50" s="119"/>
      <c r="D50" s="112"/>
    </row>
    <row r="51" spans="2:19" ht="13.5" thickBot="1"/>
    <row r="52" spans="2:19" ht="13.5" thickBot="1">
      <c r="C52" s="38" t="str">
        <f>B2&amp;" - "&amp;B3</f>
        <v>PVS.PX.CLV.1.TC4.BAT - 11%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9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9">
      <c r="P54" s="102" t="s">
        <v>98</v>
      </c>
      <c r="Q54" s="102">
        <v>2026</v>
      </c>
      <c r="S54" s="273" t="s">
        <v>269</v>
      </c>
    </row>
    <row r="55" spans="2:19">
      <c r="B55" t="s">
        <v>152</v>
      </c>
      <c r="C55" s="267"/>
      <c r="D55" s="102" t="s">
        <v>65</v>
      </c>
      <c r="O55" s="226">
        <v>300</v>
      </c>
      <c r="P55" s="102" t="s">
        <v>32</v>
      </c>
      <c r="S55" s="273"/>
    </row>
    <row r="56" spans="2:19">
      <c r="B56" t="s">
        <v>152</v>
      </c>
      <c r="C56" s="126"/>
      <c r="D56" s="102" t="s">
        <v>68</v>
      </c>
    </row>
    <row r="57" spans="2:19" ht="24" customHeight="1">
      <c r="B57"/>
      <c r="C57" s="129"/>
      <c r="D57" s="102" t="s">
        <v>99</v>
      </c>
      <c r="Q57" s="175"/>
      <c r="R57" s="175"/>
    </row>
    <row r="58" spans="2:19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9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9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K60" s="270"/>
      <c r="L60" s="270"/>
      <c r="M60" s="270"/>
      <c r="O60" s="127"/>
    </row>
    <row r="61" spans="2:19">
      <c r="B61"/>
      <c r="C61" s="166"/>
      <c r="K61" s="270"/>
      <c r="L61" s="270"/>
      <c r="M61" s="270"/>
      <c r="O61" s="270"/>
    </row>
    <row r="62" spans="2:19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9">
      <c r="C63" s="272">
        <f>IRP_LTReport!F35*1000/('2026_PVS.PX.CLV.1.TC4.BAT'!O55*8760)</f>
        <v>0.107375444232382</v>
      </c>
      <c r="D63" s="102" t="s">
        <v>37</v>
      </c>
    </row>
    <row r="64" spans="2:19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0" orientation="landscape" r:id="rId1"/>
  <headerFooter alignWithMargins="0"/>
  <rowBreaks count="1" manualBreakCount="1">
    <brk id="51" max="13" man="1"/>
  </rowBreaks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86F54-5287-4EC3-8474-72CB6EB3EDAA}">
  <sheetPr>
    <tabColor rgb="FFFFC000"/>
    <pageSetUpPr fitToPage="1"/>
  </sheetPr>
  <dimension ref="B1:AB91"/>
  <sheetViews>
    <sheetView view="pageBreakPreview" topLeftCell="A3" zoomScale="60" zoomScaleNormal="80" workbookViewId="0">
      <selection activeCell="C60" sqref="C60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3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18.1640625" style="102" customWidth="1"/>
    <col min="19" max="19" width="9.33203125" style="102"/>
    <col min="20" max="20" width="15.5" style="102" customWidth="1"/>
    <col min="21" max="21" width="10.83203125" style="102" customWidth="1"/>
    <col min="22" max="22" width="31.33203125" style="102" customWidth="1"/>
    <col min="23" max="26" width="9.33203125" style="102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R54</f>
        <v>PVS.PX.BOR._.2C5.BAT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12%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R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R6" s="225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</row>
    <row r="8" spans="2:26" ht="6" customHeight="1"/>
    <row r="9" spans="2:26" ht="15.75">
      <c r="B9" s="39" t="str">
        <f>C52</f>
        <v>PVS.PX.BOR._.2C5.BAT - 12%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>
        <f>(D12+E12+F12)</f>
        <v>0</v>
      </c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>
        <f t="shared" ref="K13:K37" si="1">(D13+E13+F13)</f>
        <v>0</v>
      </c>
      <c r="Q13" s="102" t="s">
        <v>545</v>
      </c>
      <c r="R13" s="129"/>
      <c r="S13" s="102" t="s">
        <v>265</v>
      </c>
      <c r="T13" s="129"/>
      <c r="V13" s="129" t="s">
        <v>276</v>
      </c>
      <c r="W13" s="102" t="s">
        <v>247</v>
      </c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>
        <f t="shared" si="1"/>
        <v>0</v>
      </c>
      <c r="O14" s="114"/>
      <c r="P14" s="265"/>
      <c r="Q14" s="115" t="s">
        <v>232</v>
      </c>
      <c r="R14" s="129" t="s">
        <v>275</v>
      </c>
      <c r="S14" s="102" t="s">
        <v>238</v>
      </c>
      <c r="T14" s="129"/>
      <c r="W14" s="115" t="s">
        <v>232</v>
      </c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>
        <f t="shared" si="1"/>
        <v>0</v>
      </c>
      <c r="O15" s="266"/>
      <c r="P15" s="265"/>
      <c r="Q15" s="115"/>
      <c r="S15" s="102" t="s">
        <v>273</v>
      </c>
      <c r="T15" s="129" t="s">
        <v>274</v>
      </c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>
        <f t="shared" si="1"/>
        <v>0</v>
      </c>
      <c r="Q16" s="274">
        <v>1728.6589634669394</v>
      </c>
      <c r="R16" s="129">
        <f>S16-Q16</f>
        <v>-6.1889634669394127</v>
      </c>
      <c r="S16" s="102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>
        <f t="shared" si="1"/>
        <v>0</v>
      </c>
      <c r="O17" s="114"/>
      <c r="Q17" s="277"/>
      <c r="R17" s="277"/>
      <c r="S17" s="102">
        <f>S16*IRP_PTC_ESC!$AJ3</f>
        <v>1809.626982</v>
      </c>
      <c r="T17" s="129"/>
      <c r="W17" s="277">
        <f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>
        <f t="shared" si="1"/>
        <v>0</v>
      </c>
      <c r="P18" s="263"/>
      <c r="Q18" s="277"/>
      <c r="R18" s="277"/>
      <c r="S18" s="102">
        <f>S17*IRP_PTC_ESC!$AJ4</f>
        <v>1809.626982</v>
      </c>
      <c r="T18" s="129"/>
      <c r="W18" s="277">
        <f>W17*(1+IRP23_Infl_Rate)</f>
        <v>42.159134777192428</v>
      </c>
      <c r="AB18" s="227"/>
    </row>
    <row r="19" spans="2:28">
      <c r="B19" s="109">
        <f t="shared" si="0"/>
        <v>2025</v>
      </c>
      <c r="C19" s="113"/>
      <c r="D19" s="111"/>
      <c r="E19" s="111"/>
      <c r="F19" s="111"/>
      <c r="G19" s="112"/>
      <c r="H19" s="111"/>
      <c r="I19" s="112"/>
      <c r="J19" s="112"/>
      <c r="K19" s="111">
        <f t="shared" si="1"/>
        <v>0</v>
      </c>
      <c r="P19" s="263"/>
      <c r="Q19" s="277"/>
      <c r="R19" s="277"/>
      <c r="S19" s="102">
        <f>S18*IRP_PTC_ESC!$AJ5</f>
        <v>1809.626982</v>
      </c>
      <c r="U19" s="129"/>
      <c r="W19" s="277">
        <f>W18*(1+IRP23_Infl_Rate)</f>
        <v>43.116147136824793</v>
      </c>
      <c r="X19" s="129"/>
      <c r="Y19" s="273"/>
    </row>
    <row r="20" spans="2:28">
      <c r="B20" s="109">
        <f t="shared" si="0"/>
        <v>2026</v>
      </c>
      <c r="C20" s="274">
        <f>IRP_LTReport!R32</f>
        <v>1809.627071361542</v>
      </c>
      <c r="D20" s="111">
        <f>C20*$C$62</f>
        <v>152.0991553479376</v>
      </c>
      <c r="E20" s="281">
        <f>+IRP_LTReport!L32</f>
        <v>70.309999999999178</v>
      </c>
      <c r="F20" s="165">
        <f>$C$60</f>
        <v>0</v>
      </c>
      <c r="G20" s="112">
        <f t="shared" ref="G20:G37" si="2">(D20+E20+F20)/(8.76*$C$63)</f>
        <v>210.65959415808516</v>
      </c>
      <c r="H20" s="111"/>
      <c r="I20" s="112">
        <f t="shared" ref="I20:I37" si="3">(G20+H20)</f>
        <v>210.65959415808516</v>
      </c>
      <c r="J20" s="112">
        <f t="shared" ref="J20:J37" si="4">ROUND(I20*$C$63*8.76,2)</f>
        <v>222.41</v>
      </c>
      <c r="K20" s="111">
        <f t="shared" si="1"/>
        <v>222.40915534793677</v>
      </c>
      <c r="O20" s="102">
        <f>K20-'2026_PVS.PX.BOR._.2C5.BAT'!K20</f>
        <v>0</v>
      </c>
      <c r="P20" s="112"/>
      <c r="R20" s="129"/>
      <c r="S20" s="102">
        <f>S19*IRP_PTC_ESC!$AJ6</f>
        <v>1809.626982</v>
      </c>
      <c r="U20" s="129">
        <f>S20-C20</f>
        <v>-8.9361541995458538E-5</v>
      </c>
      <c r="V20" s="129"/>
      <c r="W20" s="277">
        <f>W19*(1+IRP23_Infl_Rate)</f>
        <v>44.094883677025123</v>
      </c>
      <c r="X20" s="129">
        <f>W20-E20</f>
        <v>-26.215116322974055</v>
      </c>
      <c r="Y20" s="273" t="s">
        <v>278</v>
      </c>
    </row>
    <row r="21" spans="2:28">
      <c r="B21" s="109">
        <f t="shared" si="0"/>
        <v>2027</v>
      </c>
      <c r="C21" s="113"/>
      <c r="D21" s="111">
        <f t="shared" ref="D21:E35" si="5">ROUND(D20*(1+IRP23_Infl_Rate),2)</f>
        <v>155.55000000000001</v>
      </c>
      <c r="E21" s="111">
        <f t="shared" si="5"/>
        <v>71.91</v>
      </c>
      <c r="F21" s="165">
        <f t="shared" ref="F21:F37" si="6">$C$60</f>
        <v>0</v>
      </c>
      <c r="G21" s="112">
        <f t="shared" si="2"/>
        <v>215.44360982908862</v>
      </c>
      <c r="H21" s="111"/>
      <c r="I21" s="112">
        <f t="shared" si="3"/>
        <v>215.44360982908862</v>
      </c>
      <c r="J21" s="112">
        <f t="shared" si="4"/>
        <v>227.46</v>
      </c>
      <c r="K21" s="111">
        <f t="shared" si="1"/>
        <v>227.46</v>
      </c>
      <c r="O21" s="102">
        <f>K21-'2026_PVS.PX.BOR._.2C5.BAT'!K21</f>
        <v>0</v>
      </c>
      <c r="P21" s="112"/>
      <c r="R21" s="129"/>
      <c r="U21" s="129"/>
      <c r="V21" s="129"/>
      <c r="X21" s="129"/>
      <c r="Y21" s="129"/>
      <c r="Z21" s="129"/>
    </row>
    <row r="22" spans="2:28">
      <c r="B22" s="109">
        <f t="shared" si="0"/>
        <v>2028</v>
      </c>
      <c r="C22" s="113"/>
      <c r="D22" s="111">
        <f t="shared" si="5"/>
        <v>159.08000000000001</v>
      </c>
      <c r="E22" s="111">
        <f t="shared" si="5"/>
        <v>73.540000000000006</v>
      </c>
      <c r="F22" s="165">
        <f t="shared" si="6"/>
        <v>0</v>
      </c>
      <c r="G22" s="112">
        <f t="shared" si="2"/>
        <v>220.33101432534335</v>
      </c>
      <c r="H22" s="111"/>
      <c r="I22" s="112">
        <f t="shared" si="3"/>
        <v>220.33101432534335</v>
      </c>
      <c r="J22" s="112">
        <f t="shared" si="4"/>
        <v>232.62</v>
      </c>
      <c r="K22" s="111">
        <f t="shared" si="1"/>
        <v>232.62</v>
      </c>
      <c r="O22" s="102">
        <f>K22-'2026_PVS.PX.BOR._.2C5.BAT'!K22</f>
        <v>0</v>
      </c>
      <c r="P22" s="112"/>
      <c r="R22" s="129"/>
      <c r="U22" s="129"/>
      <c r="V22" s="129"/>
      <c r="X22" s="129"/>
      <c r="Y22" s="129"/>
      <c r="Z22" s="129"/>
    </row>
    <row r="23" spans="2:28">
      <c r="B23" s="109">
        <f t="shared" si="0"/>
        <v>2029</v>
      </c>
      <c r="C23" s="113"/>
      <c r="D23" s="111">
        <f t="shared" si="5"/>
        <v>162.69</v>
      </c>
      <c r="E23" s="111">
        <f t="shared" si="5"/>
        <v>75.209999999999994</v>
      </c>
      <c r="F23" s="165">
        <f t="shared" si="6"/>
        <v>0</v>
      </c>
      <c r="G23" s="112">
        <f t="shared" si="2"/>
        <v>225.33207939127837</v>
      </c>
      <c r="H23" s="111"/>
      <c r="I23" s="112">
        <f t="shared" si="3"/>
        <v>225.33207939127837</v>
      </c>
      <c r="J23" s="112">
        <f t="shared" si="4"/>
        <v>237.9</v>
      </c>
      <c r="K23" s="111">
        <f t="shared" si="1"/>
        <v>237.89999999999998</v>
      </c>
      <c r="O23" s="102">
        <f>K23-'2026_PVS.PX.BOR._.2C5.BAT'!K23</f>
        <v>0</v>
      </c>
      <c r="P23" s="112"/>
      <c r="R23" s="129"/>
      <c r="U23" s="129"/>
      <c r="V23" s="129"/>
      <c r="X23" s="129"/>
      <c r="Y23" s="129"/>
      <c r="Z23" s="129"/>
    </row>
    <row r="24" spans="2:28">
      <c r="B24" s="109">
        <f t="shared" si="0"/>
        <v>2030</v>
      </c>
      <c r="C24" s="113"/>
      <c r="D24" s="111">
        <f t="shared" si="5"/>
        <v>166.38</v>
      </c>
      <c r="E24" s="111">
        <f t="shared" si="5"/>
        <v>76.92</v>
      </c>
      <c r="F24" s="165">
        <f t="shared" si="6"/>
        <v>0</v>
      </c>
      <c r="G24" s="112">
        <f t="shared" si="2"/>
        <v>230.4468050268938</v>
      </c>
      <c r="H24" s="111"/>
      <c r="I24" s="112">
        <f t="shared" si="3"/>
        <v>230.4468050268938</v>
      </c>
      <c r="J24" s="112">
        <f t="shared" si="4"/>
        <v>243.3</v>
      </c>
      <c r="K24" s="111">
        <f t="shared" si="1"/>
        <v>243.3</v>
      </c>
      <c r="O24" s="102">
        <f>K24-'2026_PVS.PX.BOR._.2C5.BAT'!K24</f>
        <v>0</v>
      </c>
      <c r="P24" s="112"/>
      <c r="R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si="5"/>
        <v>170.16</v>
      </c>
      <c r="E25" s="111">
        <f t="shared" si="5"/>
        <v>78.67</v>
      </c>
      <c r="F25" s="165">
        <f t="shared" si="6"/>
        <v>0</v>
      </c>
      <c r="G25" s="112">
        <f t="shared" si="2"/>
        <v>235.68466294632952</v>
      </c>
      <c r="H25" s="111"/>
      <c r="I25" s="112">
        <f t="shared" si="3"/>
        <v>235.68466294632952</v>
      </c>
      <c r="J25" s="112">
        <f t="shared" si="4"/>
        <v>248.83</v>
      </c>
      <c r="K25" s="111">
        <f t="shared" si="1"/>
        <v>248.82999999999998</v>
      </c>
      <c r="O25" s="102">
        <f>K25-'2026_PVS.PX.BOR._.2C5.BAT'!K25</f>
        <v>0</v>
      </c>
      <c r="P25" s="112"/>
      <c r="R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si="5"/>
        <v>174.02</v>
      </c>
      <c r="E26" s="111">
        <f t="shared" si="5"/>
        <v>80.459999999999994</v>
      </c>
      <c r="F26" s="165">
        <f t="shared" si="6"/>
        <v>0</v>
      </c>
      <c r="G26" s="112">
        <f t="shared" si="2"/>
        <v>241.03618143544568</v>
      </c>
      <c r="H26" s="111"/>
      <c r="I26" s="112">
        <f t="shared" si="3"/>
        <v>241.03618143544568</v>
      </c>
      <c r="J26" s="112">
        <f t="shared" si="4"/>
        <v>254.48</v>
      </c>
      <c r="K26" s="111">
        <f t="shared" si="1"/>
        <v>254.48000000000002</v>
      </c>
      <c r="O26" s="102">
        <f>K26-'2026_PVS.PX.BOR._.2C5.BAT'!K26</f>
        <v>0</v>
      </c>
      <c r="P26" s="112"/>
      <c r="R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si="5"/>
        <v>177.97</v>
      </c>
      <c r="E27" s="111">
        <f t="shared" si="5"/>
        <v>82.29</v>
      </c>
      <c r="F27" s="165">
        <f t="shared" si="6"/>
        <v>0</v>
      </c>
      <c r="G27" s="112">
        <f t="shared" si="2"/>
        <v>246.51083220838214</v>
      </c>
      <c r="H27" s="111"/>
      <c r="I27" s="112">
        <f t="shared" si="3"/>
        <v>246.51083220838214</v>
      </c>
      <c r="J27" s="112">
        <f t="shared" si="4"/>
        <v>260.26</v>
      </c>
      <c r="K27" s="111">
        <f t="shared" si="1"/>
        <v>260.26</v>
      </c>
      <c r="O27" s="102">
        <f>K27-'2026_PVS.PX.BOR._.2C5.BAT'!K27</f>
        <v>0</v>
      </c>
      <c r="P27" s="112"/>
      <c r="R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si="5"/>
        <v>182.01</v>
      </c>
      <c r="E28" s="111">
        <f t="shared" si="5"/>
        <v>84.16</v>
      </c>
      <c r="F28" s="165">
        <f t="shared" si="6"/>
        <v>0</v>
      </c>
      <c r="G28" s="112">
        <f t="shared" si="2"/>
        <v>252.10861526513895</v>
      </c>
      <c r="H28" s="111"/>
      <c r="I28" s="112">
        <f t="shared" si="3"/>
        <v>252.10861526513895</v>
      </c>
      <c r="J28" s="112">
        <f t="shared" si="4"/>
        <v>266.17</v>
      </c>
      <c r="K28" s="111">
        <f t="shared" si="1"/>
        <v>266.16999999999996</v>
      </c>
      <c r="O28" s="102">
        <f>K28-'2026_PVS.PX.BOR._.2C5.BAT'!K28</f>
        <v>0</v>
      </c>
      <c r="P28" s="112"/>
      <c r="R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si="5"/>
        <v>186.14</v>
      </c>
      <c r="E29" s="111">
        <f t="shared" si="5"/>
        <v>86.07</v>
      </c>
      <c r="F29" s="165">
        <f t="shared" si="6"/>
        <v>0</v>
      </c>
      <c r="G29" s="112">
        <f t="shared" si="2"/>
        <v>257.82953060571623</v>
      </c>
      <c r="H29" s="111"/>
      <c r="I29" s="112">
        <f t="shared" si="3"/>
        <v>257.82953060571623</v>
      </c>
      <c r="J29" s="112">
        <f t="shared" si="4"/>
        <v>272.20999999999998</v>
      </c>
      <c r="K29" s="111">
        <f t="shared" si="1"/>
        <v>272.20999999999998</v>
      </c>
      <c r="O29" s="102">
        <f>K29-'2026_PVS.PX.BOR._.2C5.BAT'!K29</f>
        <v>0</v>
      </c>
      <c r="P29" s="112"/>
      <c r="R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si="5"/>
        <v>190.37</v>
      </c>
      <c r="E30" s="111">
        <f t="shared" si="5"/>
        <v>88.02</v>
      </c>
      <c r="F30" s="165">
        <f t="shared" si="6"/>
        <v>0</v>
      </c>
      <c r="G30" s="112">
        <f t="shared" si="2"/>
        <v>263.68304994425381</v>
      </c>
      <c r="H30" s="111"/>
      <c r="I30" s="112">
        <f t="shared" si="3"/>
        <v>263.68304994425381</v>
      </c>
      <c r="J30" s="112">
        <f t="shared" si="4"/>
        <v>278.39</v>
      </c>
      <c r="K30" s="111">
        <f t="shared" si="1"/>
        <v>278.39</v>
      </c>
      <c r="O30" s="102">
        <f>K30-'2026_PVS.PX.BOR._.2C5.BAT'!K30</f>
        <v>0</v>
      </c>
      <c r="P30" s="112"/>
      <c r="R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si="5"/>
        <v>194.69</v>
      </c>
      <c r="E31" s="111">
        <f t="shared" si="5"/>
        <v>90.02</v>
      </c>
      <c r="F31" s="165">
        <f t="shared" si="6"/>
        <v>0</v>
      </c>
      <c r="G31" s="112">
        <f t="shared" si="2"/>
        <v>269.66917328075186</v>
      </c>
      <c r="H31" s="111"/>
      <c r="I31" s="112">
        <f t="shared" si="3"/>
        <v>269.66917328075186</v>
      </c>
      <c r="J31" s="112">
        <f t="shared" si="4"/>
        <v>284.70999999999998</v>
      </c>
      <c r="K31" s="111">
        <f t="shared" si="1"/>
        <v>284.70999999999998</v>
      </c>
      <c r="O31" s="102">
        <f>K31-'2026_PVS.PX.BOR._.2C5.BAT'!K31</f>
        <v>0</v>
      </c>
      <c r="P31" s="112"/>
      <c r="R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si="5"/>
        <v>199.11</v>
      </c>
      <c r="E32" s="111">
        <f t="shared" si="5"/>
        <v>92.06</v>
      </c>
      <c r="F32" s="165">
        <f t="shared" si="6"/>
        <v>0</v>
      </c>
      <c r="G32" s="112">
        <f t="shared" si="2"/>
        <v>275.78790061521028</v>
      </c>
      <c r="H32" s="111"/>
      <c r="I32" s="112">
        <f t="shared" si="3"/>
        <v>275.78790061521028</v>
      </c>
      <c r="J32" s="112">
        <f t="shared" si="4"/>
        <v>291.17</v>
      </c>
      <c r="K32" s="111">
        <f t="shared" si="1"/>
        <v>291.17</v>
      </c>
      <c r="O32" s="102">
        <f>K32-'2026_PVS.PX.BOR._.2C5.BAT'!K32</f>
        <v>0</v>
      </c>
      <c r="P32" s="112"/>
      <c r="R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si="5"/>
        <v>203.63</v>
      </c>
      <c r="E33" s="111">
        <f t="shared" si="5"/>
        <v>94.15</v>
      </c>
      <c r="F33" s="165">
        <f t="shared" si="6"/>
        <v>0</v>
      </c>
      <c r="G33" s="112">
        <f t="shared" si="2"/>
        <v>282.04870366176908</v>
      </c>
      <c r="H33" s="111"/>
      <c r="I33" s="112">
        <f t="shared" si="3"/>
        <v>282.04870366176908</v>
      </c>
      <c r="J33" s="112">
        <f t="shared" si="4"/>
        <v>297.77999999999997</v>
      </c>
      <c r="K33" s="111">
        <f t="shared" si="1"/>
        <v>297.77999999999997</v>
      </c>
      <c r="O33" s="102">
        <f>K33-'2026_PVS.PX.BOR._.2C5.BAT'!K33</f>
        <v>0</v>
      </c>
      <c r="P33" s="112"/>
    </row>
    <row r="34" spans="2:16">
      <c r="B34" s="109">
        <f t="shared" si="0"/>
        <v>2040</v>
      </c>
      <c r="C34" s="113"/>
      <c r="D34" s="111">
        <f t="shared" si="5"/>
        <v>208.25</v>
      </c>
      <c r="E34" s="111">
        <f t="shared" si="5"/>
        <v>96.29</v>
      </c>
      <c r="F34" s="165">
        <f t="shared" si="6"/>
        <v>0</v>
      </c>
      <c r="G34" s="112">
        <f t="shared" si="2"/>
        <v>288.45158242042845</v>
      </c>
      <c r="H34" s="111"/>
      <c r="I34" s="112">
        <f t="shared" si="3"/>
        <v>288.45158242042845</v>
      </c>
      <c r="J34" s="112">
        <f t="shared" si="4"/>
        <v>304.54000000000002</v>
      </c>
      <c r="K34" s="111">
        <f t="shared" si="1"/>
        <v>304.54000000000002</v>
      </c>
      <c r="O34" s="102">
        <f>K34-'2026_PVS.PX.BOR._.2C5.BAT'!K34</f>
        <v>0</v>
      </c>
      <c r="P34" s="112"/>
    </row>
    <row r="35" spans="2:16">
      <c r="B35" s="109">
        <f t="shared" si="0"/>
        <v>2041</v>
      </c>
      <c r="C35" s="113"/>
      <c r="D35" s="111">
        <f t="shared" si="5"/>
        <v>212.98</v>
      </c>
      <c r="E35" s="111">
        <f t="shared" si="5"/>
        <v>98.48</v>
      </c>
      <c r="F35" s="165">
        <f t="shared" si="6"/>
        <v>0</v>
      </c>
      <c r="G35" s="112">
        <f t="shared" si="2"/>
        <v>295.00600860532813</v>
      </c>
      <c r="H35" s="111"/>
      <c r="I35" s="112">
        <f t="shared" si="3"/>
        <v>295.00600860532813</v>
      </c>
      <c r="J35" s="112">
        <f t="shared" si="4"/>
        <v>311.45999999999998</v>
      </c>
      <c r="K35" s="111">
        <f t="shared" si="1"/>
        <v>311.45999999999998</v>
      </c>
      <c r="O35" s="102">
        <f>K35-'2026_PVS.PX.BOR._.2C5.BAT'!K35</f>
        <v>0</v>
      </c>
      <c r="P35" s="112"/>
    </row>
    <row r="36" spans="2:16">
      <c r="B36" s="109">
        <f t="shared" si="0"/>
        <v>2042</v>
      </c>
      <c r="C36" s="113"/>
      <c r="D36" s="111">
        <f t="shared" ref="D36:E37" si="7">ROUND(D35*(1+IRP23_Infl_Rate),2)</f>
        <v>217.81</v>
      </c>
      <c r="E36" s="111">
        <f t="shared" si="7"/>
        <v>100.72</v>
      </c>
      <c r="F36" s="165">
        <f t="shared" si="6"/>
        <v>0</v>
      </c>
      <c r="G36" s="112">
        <f t="shared" si="2"/>
        <v>301.70251050232827</v>
      </c>
      <c r="H36" s="111"/>
      <c r="I36" s="112">
        <f t="shared" si="3"/>
        <v>301.70251050232827</v>
      </c>
      <c r="J36" s="112">
        <f t="shared" si="4"/>
        <v>318.52999999999997</v>
      </c>
      <c r="K36" s="111">
        <f t="shared" si="1"/>
        <v>318.52999999999997</v>
      </c>
      <c r="O36" s="102">
        <f>K36-'2026_PVS.PX.BOR._.2C5.BAT'!K36</f>
        <v>0</v>
      </c>
      <c r="P36" s="112"/>
    </row>
    <row r="37" spans="2:16">
      <c r="B37" s="109">
        <f t="shared" si="0"/>
        <v>2043</v>
      </c>
      <c r="C37" s="113"/>
      <c r="D37" s="111">
        <f t="shared" si="7"/>
        <v>222.75</v>
      </c>
      <c r="E37" s="111">
        <f t="shared" si="7"/>
        <v>103.01</v>
      </c>
      <c r="F37" s="165">
        <f t="shared" si="6"/>
        <v>0</v>
      </c>
      <c r="G37" s="112">
        <f t="shared" si="2"/>
        <v>308.55055982556894</v>
      </c>
      <c r="H37" s="111"/>
      <c r="I37" s="112">
        <f t="shared" si="3"/>
        <v>308.55055982556894</v>
      </c>
      <c r="J37" s="112">
        <f t="shared" si="4"/>
        <v>325.76</v>
      </c>
      <c r="K37" s="111">
        <f t="shared" si="1"/>
        <v>325.76</v>
      </c>
      <c r="O37" s="102">
        <f>K37-'2026_PVS.PX.BOR._.2C5.BAT'!K37</f>
        <v>0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-PMT(Discount_Rate,COUNT(I20:I37),NPV(Discount_Rate,I20:I37))</f>
        <v>246.85396818644972</v>
      </c>
      <c r="J39" s="287">
        <f>-PMT(Discount_Rate,COUNT(J20:J37),NPV(Discount_Rate,J20:J37))</f>
        <v>260.62235176783992</v>
      </c>
      <c r="K39" s="287">
        <f>-PMT(Discount_Rate,COUNT(K20:K37),NPV(Discount_Rate,K20:K37))</f>
        <v>260.62227442360989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12.1%)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8">
      <c r="C49" s="119" t="str">
        <f>J7</f>
        <v>(h)</v>
      </c>
      <c r="D49" t="str">
        <f>D44</f>
        <v>Plant Costs  - 2023 IRP - Table 7.1 &amp; 7.2</v>
      </c>
    </row>
    <row r="50" spans="2:18">
      <c r="C50" s="119"/>
      <c r="D50" s="112"/>
    </row>
    <row r="51" spans="2:18" ht="13.5" thickBot="1"/>
    <row r="52" spans="2:18" ht="13.5" thickBot="1">
      <c r="C52" s="38" t="str">
        <f>B2&amp;" - "&amp;B3</f>
        <v>PVS.PX.BOR._.2C5.BAT - 12%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8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8">
      <c r="P54" s="102" t="s">
        <v>98</v>
      </c>
      <c r="Q54" s="102">
        <v>2025</v>
      </c>
      <c r="R54" s="273" t="s">
        <v>263</v>
      </c>
    </row>
    <row r="55" spans="2:18">
      <c r="B55" t="s">
        <v>152</v>
      </c>
      <c r="C55" s="267"/>
      <c r="D55" s="102" t="s">
        <v>65</v>
      </c>
      <c r="O55" s="226">
        <v>1100</v>
      </c>
      <c r="P55" s="102" t="s">
        <v>32</v>
      </c>
      <c r="R55" s="273"/>
    </row>
    <row r="56" spans="2:18">
      <c r="B56" t="s">
        <v>152</v>
      </c>
      <c r="C56" s="126"/>
      <c r="D56" s="102" t="s">
        <v>68</v>
      </c>
    </row>
    <row r="57" spans="2:18" ht="24" customHeight="1">
      <c r="B57"/>
      <c r="C57" s="129"/>
      <c r="D57" s="102" t="s">
        <v>99</v>
      </c>
      <c r="Q57" s="175"/>
    </row>
    <row r="58" spans="2:18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8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8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K60" s="270"/>
      <c r="L60" s="270"/>
      <c r="M60" s="270"/>
      <c r="O60" s="127"/>
    </row>
    <row r="61" spans="2:18">
      <c r="B61"/>
      <c r="C61" s="166"/>
      <c r="K61" s="270"/>
      <c r="L61" s="270"/>
      <c r="M61" s="270"/>
      <c r="O61" s="270"/>
    </row>
    <row r="62" spans="2:18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8">
      <c r="C63" s="272">
        <f>IRP_LTReport!F31*1000/(O55*8760)</f>
        <v>0.12052227237213564</v>
      </c>
      <c r="D63" s="102" t="s">
        <v>37</v>
      </c>
    </row>
    <row r="64" spans="2:18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81D8-9BC7-4266-A7AE-9EBB8A3E7B13}">
  <sheetPr>
    <tabColor rgb="FFFFC000"/>
    <pageSetUpPr fitToPage="1"/>
  </sheetPr>
  <dimension ref="B1:AB91"/>
  <sheetViews>
    <sheetView topLeftCell="A8" zoomScale="70" zoomScaleNormal="70" workbookViewId="0">
      <selection activeCell="O19" sqref="O19:O41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1.83203125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23.5" style="102" customWidth="1"/>
    <col min="19" max="19" width="18.1640625" style="102" customWidth="1"/>
    <col min="20" max="20" width="13.33203125" style="102" customWidth="1"/>
    <col min="21" max="21" width="18.1640625" style="102" customWidth="1"/>
    <col min="22" max="22" width="12.83203125" style="102" customWidth="1"/>
    <col min="23" max="23" width="15.33203125" style="102" customWidth="1"/>
    <col min="24" max="25" width="9.33203125" style="102"/>
    <col min="26" max="26" width="13.33203125" style="102" customWidth="1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S54</f>
        <v>PVS.PX.COR._.TC8.BAT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6%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S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Q6" s="102" t="s">
        <v>277</v>
      </c>
      <c r="S6" s="102" t="s">
        <v>265</v>
      </c>
      <c r="V6" s="129"/>
      <c r="W6" s="129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  <c r="Q7" s="115" t="s">
        <v>232</v>
      </c>
      <c r="R7" s="129" t="s">
        <v>275</v>
      </c>
      <c r="S7" s="102" t="s">
        <v>238</v>
      </c>
      <c r="T7" s="129" t="s">
        <v>276</v>
      </c>
      <c r="W7" s="102" t="s">
        <v>247</v>
      </c>
    </row>
    <row r="8" spans="2:26" ht="21.75" customHeight="1">
      <c r="Q8" s="115"/>
      <c r="S8" s="102" t="s">
        <v>273</v>
      </c>
      <c r="W8" s="115" t="s">
        <v>232</v>
      </c>
    </row>
    <row r="9" spans="2:26" ht="15.75">
      <c r="B9" s="39" t="str">
        <f>C52</f>
        <v>PVS.PX.COR._.TC8.BAT - 6%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>
        <f>(D12+E12+F12)</f>
        <v>0</v>
      </c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>
        <f t="shared" ref="K13:K37" si="1">(D13+E13+F13)</f>
        <v>0</v>
      </c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>
        <f t="shared" si="1"/>
        <v>0</v>
      </c>
      <c r="O14" s="114"/>
      <c r="P14" s="265"/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>
        <f t="shared" si="1"/>
        <v>0</v>
      </c>
      <c r="O15" s="266"/>
      <c r="P15" s="265"/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>
        <f t="shared" si="1"/>
        <v>0</v>
      </c>
      <c r="Q16" s="274">
        <v>1728.6589634669394</v>
      </c>
      <c r="R16" s="129">
        <f>S16-Q16</f>
        <v>-6.1889634669394127</v>
      </c>
      <c r="S16" s="102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>
        <f t="shared" si="1"/>
        <v>0</v>
      </c>
      <c r="O17" s="114"/>
      <c r="Q17" s="277"/>
      <c r="R17" s="277"/>
      <c r="S17" s="102">
        <f>S16*IRP_PTC_ESC!$AJ3</f>
        <v>1809.626982</v>
      </c>
      <c r="T17" s="129"/>
      <c r="W17" s="277">
        <f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>
        <f t="shared" si="1"/>
        <v>0</v>
      </c>
      <c r="P18" s="263"/>
      <c r="Q18" s="277"/>
      <c r="R18" s="277"/>
      <c r="S18" s="102">
        <f>S17*IRP_PTC_ESC!$AJ4</f>
        <v>1809.626982</v>
      </c>
      <c r="T18" s="129"/>
      <c r="W18" s="277">
        <f>W17*(1+IRP23_Infl_Rate)</f>
        <v>42.159134777192428</v>
      </c>
      <c r="AB18" s="227"/>
    </row>
    <row r="19" spans="2:28">
      <c r="B19" s="109">
        <f t="shared" si="0"/>
        <v>2025</v>
      </c>
      <c r="C19" s="113"/>
      <c r="D19" s="111"/>
      <c r="E19" s="111"/>
      <c r="F19" s="111"/>
      <c r="G19" s="112"/>
      <c r="H19" s="111"/>
      <c r="I19" s="112"/>
      <c r="J19" s="112"/>
      <c r="K19" s="111">
        <f t="shared" si="1"/>
        <v>0</v>
      </c>
      <c r="P19" s="263"/>
      <c r="Q19" s="277"/>
      <c r="R19" s="277"/>
      <c r="S19" s="102">
        <f>S18*IRP_PTC_ESC!$AJ5</f>
        <v>1809.626982</v>
      </c>
      <c r="U19" s="129"/>
      <c r="W19" s="277">
        <f>W18*(1+IRP23_Infl_Rate)</f>
        <v>43.116147136824793</v>
      </c>
      <c r="X19" s="129"/>
      <c r="Y19" s="273"/>
    </row>
    <row r="20" spans="2:28">
      <c r="B20" s="109">
        <f t="shared" si="0"/>
        <v>2026</v>
      </c>
      <c r="C20" s="274">
        <f>IRP_LTReport!R40</f>
        <v>1809.62707136155</v>
      </c>
      <c r="D20" s="111">
        <f>C20*$C$62</f>
        <v>152.09915534793828</v>
      </c>
      <c r="E20" s="281">
        <f>IRP_LTReport!L40</f>
        <v>47.389999999997578</v>
      </c>
      <c r="F20" s="165">
        <f>$C$60</f>
        <v>0</v>
      </c>
      <c r="G20" s="112">
        <f t="shared" ref="G20:G37" si="2">(D20+E20+F20)/(8.76*$C$63)</f>
        <v>369.6885706702318</v>
      </c>
      <c r="H20" s="111"/>
      <c r="I20" s="112">
        <f t="shared" ref="I20:I37" si="3">(G20+H20)</f>
        <v>369.6885706702318</v>
      </c>
      <c r="J20" s="112">
        <f t="shared" ref="J20:J37" si="4">ROUND(I20*$C$63*8.76,2)</f>
        <v>199.49</v>
      </c>
      <c r="K20" s="111">
        <f t="shared" si="1"/>
        <v>199.48915534793585</v>
      </c>
      <c r="P20" s="112"/>
      <c r="R20" s="129"/>
      <c r="S20" s="102">
        <f>S19*IRP_PTC_ESC!$AJ6</f>
        <v>1809.626982</v>
      </c>
      <c r="U20" s="129">
        <f>S20-C20</f>
        <v>-8.9361549953537178E-5</v>
      </c>
      <c r="V20" s="129"/>
      <c r="W20" s="277">
        <f>W19*(1+IRP23_Infl_Rate)</f>
        <v>44.094883677025123</v>
      </c>
      <c r="X20" s="129">
        <f>W20-E20</f>
        <v>-3.2951163229724543</v>
      </c>
      <c r="Y20" s="273" t="s">
        <v>278</v>
      </c>
    </row>
    <row r="21" spans="2:28">
      <c r="B21" s="109">
        <f t="shared" si="0"/>
        <v>2027</v>
      </c>
      <c r="C21" s="113"/>
      <c r="D21" s="111">
        <f t="shared" ref="D21:E36" si="5">ROUND(D20*(1+IRP23_Infl_Rate),2)</f>
        <v>155.55000000000001</v>
      </c>
      <c r="E21" s="111">
        <f t="shared" si="5"/>
        <v>48.47</v>
      </c>
      <c r="F21" s="165">
        <f t="shared" ref="F21:F37" si="6">$C$60</f>
        <v>0</v>
      </c>
      <c r="G21" s="112">
        <f t="shared" si="2"/>
        <v>378.08502450467222</v>
      </c>
      <c r="H21" s="111"/>
      <c r="I21" s="112">
        <f t="shared" si="3"/>
        <v>378.08502450467222</v>
      </c>
      <c r="J21" s="112">
        <f t="shared" si="4"/>
        <v>204.02</v>
      </c>
      <c r="K21" s="111">
        <f t="shared" si="1"/>
        <v>204.02</v>
      </c>
      <c r="P21" s="112"/>
      <c r="U21" s="129"/>
      <c r="V21" s="129"/>
      <c r="W21" s="129"/>
      <c r="X21" s="129"/>
      <c r="Y21" s="129"/>
    </row>
    <row r="22" spans="2:28">
      <c r="B22" s="109">
        <f t="shared" si="0"/>
        <v>2028</v>
      </c>
      <c r="C22" s="113"/>
      <c r="D22" s="111">
        <f t="shared" si="5"/>
        <v>159.08000000000001</v>
      </c>
      <c r="E22" s="111">
        <f t="shared" si="5"/>
        <v>49.57</v>
      </c>
      <c r="F22" s="165">
        <f t="shared" si="6"/>
        <v>0</v>
      </c>
      <c r="G22" s="112">
        <f t="shared" si="2"/>
        <v>386.66523067787404</v>
      </c>
      <c r="H22" s="111"/>
      <c r="I22" s="112">
        <f t="shared" si="3"/>
        <v>386.66523067787404</v>
      </c>
      <c r="J22" s="112">
        <f t="shared" si="4"/>
        <v>208.65</v>
      </c>
      <c r="K22" s="111">
        <f t="shared" si="1"/>
        <v>208.65</v>
      </c>
      <c r="P22" s="112"/>
      <c r="S22" s="129"/>
      <c r="U22" s="129"/>
      <c r="V22" s="129"/>
      <c r="X22" s="129"/>
      <c r="Y22" s="129"/>
      <c r="Z22" s="129"/>
    </row>
    <row r="23" spans="2:28">
      <c r="B23" s="109">
        <f t="shared" si="0"/>
        <v>2029</v>
      </c>
      <c r="C23" s="113"/>
      <c r="D23" s="111">
        <f t="shared" si="5"/>
        <v>162.69</v>
      </c>
      <c r="E23" s="111">
        <f t="shared" si="5"/>
        <v>50.7</v>
      </c>
      <c r="F23" s="165">
        <f t="shared" si="6"/>
        <v>0</v>
      </c>
      <c r="G23" s="112">
        <f t="shared" si="2"/>
        <v>395.44928624179983</v>
      </c>
      <c r="H23" s="111"/>
      <c r="I23" s="112">
        <f t="shared" si="3"/>
        <v>395.44928624179983</v>
      </c>
      <c r="J23" s="112">
        <f t="shared" si="4"/>
        <v>213.39</v>
      </c>
      <c r="K23" s="111">
        <f t="shared" si="1"/>
        <v>213.39</v>
      </c>
      <c r="P23" s="112"/>
      <c r="S23" s="129"/>
      <c r="U23" s="129"/>
      <c r="V23" s="129"/>
      <c r="X23" s="129"/>
      <c r="Y23" s="129"/>
      <c r="Z23" s="129"/>
    </row>
    <row r="24" spans="2:28">
      <c r="B24" s="109">
        <f t="shared" si="0"/>
        <v>2030</v>
      </c>
      <c r="C24" s="113"/>
      <c r="D24" s="111">
        <f t="shared" si="5"/>
        <v>166.38</v>
      </c>
      <c r="E24" s="111">
        <f t="shared" si="5"/>
        <v>51.85</v>
      </c>
      <c r="F24" s="165">
        <f t="shared" si="6"/>
        <v>0</v>
      </c>
      <c r="G24" s="112">
        <f t="shared" si="2"/>
        <v>404.41865943365656</v>
      </c>
      <c r="H24" s="111"/>
      <c r="I24" s="112">
        <f t="shared" si="3"/>
        <v>404.41865943365656</v>
      </c>
      <c r="J24" s="112">
        <f t="shared" si="4"/>
        <v>218.23</v>
      </c>
      <c r="K24" s="111">
        <f t="shared" si="1"/>
        <v>218.23</v>
      </c>
      <c r="P24" s="112"/>
      <c r="S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si="5"/>
        <v>170.16</v>
      </c>
      <c r="E25" s="111">
        <f t="shared" si="5"/>
        <v>53.03</v>
      </c>
      <c r="F25" s="165">
        <f t="shared" si="6"/>
        <v>0</v>
      </c>
      <c r="G25" s="112">
        <f t="shared" si="2"/>
        <v>413.61041377903041</v>
      </c>
      <c r="H25" s="111"/>
      <c r="I25" s="112">
        <f t="shared" si="3"/>
        <v>413.61041377903041</v>
      </c>
      <c r="J25" s="112">
        <f t="shared" si="4"/>
        <v>223.19</v>
      </c>
      <c r="K25" s="111">
        <f t="shared" si="1"/>
        <v>223.19</v>
      </c>
      <c r="P25" s="112"/>
      <c r="S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si="5"/>
        <v>174.02</v>
      </c>
      <c r="E26" s="111">
        <f t="shared" si="5"/>
        <v>54.23</v>
      </c>
      <c r="F26" s="165">
        <f t="shared" si="6"/>
        <v>0</v>
      </c>
      <c r="G26" s="112">
        <f t="shared" si="2"/>
        <v>422.9874857523352</v>
      </c>
      <c r="H26" s="111"/>
      <c r="I26" s="112">
        <f t="shared" si="3"/>
        <v>422.9874857523352</v>
      </c>
      <c r="J26" s="112">
        <f t="shared" si="4"/>
        <v>228.25</v>
      </c>
      <c r="K26" s="111">
        <f t="shared" si="1"/>
        <v>228.25</v>
      </c>
      <c r="P26" s="112"/>
      <c r="S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si="5"/>
        <v>177.97</v>
      </c>
      <c r="E27" s="111">
        <f t="shared" si="5"/>
        <v>55.46</v>
      </c>
      <c r="F27" s="165">
        <f t="shared" si="6"/>
        <v>0</v>
      </c>
      <c r="G27" s="112">
        <f t="shared" si="2"/>
        <v>432.58693887915712</v>
      </c>
      <c r="H27" s="111"/>
      <c r="I27" s="112">
        <f t="shared" si="3"/>
        <v>432.58693887915712</v>
      </c>
      <c r="J27" s="112">
        <f t="shared" si="4"/>
        <v>233.43</v>
      </c>
      <c r="K27" s="111">
        <f t="shared" si="1"/>
        <v>233.43</v>
      </c>
      <c r="P27" s="112"/>
      <c r="S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si="5"/>
        <v>182.01</v>
      </c>
      <c r="E28" s="111">
        <f t="shared" si="5"/>
        <v>56.72</v>
      </c>
      <c r="F28" s="165">
        <f t="shared" si="6"/>
        <v>0</v>
      </c>
      <c r="G28" s="112">
        <f t="shared" si="2"/>
        <v>442.40877315949609</v>
      </c>
      <c r="H28" s="111"/>
      <c r="I28" s="112">
        <f t="shared" si="3"/>
        <v>442.40877315949609</v>
      </c>
      <c r="J28" s="112">
        <f t="shared" si="4"/>
        <v>238.73</v>
      </c>
      <c r="K28" s="111">
        <f t="shared" si="1"/>
        <v>238.73</v>
      </c>
      <c r="P28" s="112"/>
      <c r="S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si="5"/>
        <v>186.14</v>
      </c>
      <c r="E29" s="111">
        <f t="shared" si="5"/>
        <v>58.01</v>
      </c>
      <c r="F29" s="165">
        <f t="shared" si="6"/>
        <v>0</v>
      </c>
      <c r="G29" s="112">
        <f t="shared" si="2"/>
        <v>452.45298859335219</v>
      </c>
      <c r="H29" s="111"/>
      <c r="I29" s="112">
        <f t="shared" si="3"/>
        <v>452.45298859335219</v>
      </c>
      <c r="J29" s="112">
        <f t="shared" si="4"/>
        <v>244.15</v>
      </c>
      <c r="K29" s="111">
        <f t="shared" si="1"/>
        <v>244.14999999999998</v>
      </c>
      <c r="P29" s="112"/>
      <c r="S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si="5"/>
        <v>190.37</v>
      </c>
      <c r="E30" s="111">
        <f t="shared" si="5"/>
        <v>59.33</v>
      </c>
      <c r="F30" s="165">
        <f t="shared" si="6"/>
        <v>0</v>
      </c>
      <c r="G30" s="112">
        <f t="shared" si="2"/>
        <v>462.73811694351849</v>
      </c>
      <c r="H30" s="111"/>
      <c r="I30" s="112">
        <f t="shared" si="3"/>
        <v>462.73811694351849</v>
      </c>
      <c r="J30" s="112">
        <f t="shared" si="4"/>
        <v>249.7</v>
      </c>
      <c r="K30" s="111">
        <f t="shared" si="1"/>
        <v>249.7</v>
      </c>
      <c r="P30" s="112"/>
      <c r="S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si="5"/>
        <v>194.69</v>
      </c>
      <c r="E31" s="111">
        <f t="shared" si="5"/>
        <v>60.68</v>
      </c>
      <c r="F31" s="165">
        <f t="shared" si="6"/>
        <v>0</v>
      </c>
      <c r="G31" s="112">
        <f t="shared" si="2"/>
        <v>473.24562644720197</v>
      </c>
      <c r="H31" s="111"/>
      <c r="I31" s="112">
        <f t="shared" si="3"/>
        <v>473.24562644720197</v>
      </c>
      <c r="J31" s="112">
        <f t="shared" si="4"/>
        <v>255.37</v>
      </c>
      <c r="K31" s="111">
        <f t="shared" si="1"/>
        <v>255.37</v>
      </c>
      <c r="P31" s="112"/>
      <c r="S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si="5"/>
        <v>199.11</v>
      </c>
      <c r="E32" s="111">
        <f t="shared" si="5"/>
        <v>62.06</v>
      </c>
      <c r="F32" s="165">
        <f t="shared" si="6"/>
        <v>0</v>
      </c>
      <c r="G32" s="112">
        <f t="shared" si="2"/>
        <v>483.9940488671956</v>
      </c>
      <c r="H32" s="111"/>
      <c r="I32" s="112">
        <f t="shared" si="3"/>
        <v>483.9940488671956</v>
      </c>
      <c r="J32" s="112">
        <f t="shared" si="4"/>
        <v>261.17</v>
      </c>
      <c r="K32" s="111">
        <f t="shared" si="1"/>
        <v>261.17</v>
      </c>
      <c r="P32" s="112"/>
      <c r="S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si="5"/>
        <v>203.63</v>
      </c>
      <c r="E33" s="111">
        <f t="shared" si="5"/>
        <v>63.47</v>
      </c>
      <c r="F33" s="165">
        <f t="shared" si="6"/>
        <v>0</v>
      </c>
      <c r="G33" s="112">
        <f t="shared" si="2"/>
        <v>494.98338420349944</v>
      </c>
      <c r="H33" s="111"/>
      <c r="I33" s="112">
        <f t="shared" si="3"/>
        <v>494.98338420349944</v>
      </c>
      <c r="J33" s="112">
        <f t="shared" si="4"/>
        <v>267.10000000000002</v>
      </c>
      <c r="K33" s="111">
        <f t="shared" si="1"/>
        <v>267.10000000000002</v>
      </c>
      <c r="P33" s="112"/>
    </row>
    <row r="34" spans="2:16">
      <c r="B34" s="109">
        <f t="shared" si="0"/>
        <v>2040</v>
      </c>
      <c r="C34" s="113"/>
      <c r="D34" s="111">
        <f t="shared" si="5"/>
        <v>208.25</v>
      </c>
      <c r="E34" s="111">
        <f t="shared" si="5"/>
        <v>64.91</v>
      </c>
      <c r="F34" s="165">
        <f t="shared" si="6"/>
        <v>0</v>
      </c>
      <c r="G34" s="112">
        <f t="shared" si="2"/>
        <v>506.21363245611337</v>
      </c>
      <c r="H34" s="111"/>
      <c r="I34" s="112">
        <f t="shared" si="3"/>
        <v>506.21363245611337</v>
      </c>
      <c r="J34" s="112">
        <f t="shared" si="4"/>
        <v>273.16000000000003</v>
      </c>
      <c r="K34" s="111">
        <f t="shared" si="1"/>
        <v>273.15999999999997</v>
      </c>
      <c r="P34" s="112"/>
    </row>
    <row r="35" spans="2:16">
      <c r="B35" s="109">
        <f t="shared" si="0"/>
        <v>2041</v>
      </c>
      <c r="C35" s="113"/>
      <c r="D35" s="111">
        <f t="shared" si="5"/>
        <v>212.98</v>
      </c>
      <c r="E35" s="111">
        <f t="shared" si="5"/>
        <v>66.38</v>
      </c>
      <c r="F35" s="165">
        <f t="shared" si="6"/>
        <v>0</v>
      </c>
      <c r="G35" s="112">
        <f t="shared" si="2"/>
        <v>517.70332538783077</v>
      </c>
      <c r="H35" s="111"/>
      <c r="I35" s="112">
        <f t="shared" si="3"/>
        <v>517.70332538783077</v>
      </c>
      <c r="J35" s="112">
        <f t="shared" si="4"/>
        <v>279.36</v>
      </c>
      <c r="K35" s="111">
        <f t="shared" si="1"/>
        <v>279.36</v>
      </c>
      <c r="P35" s="112"/>
    </row>
    <row r="36" spans="2:16">
      <c r="B36" s="109">
        <f t="shared" si="0"/>
        <v>2042</v>
      </c>
      <c r="C36" s="113"/>
      <c r="D36" s="111">
        <f t="shared" si="5"/>
        <v>217.81</v>
      </c>
      <c r="E36" s="111">
        <f t="shared" si="5"/>
        <v>67.89</v>
      </c>
      <c r="F36" s="165">
        <f t="shared" si="6"/>
        <v>0</v>
      </c>
      <c r="G36" s="112">
        <f t="shared" si="2"/>
        <v>529.4524629986513</v>
      </c>
      <c r="H36" s="111"/>
      <c r="I36" s="112">
        <f t="shared" si="3"/>
        <v>529.4524629986513</v>
      </c>
      <c r="J36" s="112">
        <f t="shared" si="4"/>
        <v>285.7</v>
      </c>
      <c r="K36" s="111">
        <f t="shared" si="1"/>
        <v>285.7</v>
      </c>
      <c r="P36" s="112"/>
    </row>
    <row r="37" spans="2:16">
      <c r="B37" s="109">
        <f t="shared" si="0"/>
        <v>2043</v>
      </c>
      <c r="C37" s="113"/>
      <c r="D37" s="111">
        <f t="shared" ref="D37:E37" si="7">ROUND(D36*(1+IRP23_Infl_Rate),2)</f>
        <v>222.75</v>
      </c>
      <c r="E37" s="111">
        <f t="shared" si="7"/>
        <v>69.430000000000007</v>
      </c>
      <c r="F37" s="165">
        <f t="shared" si="6"/>
        <v>0</v>
      </c>
      <c r="G37" s="112">
        <f t="shared" si="2"/>
        <v>541.46104528857529</v>
      </c>
      <c r="H37" s="111"/>
      <c r="I37" s="112">
        <f t="shared" si="3"/>
        <v>541.46104528857529</v>
      </c>
      <c r="J37" s="112">
        <f t="shared" si="4"/>
        <v>292.18</v>
      </c>
      <c r="K37" s="111">
        <f t="shared" si="1"/>
        <v>292.18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-PMT(Discount_Rate,COUNT(I20:I37),NPV(Discount_Rate,I20:I37))</f>
        <v>433.20531208386006</v>
      </c>
      <c r="J39" s="287">
        <f>-PMT(Discount_Rate,COUNT(J20:J37),NPV(Discount_Rate,J20:J37))</f>
        <v>233.76376022783228</v>
      </c>
      <c r="K39" s="287">
        <f>-PMT(Discount_Rate,COUNT(K20:K37),NPV(Discount_Rate,K20:K37))</f>
        <v>233.76368288360206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6.2%)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9">
      <c r="C49" s="119" t="str">
        <f>J7</f>
        <v>(h)</v>
      </c>
      <c r="D49" t="str">
        <f>D44</f>
        <v>Plant Costs  - 2023 IRP - Table 7.1 &amp; 7.2</v>
      </c>
    </row>
    <row r="50" spans="2:19">
      <c r="C50" s="119"/>
      <c r="D50" s="112"/>
    </row>
    <row r="51" spans="2:19" ht="13.5" thickBot="1"/>
    <row r="52" spans="2:19" ht="13.5" thickBot="1">
      <c r="C52" s="38" t="str">
        <f>B2&amp;" - "&amp;B3</f>
        <v>PVS.PX.COR._.TC8.BAT - 6%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9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9">
      <c r="P54" s="102" t="s">
        <v>98</v>
      </c>
      <c r="Q54" s="102">
        <v>2026</v>
      </c>
      <c r="S54" s="273" t="s">
        <v>293</v>
      </c>
    </row>
    <row r="55" spans="2:19">
      <c r="B55" t="s">
        <v>152</v>
      </c>
      <c r="C55" s="267"/>
      <c r="D55" s="102" t="s">
        <v>65</v>
      </c>
      <c r="O55" s="226">
        <v>200</v>
      </c>
      <c r="P55" s="102" t="s">
        <v>32</v>
      </c>
      <c r="S55" s="273"/>
    </row>
    <row r="56" spans="2:19">
      <c r="B56" t="s">
        <v>152</v>
      </c>
      <c r="C56" s="126"/>
      <c r="D56" s="102" t="s">
        <v>68</v>
      </c>
    </row>
    <row r="57" spans="2:19" ht="24" customHeight="1">
      <c r="B57"/>
      <c r="C57" s="129"/>
      <c r="D57" s="102" t="s">
        <v>99</v>
      </c>
      <c r="Q57" s="175"/>
      <c r="R57" s="175"/>
    </row>
    <row r="58" spans="2:19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9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9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K60" s="270"/>
      <c r="L60" s="270"/>
      <c r="M60" s="270"/>
      <c r="O60" s="127"/>
    </row>
    <row r="61" spans="2:19">
      <c r="B61"/>
      <c r="C61" s="166"/>
      <c r="K61" s="270"/>
      <c r="L61" s="270"/>
      <c r="M61" s="270"/>
      <c r="O61" s="270"/>
    </row>
    <row r="62" spans="2:19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9">
      <c r="C63" s="272">
        <f>IRP_LTReport!F39*1000/(O55*8760)</f>
        <v>6.159978001882415E-2</v>
      </c>
      <c r="D63" s="102" t="s">
        <v>37</v>
      </c>
    </row>
    <row r="64" spans="2:19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T276"/>
  <sheetViews>
    <sheetView topLeftCell="A2" zoomScale="80" zoomScaleNormal="80" workbookViewId="0">
      <selection activeCell="E27" sqref="E27"/>
    </sheetView>
  </sheetViews>
  <sheetFormatPr defaultColWidth="9.33203125" defaultRowHeight="12.75" outlineLevelRow="1"/>
  <cols>
    <col min="1" max="1" width="18.5" style="49" customWidth="1"/>
    <col min="2" max="2" width="22.83203125" style="49" customWidth="1"/>
    <col min="3" max="3" width="18.1640625" style="49" customWidth="1"/>
    <col min="4" max="4" width="18.33203125" style="49" customWidth="1"/>
    <col min="5" max="5" width="18.5" style="49" customWidth="1"/>
    <col min="6" max="7" width="16.1640625" style="49" customWidth="1"/>
    <col min="8" max="8" width="3.83203125" style="49" customWidth="1"/>
    <col min="9" max="9" width="9.5" style="49" customWidth="1"/>
    <col min="10" max="11" width="10" style="49" customWidth="1"/>
    <col min="12" max="12" width="9.33203125" style="49" customWidth="1"/>
    <col min="13" max="13" width="21.1640625" style="49" customWidth="1"/>
    <col min="14" max="14" width="20" style="49" customWidth="1"/>
    <col min="15" max="15" width="14.6640625" style="49" customWidth="1"/>
    <col min="16" max="16" width="14.33203125" style="49" customWidth="1"/>
    <col min="17" max="17" width="14.6640625" style="49" customWidth="1"/>
    <col min="18" max="18" width="13.6640625" style="49" customWidth="1"/>
    <col min="19" max="19" width="16" style="49" customWidth="1"/>
    <col min="20" max="20" width="15.1640625" style="49" bestFit="1" customWidth="1"/>
    <col min="21" max="16384" width="9.33203125" style="49"/>
  </cols>
  <sheetData>
    <row r="1" spans="1:19" s="3" customFormat="1" ht="15.75" hidden="1">
      <c r="B1" s="1" t="s">
        <v>35</v>
      </c>
      <c r="C1" s="1"/>
      <c r="D1" s="10"/>
      <c r="E1" s="10"/>
      <c r="F1" s="10"/>
      <c r="G1" s="10"/>
      <c r="H1" s="30"/>
      <c r="I1" s="83"/>
      <c r="J1" s="83"/>
      <c r="K1" s="83"/>
    </row>
    <row r="2" spans="1:19" ht="5.25" customHeight="1"/>
    <row r="3" spans="1:19" ht="15.75">
      <c r="B3" s="1" t="str">
        <f>"Table "&amp;RIGHT('Table 4'!B3,1)+1</f>
        <v>Table 5</v>
      </c>
      <c r="C3" s="75"/>
      <c r="D3" s="75"/>
      <c r="E3" s="75"/>
      <c r="F3" s="75"/>
      <c r="G3" s="75"/>
      <c r="M3" s="49" t="s">
        <v>54</v>
      </c>
      <c r="O3" s="99"/>
    </row>
    <row r="4" spans="1:19" ht="38.25">
      <c r="B4" s="75" t="str">
        <f ca="1">'Table 1'!B5</f>
        <v>Tesoro Non Firm - 25.0 MW and 85.0% CF</v>
      </c>
      <c r="C4" s="75"/>
      <c r="D4" s="75"/>
      <c r="E4" s="75"/>
      <c r="F4" s="75"/>
      <c r="G4" s="75"/>
      <c r="K4" s="49">
        <f>MIN(K13:K24)</f>
        <v>45292</v>
      </c>
      <c r="M4" s="50" t="s">
        <v>543</v>
      </c>
      <c r="P4" s="178" t="s">
        <v>148</v>
      </c>
      <c r="Q4" s="178" t="s">
        <v>149</v>
      </c>
      <c r="R4" s="178" t="s">
        <v>141</v>
      </c>
      <c r="S4" s="178" t="s">
        <v>151</v>
      </c>
    </row>
    <row r="5" spans="1:19">
      <c r="B5" s="75" t="str">
        <f>TEXT($K$5,"MMMM YYYY")&amp;"  through  "&amp;TEXT($K$6,"MMMM YYYY")</f>
        <v>January 2024  through  December 2024</v>
      </c>
      <c r="C5" s="75"/>
      <c r="D5" s="75"/>
      <c r="E5" s="75"/>
      <c r="F5" s="75"/>
      <c r="G5" s="75"/>
      <c r="J5" s="49" t="s">
        <v>38</v>
      </c>
      <c r="K5" s="157">
        <f>MIN(K13:K24)</f>
        <v>45292</v>
      </c>
      <c r="M5" s="49" t="s">
        <v>39</v>
      </c>
      <c r="O5" s="3" t="s">
        <v>80</v>
      </c>
      <c r="P5" s="3">
        <f>Q5+12</f>
        <v>49</v>
      </c>
      <c r="Q5" s="3">
        <f>R5+12</f>
        <v>37</v>
      </c>
      <c r="R5" s="3">
        <f>S5+12</f>
        <v>25</v>
      </c>
      <c r="S5" s="3">
        <v>13</v>
      </c>
    </row>
    <row r="6" spans="1:19">
      <c r="B6" s="75" t="s">
        <v>40</v>
      </c>
      <c r="C6" s="75"/>
      <c r="D6" s="75"/>
      <c r="E6" s="75"/>
      <c r="F6" s="75"/>
      <c r="G6" s="75"/>
      <c r="J6" s="49" t="s">
        <v>41</v>
      </c>
      <c r="K6" s="157">
        <f>EDATE(K5,1*12-1)</f>
        <v>45627</v>
      </c>
      <c r="M6" s="50">
        <v>25</v>
      </c>
      <c r="N6" s="49" t="s">
        <v>32</v>
      </c>
      <c r="O6" s="3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S5+1*12-1</f>
        <v>24</v>
      </c>
    </row>
    <row r="7" spans="1:19">
      <c r="A7" s="93"/>
      <c r="C7" s="51"/>
      <c r="D7" s="51"/>
      <c r="E7" s="51"/>
      <c r="F7" s="254"/>
      <c r="G7" s="80"/>
      <c r="M7" s="255">
        <f ca="1">SUM(OFFSET(F12,MATCH(K5,B13:B24,0),0,12))/(EDATE(K5,12)-K5)/24/Study_MW</f>
        <v>0.85</v>
      </c>
      <c r="N7" s="77" t="s">
        <v>34</v>
      </c>
    </row>
    <row r="8" spans="1:19">
      <c r="A8" s="93"/>
      <c r="B8" s="93" t="str">
        <f>"Nominal NPV at "&amp;TEXT(J9,"0.00%")&amp;" Discount Rate"</f>
        <v>Nominal NPV at 6.77% Discount Rate</v>
      </c>
      <c r="J8" s="49" t="str">
        <f>'Table 1'!I42</f>
        <v>Discount Rate - 2023 IRP</v>
      </c>
    </row>
    <row r="9" spans="1:19">
      <c r="A9" s="93" t="str">
        <f>S4</f>
        <v>15 Year</v>
      </c>
      <c r="C9" s="51">
        <f ca="1">NPV($K$9,INDIRECT("C"&amp;$S$5&amp;":C"&amp;$S$6))</f>
        <v>8308189.9396541286</v>
      </c>
      <c r="D9" s="51">
        <f ca="1">NPV($K$9,INDIRECT("d"&amp;$S$5&amp;":d"&amp;$S$6))</f>
        <v>0</v>
      </c>
      <c r="E9" s="51">
        <f ca="1">NPV($K$9,INDIRECT("e"&amp;$S$5&amp;":e"&amp;$S$6))</f>
        <v>8308189.9396541286</v>
      </c>
      <c r="F9" s="254">
        <f ca="1">NPV($K$9,INDIRECT("f"&amp;$S$5&amp;":f"&amp;$S$6))</f>
        <v>180171.43704047918</v>
      </c>
      <c r="G9" s="80">
        <f ca="1">($C9+D9)/$F9</f>
        <v>46.112691756948827</v>
      </c>
      <c r="J9" s="96">
        <f>'Table 1'!I43</f>
        <v>6.7699999999999996E-2</v>
      </c>
      <c r="K9" s="82">
        <f>((1+J9)^(1/12))-1</f>
        <v>5.4738271283234496E-3</v>
      </c>
    </row>
    <row r="10" spans="1:19">
      <c r="A10" s="93"/>
      <c r="C10" s="51"/>
      <c r="D10" s="51"/>
      <c r="E10" s="51"/>
      <c r="F10" s="254"/>
      <c r="G10" s="80"/>
      <c r="N10" s="52"/>
    </row>
    <row r="11" spans="1:19">
      <c r="B11" s="81"/>
      <c r="C11" s="54" t="s">
        <v>18</v>
      </c>
      <c r="D11" s="55" t="s">
        <v>42</v>
      </c>
      <c r="E11" s="55" t="s">
        <v>43</v>
      </c>
      <c r="F11" s="55" t="s">
        <v>43</v>
      </c>
      <c r="G11" s="56" t="s">
        <v>51</v>
      </c>
    </row>
    <row r="12" spans="1:19">
      <c r="B12" s="60" t="s">
        <v>44</v>
      </c>
      <c r="C12" s="54" t="s">
        <v>45</v>
      </c>
      <c r="D12" s="58" t="str">
        <f>TEXT((SUM(F25:F72)/(8760*3+8784))/Study_MW,"0.0%")&amp;" CF"</f>
        <v>0.0% CF</v>
      </c>
      <c r="E12" s="59" t="s">
        <v>50</v>
      </c>
      <c r="F12" s="60" t="s">
        <v>46</v>
      </c>
      <c r="G12" s="58" t="str">
        <f>D12</f>
        <v>0.0% CF</v>
      </c>
      <c r="I12" s="55" t="s">
        <v>47</v>
      </c>
      <c r="J12" s="61" t="s">
        <v>0</v>
      </c>
      <c r="K12" s="61" t="s">
        <v>48</v>
      </c>
      <c r="L12" s="61" t="s">
        <v>47</v>
      </c>
      <c r="M12" s="61"/>
      <c r="N12" s="56"/>
      <c r="P12" s="49" t="s">
        <v>43</v>
      </c>
      <c r="Q12" s="49" t="s">
        <v>71</v>
      </c>
      <c r="R12" s="49" t="s">
        <v>72</v>
      </c>
    </row>
    <row r="13" spans="1:19">
      <c r="B13" s="67">
        <f>[8]NPC!$F$3</f>
        <v>45292</v>
      </c>
      <c r="C13" s="62">
        <f>IF(F13="","",-INDEX([8]Delta!$F$1:$EE$997,$L$13,$I13))</f>
        <v>831934.39987379313</v>
      </c>
      <c r="D13" s="63">
        <f>IF(ISNUMBER($F13),VLOOKUP($J13,'Table 1'!$B$13:$C$33,2,FALSE)/12*1000*Study_MW,"")</f>
        <v>0</v>
      </c>
      <c r="E13" s="64">
        <f t="shared" ref="E13:E17" si="0">IF(ISNUMBER(C13+D13),C13+D13,"")</f>
        <v>831934.39987379313</v>
      </c>
      <c r="F13" s="62">
        <f>IF(INDEX([8]Delta!$F$1:$EE$997,$L$14,$I13)=0,"",INDEX([8]Delta!$F$1:$EE$997,$L$14,$I13))</f>
        <v>15810</v>
      </c>
      <c r="G13" s="65">
        <f t="shared" ref="G13:G17" si="1">IF(ISNUMBER($F13),E13/$F13,"")</f>
        <v>52.620771655521388</v>
      </c>
      <c r="I13" s="53">
        <v>1</v>
      </c>
      <c r="J13" s="66">
        <f>YEAR(B13)</f>
        <v>2024</v>
      </c>
      <c r="K13" s="67">
        <f t="shared" ref="K13:K24" si="2">IF(ISNUMBER(F13),B13,"")</f>
        <v>45292</v>
      </c>
      <c r="L13" s="49">
        <f>MATCH(M13,[8]Delta!$A$1:$A$997,FALSE)</f>
        <v>418</v>
      </c>
      <c r="M13" s="49" t="s">
        <v>49</v>
      </c>
    </row>
    <row r="14" spans="1:19">
      <c r="B14" s="70">
        <f t="shared" ref="B14:B77" si="3">EDATE(B13,1)</f>
        <v>45323</v>
      </c>
      <c r="C14" s="49">
        <f>IF(F14="","",-INDEX([8]Delta!$F$1:$EE$997,$L$13,$I14))</f>
        <v>693445.19851341844</v>
      </c>
      <c r="D14" s="64">
        <f>IF(ISNUMBER($F14),VLOOKUP($J14,'Table 1'!$B$13:$C$33,2,FALSE)/12*1000*Study_MW,"")</f>
        <v>0</v>
      </c>
      <c r="E14" s="64">
        <f t="shared" si="0"/>
        <v>693445.19851341844</v>
      </c>
      <c r="F14" s="49">
        <f>IF(INDEX([8]Delta!$F$1:$EE$997,$L$14,$I14)=0,"",INDEX([8]Delta!$F$1:$EE$997,$L$14,$I14))</f>
        <v>14790</v>
      </c>
      <c r="G14" s="68">
        <f t="shared" si="1"/>
        <v>46.886085092185155</v>
      </c>
      <c r="I14" s="69">
        <f>I13+1</f>
        <v>2</v>
      </c>
      <c r="J14" s="66">
        <f t="shared" ref="J14:J77" si="4">YEAR(B14)</f>
        <v>2024</v>
      </c>
      <c r="K14" s="70">
        <f t="shared" si="2"/>
        <v>45323</v>
      </c>
      <c r="L14" s="49">
        <f>MATCH(M14,[8]Delta!$C$419:$C$539,FALSE)+ROW([8]Delta!$C$418)+2</f>
        <v>537</v>
      </c>
      <c r="M14" s="79" t="str">
        <f>CHOOSE([8]NPC!$EQ$107,[8]NPC!$EI$107,[8]NPC!$EK$107,[8]NPC!$EM$107,[8]NPC!$EO$107)</f>
        <v>QF - 435 - UT - Gas</v>
      </c>
    </row>
    <row r="15" spans="1:19">
      <c r="B15" s="70">
        <f t="shared" si="3"/>
        <v>45352</v>
      </c>
      <c r="C15" s="49">
        <f>IF(F15="","",-INDEX([8]Delta!$F$1:$EE$997,$L$13,$I15))</f>
        <v>561297.91863882542</v>
      </c>
      <c r="D15" s="64">
        <f>IF(ISNUMBER($F15),VLOOKUP($J15,'Table 1'!$B$13:$C$33,2,FALSE)/12*1000*Study_MW,"")</f>
        <v>0</v>
      </c>
      <c r="E15" s="64">
        <f t="shared" si="0"/>
        <v>561297.91863882542</v>
      </c>
      <c r="F15" s="49">
        <f>IF(INDEX([8]Delta!$F$1:$EE$997,$L$14,$I15)=0,"",INDEX([8]Delta!$F$1:$EE$997,$L$14,$I15))</f>
        <v>15810</v>
      </c>
      <c r="G15" s="68">
        <f t="shared" si="1"/>
        <v>35.502714651412106</v>
      </c>
      <c r="I15" s="69">
        <f t="shared" ref="I15:I24" si="5">I14+1</f>
        <v>3</v>
      </c>
      <c r="J15" s="66">
        <f t="shared" si="4"/>
        <v>2024</v>
      </c>
      <c r="K15" s="70">
        <f t="shared" si="2"/>
        <v>45352</v>
      </c>
    </row>
    <row r="16" spans="1:19">
      <c r="B16" s="70">
        <f t="shared" si="3"/>
        <v>45383</v>
      </c>
      <c r="C16" s="49">
        <f>IF(F16="","",-INDEX([8]Delta!$F$1:$EE$997,$L$13,$I16))</f>
        <v>381107.92716260254</v>
      </c>
      <c r="D16" s="64">
        <f>IF(ISNUMBER($F16),VLOOKUP($J16,'Table 1'!$B$13:$C$33,2,FALSE)/12*1000*Study_MW,"")</f>
        <v>0</v>
      </c>
      <c r="E16" s="64">
        <f t="shared" si="0"/>
        <v>381107.92716260254</v>
      </c>
      <c r="F16" s="49">
        <f>IF(INDEX([8]Delta!$F$1:$EE$997,$L$14,$I16)=0,"",INDEX([8]Delta!$F$1:$EE$997,$L$14,$I16))</f>
        <v>15300</v>
      </c>
      <c r="G16" s="68">
        <f t="shared" si="1"/>
        <v>24.909014847228924</v>
      </c>
      <c r="I16" s="69">
        <f t="shared" si="5"/>
        <v>4</v>
      </c>
      <c r="J16" s="66">
        <f t="shared" si="4"/>
        <v>2024</v>
      </c>
      <c r="K16" s="70">
        <f t="shared" si="2"/>
        <v>45383</v>
      </c>
      <c r="L16" s="66">
        <f>YEAR(B13)</f>
        <v>2024</v>
      </c>
      <c r="M16" s="49">
        <f>SUMIF($J$13:$J$264,L16,$C$13:$C$264)</f>
        <v>8621448.5050122887</v>
      </c>
      <c r="N16" s="49">
        <f>SUMIF($J$13:$J$264,L16,$D$13:$D$264)</f>
        <v>0</v>
      </c>
      <c r="O16" s="49">
        <f t="shared" ref="O16:O25" si="6">SUMIF($J$13:$J$264,L16,$F$13:$F$264)</f>
        <v>186660</v>
      </c>
      <c r="P16" s="98">
        <f t="shared" ref="P16:P25" si="7">(M16+N16)/O16</f>
        <v>46.187980847596101</v>
      </c>
      <c r="Q16" s="137">
        <f>M16/O16</f>
        <v>46.187980847596101</v>
      </c>
      <c r="R16" s="137">
        <f>IFERROR(N16/O16,0)</f>
        <v>0</v>
      </c>
    </row>
    <row r="17" spans="2:20">
      <c r="B17" s="70">
        <f t="shared" si="3"/>
        <v>45413</v>
      </c>
      <c r="C17" s="49">
        <f>IF(F17="","",-INDEX([8]Delta!$F$1:$EE$997,$L$13,$I17))</f>
        <v>378443.32254587114</v>
      </c>
      <c r="D17" s="64">
        <f>IF(ISNUMBER($F17),VLOOKUP($J17,'Table 1'!$B$13:$C$33,2,FALSE)/12*1000*Study_MW,"")</f>
        <v>0</v>
      </c>
      <c r="E17" s="64">
        <f t="shared" si="0"/>
        <v>378443.32254587114</v>
      </c>
      <c r="F17" s="49">
        <f>IF(INDEX([8]Delta!$F$1:$EE$997,$L$14,$I17)=0,"",INDEX([8]Delta!$F$1:$EE$997,$L$14,$I17))</f>
        <v>15810</v>
      </c>
      <c r="G17" s="68">
        <f t="shared" si="1"/>
        <v>23.936959047809687</v>
      </c>
      <c r="I17" s="69">
        <f t="shared" si="5"/>
        <v>5</v>
      </c>
      <c r="J17" s="66">
        <f t="shared" si="4"/>
        <v>2024</v>
      </c>
      <c r="K17" s="70">
        <f t="shared" si="2"/>
        <v>45413</v>
      </c>
      <c r="L17" s="66">
        <f>L16+1</f>
        <v>2025</v>
      </c>
      <c r="M17" s="49">
        <f>SUMIF($J$13:$J$264,L17,$C$13:$C$264)</f>
        <v>0</v>
      </c>
      <c r="N17" s="49">
        <f t="shared" ref="N17:N36" si="8">SUMIF($J$13:$J$264,L17,$D$13:$D$264)</f>
        <v>0</v>
      </c>
      <c r="O17" s="49">
        <f t="shared" si="6"/>
        <v>0</v>
      </c>
      <c r="P17" s="98" t="e">
        <f t="shared" si="7"/>
        <v>#DIV/0!</v>
      </c>
      <c r="Q17" s="137" t="e">
        <f t="shared" ref="Q17:Q33" si="9">M17/O17</f>
        <v>#DIV/0!</v>
      </c>
      <c r="R17" s="137">
        <f t="shared" ref="R17:R33" si="10">IFERROR(N17/O17,0)</f>
        <v>0</v>
      </c>
    </row>
    <row r="18" spans="2:20">
      <c r="B18" s="70">
        <f t="shared" si="3"/>
        <v>45444</v>
      </c>
      <c r="C18" s="49">
        <f>IF(F18="","",-INDEX([8]Delta!$F$1:$EE$997,$L$13,$I18))</f>
        <v>510936.68895256519</v>
      </c>
      <c r="D18" s="64">
        <f>IF(ISNUMBER($F18),VLOOKUP($J18,'Table 1'!$B$13:$C$33,2,FALSE)/12*1000*Study_MW,"")</f>
        <v>0</v>
      </c>
      <c r="E18" s="64">
        <f t="shared" ref="E18:E19" si="11">IF(ISNUMBER(C18+D18),C18+D18,"")</f>
        <v>510936.68895256519</v>
      </c>
      <c r="F18" s="49">
        <f>IF(INDEX([8]Delta!$F$1:$EE$997,$L$14,$I18)=0,"",INDEX([8]Delta!$F$1:$EE$997,$L$14,$I18))</f>
        <v>15300</v>
      </c>
      <c r="G18" s="68">
        <f t="shared" ref="G18:G19" si="12">IF(ISNUMBER($F18),E18/$F18,"")</f>
        <v>33.39455483350099</v>
      </c>
      <c r="I18" s="69">
        <f t="shared" si="5"/>
        <v>6</v>
      </c>
      <c r="J18" s="66">
        <f t="shared" si="4"/>
        <v>2024</v>
      </c>
      <c r="K18" s="70">
        <f t="shared" si="2"/>
        <v>45444</v>
      </c>
      <c r="L18" s="66">
        <f t="shared" ref="L18:L42" si="13">L17+1</f>
        <v>2026</v>
      </c>
      <c r="M18" s="49">
        <f t="shared" ref="M18:M36" si="14">SUMIF($J$13:$J$264,L18,$C$13:$C$264)</f>
        <v>0</v>
      </c>
      <c r="N18" s="49">
        <f t="shared" si="8"/>
        <v>0</v>
      </c>
      <c r="O18" s="49">
        <f t="shared" si="6"/>
        <v>0</v>
      </c>
      <c r="P18" s="98" t="e">
        <f t="shared" si="7"/>
        <v>#DIV/0!</v>
      </c>
      <c r="Q18" s="137" t="e">
        <f t="shared" si="9"/>
        <v>#DIV/0!</v>
      </c>
      <c r="R18" s="137">
        <f t="shared" si="10"/>
        <v>0</v>
      </c>
    </row>
    <row r="19" spans="2:20">
      <c r="B19" s="70">
        <f t="shared" si="3"/>
        <v>45474</v>
      </c>
      <c r="C19" s="49">
        <f>IF(F19="","",-INDEX([8]Delta!$F$1:$EE$997,$L$13,$I19))</f>
        <v>1283207.619163841</v>
      </c>
      <c r="D19" s="64">
        <f>IF(ISNUMBER($F19),VLOOKUP($J19,'Table 1'!$B$13:$C$33,2,FALSE)/12*1000*Study_MW,"")</f>
        <v>0</v>
      </c>
      <c r="E19" s="64">
        <f t="shared" si="11"/>
        <v>1283207.619163841</v>
      </c>
      <c r="F19" s="49">
        <f>IF(INDEX([8]Delta!$F$1:$EE$997,$L$14,$I19)=0,"",INDEX([8]Delta!$F$1:$EE$997,$L$14,$I19))</f>
        <v>15810</v>
      </c>
      <c r="G19" s="68">
        <f t="shared" si="12"/>
        <v>81.164302287402975</v>
      </c>
      <c r="I19" s="69">
        <f t="shared" si="5"/>
        <v>7</v>
      </c>
      <c r="J19" s="66">
        <f t="shared" si="4"/>
        <v>2024</v>
      </c>
      <c r="K19" s="70">
        <f t="shared" si="2"/>
        <v>45474</v>
      </c>
      <c r="L19" s="66">
        <f t="shared" si="13"/>
        <v>2027</v>
      </c>
      <c r="M19" s="49">
        <f t="shared" si="14"/>
        <v>0</v>
      </c>
      <c r="N19" s="49">
        <f t="shared" si="8"/>
        <v>0</v>
      </c>
      <c r="O19" s="49">
        <f t="shared" si="6"/>
        <v>0</v>
      </c>
      <c r="P19" s="98" t="e">
        <f t="shared" si="7"/>
        <v>#DIV/0!</v>
      </c>
      <c r="Q19" s="137" t="e">
        <f t="shared" si="9"/>
        <v>#DIV/0!</v>
      </c>
      <c r="R19" s="137">
        <f t="shared" si="10"/>
        <v>0</v>
      </c>
    </row>
    <row r="20" spans="2:20">
      <c r="B20" s="70">
        <f t="shared" si="3"/>
        <v>45505</v>
      </c>
      <c r="C20" s="49">
        <f>IF(F20="","",-INDEX([8]Delta!$F$1:$EE$997,$L$13,$I20))</f>
        <v>1128917.3002779782</v>
      </c>
      <c r="D20" s="64">
        <f>IF(ISNUMBER($F20),VLOOKUP($J20,'Table 1'!$B$13:$C$33,2,FALSE)/12*1000*Study_MW,"")</f>
        <v>0</v>
      </c>
      <c r="E20" s="64">
        <f t="shared" ref="E20:E22" si="15">IF(ISNUMBER(C20+D20),C20+D20,"")</f>
        <v>1128917.3002779782</v>
      </c>
      <c r="F20" s="49">
        <f>IF(INDEX([8]Delta!$F$1:$EE$997,$L$14,$I20)=0,"",INDEX([8]Delta!$F$1:$EE$997,$L$14,$I20))</f>
        <v>15810</v>
      </c>
      <c r="G20" s="68">
        <f t="shared" ref="G20:G77" si="16">IF(ISNUMBER($F20),E20/$F20,"")</f>
        <v>71.405268834786725</v>
      </c>
      <c r="I20" s="69">
        <f t="shared" si="5"/>
        <v>8</v>
      </c>
      <c r="J20" s="66">
        <f t="shared" si="4"/>
        <v>2024</v>
      </c>
      <c r="K20" s="70">
        <f t="shared" si="2"/>
        <v>45505</v>
      </c>
      <c r="L20" s="66">
        <f t="shared" si="13"/>
        <v>2028</v>
      </c>
      <c r="M20" s="49">
        <f t="shared" si="14"/>
        <v>0</v>
      </c>
      <c r="N20" s="49">
        <f t="shared" si="8"/>
        <v>0</v>
      </c>
      <c r="O20" s="49">
        <f t="shared" si="6"/>
        <v>0</v>
      </c>
      <c r="P20" s="98" t="e">
        <f t="shared" si="7"/>
        <v>#DIV/0!</v>
      </c>
      <c r="Q20" s="137" t="e">
        <f t="shared" si="9"/>
        <v>#DIV/0!</v>
      </c>
      <c r="R20" s="137">
        <f t="shared" si="10"/>
        <v>0</v>
      </c>
    </row>
    <row r="21" spans="2:20">
      <c r="B21" s="70">
        <f t="shared" si="3"/>
        <v>45536</v>
      </c>
      <c r="C21" s="49">
        <f>IF(F21="","",-INDEX([8]Delta!$F$1:$EE$997,$L$13,$I21))</f>
        <v>701405.99090017378</v>
      </c>
      <c r="D21" s="64">
        <f>IF(ISNUMBER($F21),VLOOKUP($J21,'Table 1'!$B$13:$C$33,2,FALSE)/12*1000*Study_MW,"")</f>
        <v>0</v>
      </c>
      <c r="E21" s="64">
        <f t="shared" si="15"/>
        <v>701405.99090017378</v>
      </c>
      <c r="F21" s="49">
        <f>IF(INDEX([8]Delta!$F$1:$EE$997,$L$14,$I21)=0,"",INDEX([8]Delta!$F$1:$EE$997,$L$14,$I21))</f>
        <v>15300</v>
      </c>
      <c r="G21" s="68">
        <f t="shared" si="16"/>
        <v>45.843528817004824</v>
      </c>
      <c r="I21" s="69">
        <f t="shared" si="5"/>
        <v>9</v>
      </c>
      <c r="J21" s="66">
        <f t="shared" si="4"/>
        <v>2024</v>
      </c>
      <c r="K21" s="70">
        <f t="shared" si="2"/>
        <v>45536</v>
      </c>
      <c r="L21" s="66">
        <f t="shared" si="13"/>
        <v>2029</v>
      </c>
      <c r="M21" s="49">
        <f t="shared" si="14"/>
        <v>0</v>
      </c>
      <c r="N21" s="49">
        <f t="shared" si="8"/>
        <v>0</v>
      </c>
      <c r="O21" s="49">
        <f t="shared" si="6"/>
        <v>0</v>
      </c>
      <c r="P21" s="98" t="e">
        <f t="shared" si="7"/>
        <v>#DIV/0!</v>
      </c>
      <c r="Q21" s="137" t="e">
        <f t="shared" si="9"/>
        <v>#DIV/0!</v>
      </c>
      <c r="R21" s="137">
        <f t="shared" si="10"/>
        <v>0</v>
      </c>
    </row>
    <row r="22" spans="2:20">
      <c r="B22" s="70">
        <f t="shared" si="3"/>
        <v>45566</v>
      </c>
      <c r="C22" s="49">
        <f>IF(F22="","",-INDEX([8]Delta!$F$1:$EE$997,$L$13,$I22))</f>
        <v>595642.34054815769</v>
      </c>
      <c r="D22" s="64">
        <f>IF(ISNUMBER($F22),VLOOKUP($J22,'Table 1'!$B$13:$C$33,2,FALSE)/12*1000*Study_MW,"")</f>
        <v>0</v>
      </c>
      <c r="E22" s="64">
        <f t="shared" si="15"/>
        <v>595642.34054815769</v>
      </c>
      <c r="F22" s="49">
        <f>IF(INDEX([8]Delta!$F$1:$EE$997,$L$14,$I22)=0,"",INDEX([8]Delta!$F$1:$EE$997,$L$14,$I22))</f>
        <v>15810</v>
      </c>
      <c r="G22" s="68">
        <f t="shared" si="16"/>
        <v>37.675037352824646</v>
      </c>
      <c r="I22" s="69">
        <f t="shared" si="5"/>
        <v>10</v>
      </c>
      <c r="J22" s="66">
        <f t="shared" si="4"/>
        <v>2024</v>
      </c>
      <c r="K22" s="70">
        <f t="shared" si="2"/>
        <v>45566</v>
      </c>
      <c r="L22" s="66">
        <f t="shared" si="13"/>
        <v>2030</v>
      </c>
      <c r="M22" s="49">
        <f t="shared" si="14"/>
        <v>0</v>
      </c>
      <c r="N22" s="49">
        <f t="shared" si="8"/>
        <v>0</v>
      </c>
      <c r="O22" s="49">
        <f t="shared" si="6"/>
        <v>0</v>
      </c>
      <c r="P22" s="98" t="e">
        <f t="shared" si="7"/>
        <v>#DIV/0!</v>
      </c>
      <c r="Q22" s="137" t="e">
        <f t="shared" si="9"/>
        <v>#DIV/0!</v>
      </c>
      <c r="R22" s="137">
        <f t="shared" si="10"/>
        <v>0</v>
      </c>
    </row>
    <row r="23" spans="2:20">
      <c r="B23" s="70">
        <f t="shared" si="3"/>
        <v>45597</v>
      </c>
      <c r="C23" s="49">
        <f>IF(F23="","",-INDEX([8]Delta!$F$1:$EE$997,$L$13,$I23))</f>
        <v>590767.20391300321</v>
      </c>
      <c r="D23" s="64">
        <f>IF(ISNUMBER($F23),VLOOKUP($J23,'Table 1'!$B$13:$C$33,2,FALSE)/12*1000*Study_MW,"")</f>
        <v>0</v>
      </c>
      <c r="E23" s="64">
        <f t="shared" ref="E23" si="17">IF(ISNUMBER(C23+D23),C23+D23,"")</f>
        <v>590767.20391300321</v>
      </c>
      <c r="F23" s="49">
        <f>IF(INDEX([8]Delta!$F$1:$EE$997,$L$14,$I23)=0,"",INDEX([8]Delta!$F$1:$EE$997,$L$14,$I23))</f>
        <v>15300</v>
      </c>
      <c r="G23" s="68">
        <f t="shared" ref="G23" si="18">IF(ISNUMBER($F23),E23/$F23,"")</f>
        <v>38.612235549869489</v>
      </c>
      <c r="I23" s="69">
        <f t="shared" si="5"/>
        <v>11</v>
      </c>
      <c r="J23" s="66">
        <f t="shared" si="4"/>
        <v>2024</v>
      </c>
      <c r="K23" s="70">
        <f t="shared" si="2"/>
        <v>45597</v>
      </c>
      <c r="L23" s="66">
        <f t="shared" si="13"/>
        <v>2031</v>
      </c>
      <c r="M23" s="49">
        <f t="shared" si="14"/>
        <v>0</v>
      </c>
      <c r="N23" s="49">
        <f t="shared" si="8"/>
        <v>0</v>
      </c>
      <c r="O23" s="49">
        <f t="shared" si="6"/>
        <v>0</v>
      </c>
      <c r="P23" s="98" t="e">
        <f t="shared" si="7"/>
        <v>#DIV/0!</v>
      </c>
      <c r="Q23" s="137" t="e">
        <f t="shared" si="9"/>
        <v>#DIV/0!</v>
      </c>
      <c r="R23" s="137">
        <f t="shared" si="10"/>
        <v>0</v>
      </c>
      <c r="T23" s="37"/>
    </row>
    <row r="24" spans="2:20">
      <c r="B24" s="74">
        <f t="shared" si="3"/>
        <v>45627</v>
      </c>
      <c r="C24" s="71">
        <f>IF(F24="","",-INDEX([8]Delta!$F$1:$EE$997,$L$13,$I24))</f>
        <v>964342.59452205896</v>
      </c>
      <c r="D24" s="72">
        <f>IF(F24&lt;&gt;0,VLOOKUP($J24,'Table 1'!$B$13:$C$33,2,FALSE)/12*1000*Study_MW,0)</f>
        <v>0</v>
      </c>
      <c r="E24" s="72">
        <f t="shared" ref="E24" si="19">IF(ISNUMBER(C24+D24),C24+D24,"")</f>
        <v>964342.59452205896</v>
      </c>
      <c r="F24" s="71">
        <f>IF(INDEX([8]Delta!$F$1:$EE$997,$L$14,$I24)=0,"",INDEX([8]Delta!$F$1:$EE$997,$L$14,$I24))</f>
        <v>15810</v>
      </c>
      <c r="G24" s="73">
        <f t="shared" ref="G24" si="20">IF(ISNUMBER($F24),E24/$F24,"")</f>
        <v>60.995736528909482</v>
      </c>
      <c r="I24" s="57">
        <f t="shared" si="5"/>
        <v>12</v>
      </c>
      <c r="J24" s="66">
        <f t="shared" si="4"/>
        <v>2024</v>
      </c>
      <c r="K24" s="74">
        <f t="shared" si="2"/>
        <v>45627</v>
      </c>
      <c r="L24" s="66">
        <f t="shared" si="13"/>
        <v>2032</v>
      </c>
      <c r="M24" s="49">
        <f t="shared" si="14"/>
        <v>0</v>
      </c>
      <c r="N24" s="49">
        <f t="shared" si="8"/>
        <v>0</v>
      </c>
      <c r="O24" s="49">
        <f t="shared" si="6"/>
        <v>0</v>
      </c>
      <c r="P24" s="98" t="e">
        <f t="shared" si="7"/>
        <v>#DIV/0!</v>
      </c>
      <c r="Q24" s="137" t="e">
        <f t="shared" si="9"/>
        <v>#DIV/0!</v>
      </c>
      <c r="R24" s="137">
        <f t="shared" si="10"/>
        <v>0</v>
      </c>
    </row>
    <row r="25" spans="2:20" outlineLevel="1">
      <c r="B25" s="67">
        <f t="shared" si="3"/>
        <v>45658</v>
      </c>
      <c r="C25" s="62">
        <f>IF(F25&lt;&gt;0,-INDEX([8]Delta!$F$1:$EE$997,$L$13,$I25),0)</f>
        <v>0</v>
      </c>
      <c r="D25" s="63">
        <f>IF(F25&lt;&gt;0,VLOOKUP($J25,'Table 1'!$B$13:$C$33,2,FALSE)/12*1000*Study_MW,0)</f>
        <v>0</v>
      </c>
      <c r="E25" s="63">
        <f t="shared" ref="E25:E77" si="21">C25+D25</f>
        <v>0</v>
      </c>
      <c r="F25" s="62">
        <f>INDEX([8]Delta!$F$1:$EE$997,$L$14,$I25)</f>
        <v>0</v>
      </c>
      <c r="G25" s="65" t="e">
        <f t="shared" si="16"/>
        <v>#DIV/0!</v>
      </c>
      <c r="I25" s="53">
        <f>I13+13</f>
        <v>14</v>
      </c>
      <c r="J25" s="66">
        <f t="shared" si="4"/>
        <v>2025</v>
      </c>
      <c r="K25" s="67" t="str">
        <f>IF(ISNUMBER(F25),IF(F25&lt;&gt;0,B25,""),"")</f>
        <v/>
      </c>
      <c r="L25" s="66">
        <f t="shared" si="13"/>
        <v>2033</v>
      </c>
      <c r="M25" s="49">
        <f t="shared" si="14"/>
        <v>0</v>
      </c>
      <c r="N25" s="49">
        <f t="shared" si="8"/>
        <v>0</v>
      </c>
      <c r="O25" s="49">
        <f t="shared" si="6"/>
        <v>0</v>
      </c>
      <c r="P25" s="98" t="e">
        <f t="shared" si="7"/>
        <v>#DIV/0!</v>
      </c>
      <c r="Q25" s="137" t="e">
        <f t="shared" si="9"/>
        <v>#DIV/0!</v>
      </c>
      <c r="R25" s="137">
        <f t="shared" si="10"/>
        <v>0</v>
      </c>
    </row>
    <row r="26" spans="2:20" outlineLevel="1">
      <c r="B26" s="70">
        <f t="shared" si="3"/>
        <v>45689</v>
      </c>
      <c r="C26" s="49">
        <f>IF(F26&lt;&gt;0,-INDEX([8]Delta!$F$1:$EE$997,$L$13,$I26),0)</f>
        <v>0</v>
      </c>
      <c r="D26" s="64">
        <f>IF(F26&lt;&gt;0,VLOOKUP($J26,'Table 1'!$B$13:$C$33,2,FALSE)/12*1000*Study_MW,0)</f>
        <v>0</v>
      </c>
      <c r="E26" s="64">
        <f t="shared" si="21"/>
        <v>0</v>
      </c>
      <c r="F26" s="49">
        <f>INDEX([8]Delta!$F$1:$EE$997,$L$14,$I26)</f>
        <v>0</v>
      </c>
      <c r="G26" s="68" t="e">
        <f t="shared" si="16"/>
        <v>#DIV/0!</v>
      </c>
      <c r="I26" s="69">
        <f t="shared" ref="I26:I89" si="22">I14+13</f>
        <v>15</v>
      </c>
      <c r="J26" s="66">
        <f t="shared" si="4"/>
        <v>2025</v>
      </c>
      <c r="K26" s="70" t="str">
        <f t="shared" ref="K26:K89" si="23">IF(ISNUMBER(F26),IF(F26&lt;&gt;0,B26,""),"")</f>
        <v/>
      </c>
      <c r="L26" s="66">
        <f t="shared" si="13"/>
        <v>2034</v>
      </c>
      <c r="M26" s="49">
        <f t="shared" si="14"/>
        <v>-4426609.5870898515</v>
      </c>
      <c r="N26" s="49" t="e">
        <f t="shared" si="8"/>
        <v>#N/A</v>
      </c>
      <c r="O26" s="49">
        <f>SUMIF($J$13:$J$264,L26,$F$13:$F$264)</f>
        <v>128566.977998111</v>
      </c>
      <c r="P26" s="98" t="e">
        <f>(M26+N26)/O26</f>
        <v>#N/A</v>
      </c>
      <c r="Q26" s="137">
        <f t="shared" si="9"/>
        <v>-34.430377504516677</v>
      </c>
      <c r="R26" s="137">
        <f t="shared" si="10"/>
        <v>0</v>
      </c>
    </row>
    <row r="27" spans="2:20" outlineLevel="1">
      <c r="B27" s="70">
        <f t="shared" si="3"/>
        <v>45717</v>
      </c>
      <c r="C27" s="49">
        <f>IF(F27&lt;&gt;0,-INDEX([8]Delta!$F$1:$EE$997,$L$13,$I27),0)</f>
        <v>0</v>
      </c>
      <c r="D27" s="64">
        <f>IF(F27&lt;&gt;0,VLOOKUP($J27,'Table 1'!$B$13:$C$33,2,FALSE)/12*1000*Study_MW,0)</f>
        <v>0</v>
      </c>
      <c r="E27" s="64">
        <f t="shared" si="21"/>
        <v>0</v>
      </c>
      <c r="F27" s="49">
        <f>INDEX([8]Delta!$F$1:$EE$997,$L$14,$I27)</f>
        <v>0</v>
      </c>
      <c r="G27" s="68" t="e">
        <f t="shared" si="16"/>
        <v>#DIV/0!</v>
      </c>
      <c r="I27" s="69">
        <f t="shared" si="22"/>
        <v>16</v>
      </c>
      <c r="J27" s="66">
        <f t="shared" si="4"/>
        <v>2025</v>
      </c>
      <c r="K27" s="70" t="str">
        <f t="shared" si="23"/>
        <v/>
      </c>
      <c r="L27" s="66">
        <f t="shared" si="13"/>
        <v>2035</v>
      </c>
      <c r="M27" s="49">
        <f t="shared" si="14"/>
        <v>744051.1839762032</v>
      </c>
      <c r="N27" s="49" t="e">
        <f t="shared" si="8"/>
        <v>#N/A</v>
      </c>
      <c r="O27" s="49">
        <f t="shared" ref="O27:O31" si="24">SUMIF($J$13:$J$264,L27,$F$13:$F$264)</f>
        <v>127924.14204051599</v>
      </c>
      <c r="P27" s="98" t="e">
        <f t="shared" ref="P27:P31" si="25">(M27+N27)/O27</f>
        <v>#N/A</v>
      </c>
      <c r="Q27" s="137">
        <f t="shared" si="9"/>
        <v>5.8163468764210915</v>
      </c>
      <c r="R27" s="137">
        <f t="shared" si="10"/>
        <v>0</v>
      </c>
    </row>
    <row r="28" spans="2:20" outlineLevel="1">
      <c r="B28" s="70">
        <f t="shared" si="3"/>
        <v>45748</v>
      </c>
      <c r="C28" s="49">
        <f>IF(F28&lt;&gt;0,-INDEX([8]Delta!$F$1:$EE$997,$L$13,$I28),0)</f>
        <v>0</v>
      </c>
      <c r="D28" s="64">
        <f>IF(F28&lt;&gt;0,VLOOKUP($J28,'Table 1'!$B$13:$C$33,2,FALSE)/12*1000*Study_MW,0)</f>
        <v>0</v>
      </c>
      <c r="E28" s="64">
        <f t="shared" si="21"/>
        <v>0</v>
      </c>
      <c r="F28" s="49">
        <f>INDEX([8]Delta!$F$1:$EE$997,$L$14,$I28)</f>
        <v>0</v>
      </c>
      <c r="G28" s="68" t="e">
        <f t="shared" si="16"/>
        <v>#DIV/0!</v>
      </c>
      <c r="I28" s="69">
        <f t="shared" si="22"/>
        <v>17</v>
      </c>
      <c r="J28" s="66">
        <f t="shared" si="4"/>
        <v>2025</v>
      </c>
      <c r="K28" s="70" t="str">
        <f t="shared" si="23"/>
        <v/>
      </c>
      <c r="L28" s="66">
        <f t="shared" si="13"/>
        <v>2036</v>
      </c>
      <c r="M28" s="49">
        <f t="shared" si="14"/>
        <v>896293.15515823662</v>
      </c>
      <c r="N28" s="49" t="e">
        <f t="shared" si="8"/>
        <v>#N/A</v>
      </c>
      <c r="O28" s="49">
        <f t="shared" si="24"/>
        <v>127609.598902443</v>
      </c>
      <c r="P28" s="98" t="e">
        <f t="shared" si="25"/>
        <v>#N/A</v>
      </c>
      <c r="Q28" s="137">
        <f t="shared" si="9"/>
        <v>7.02371265850815</v>
      </c>
      <c r="R28" s="137">
        <f t="shared" si="10"/>
        <v>0</v>
      </c>
    </row>
    <row r="29" spans="2:20" outlineLevel="1">
      <c r="B29" s="70">
        <f t="shared" si="3"/>
        <v>45778</v>
      </c>
      <c r="C29" s="49">
        <f>IF(F29&lt;&gt;0,-INDEX([8]Delta!$F$1:$EE$997,$L$13,$I29),0)</f>
        <v>0</v>
      </c>
      <c r="D29" s="64">
        <f>IF(F29&lt;&gt;0,VLOOKUP($J29,'Table 1'!$B$13:$C$33,2,FALSE)/12*1000*Study_MW,0)</f>
        <v>0</v>
      </c>
      <c r="E29" s="64">
        <f t="shared" si="21"/>
        <v>0</v>
      </c>
      <c r="F29" s="49">
        <f>INDEX([8]Delta!$F$1:$EE$997,$L$14,$I29)</f>
        <v>0</v>
      </c>
      <c r="G29" s="68" t="e">
        <f t="shared" si="16"/>
        <v>#DIV/0!</v>
      </c>
      <c r="I29" s="69">
        <f t="shared" si="22"/>
        <v>18</v>
      </c>
      <c r="J29" s="66">
        <f t="shared" si="4"/>
        <v>2025</v>
      </c>
      <c r="K29" s="70" t="str">
        <f t="shared" si="23"/>
        <v/>
      </c>
      <c r="L29" s="66">
        <f t="shared" si="13"/>
        <v>2037</v>
      </c>
      <c r="M29" s="49">
        <f t="shared" si="14"/>
        <v>918043.40201419592</v>
      </c>
      <c r="N29" s="49" t="e">
        <f t="shared" si="8"/>
        <v>#N/A</v>
      </c>
      <c r="O29" s="49">
        <f t="shared" si="24"/>
        <v>126648.09856866401</v>
      </c>
      <c r="P29" s="98" t="e">
        <f t="shared" si="25"/>
        <v>#N/A</v>
      </c>
      <c r="Q29" s="137">
        <f t="shared" si="9"/>
        <v>7.2487736680583961</v>
      </c>
      <c r="R29" s="137">
        <f t="shared" si="10"/>
        <v>0</v>
      </c>
    </row>
    <row r="30" spans="2:20" outlineLevel="1">
      <c r="B30" s="70">
        <f t="shared" si="3"/>
        <v>45809</v>
      </c>
      <c r="C30" s="49">
        <f>IF(F30&lt;&gt;0,-INDEX([8]Delta!$F$1:$EE$997,$L$13,$I30),0)</f>
        <v>0</v>
      </c>
      <c r="D30" s="64">
        <f>IF(F30&lt;&gt;0,VLOOKUP($J30,'Table 1'!$B$13:$C$33,2,FALSE)/12*1000*Study_MW,0)</f>
        <v>0</v>
      </c>
      <c r="E30" s="64">
        <f t="shared" si="21"/>
        <v>0</v>
      </c>
      <c r="F30" s="49">
        <f>INDEX([8]Delta!$F$1:$EE$997,$L$14,$I30)</f>
        <v>0</v>
      </c>
      <c r="G30" s="68" t="e">
        <f t="shared" si="16"/>
        <v>#DIV/0!</v>
      </c>
      <c r="I30" s="69">
        <f t="shared" si="22"/>
        <v>19</v>
      </c>
      <c r="J30" s="66">
        <f t="shared" si="4"/>
        <v>2025</v>
      </c>
      <c r="K30" s="70" t="str">
        <f t="shared" si="23"/>
        <v/>
      </c>
      <c r="L30" s="66">
        <f t="shared" si="13"/>
        <v>2038</v>
      </c>
      <c r="M30" s="49">
        <f t="shared" si="14"/>
        <v>1094572.2311587557</v>
      </c>
      <c r="N30" s="49" t="e">
        <f t="shared" si="8"/>
        <v>#N/A</v>
      </c>
      <c r="O30" s="49">
        <f t="shared" si="24"/>
        <v>126014.85822460301</v>
      </c>
      <c r="P30" s="98" t="e">
        <f t="shared" si="25"/>
        <v>#N/A</v>
      </c>
      <c r="Q30" s="137">
        <f t="shared" si="9"/>
        <v>8.6860569188423895</v>
      </c>
      <c r="R30" s="137">
        <f t="shared" si="10"/>
        <v>0</v>
      </c>
    </row>
    <row r="31" spans="2:20" outlineLevel="1">
      <c r="B31" s="70">
        <f t="shared" si="3"/>
        <v>45839</v>
      </c>
      <c r="C31" s="49">
        <f>IF(F31&lt;&gt;0,-INDEX([8]Delta!$F$1:$EE$997,$L$13,$I31),0)</f>
        <v>0</v>
      </c>
      <c r="D31" s="64">
        <f>IF(F31&lt;&gt;0,VLOOKUP($J31,'Table 1'!$B$13:$C$33,2,FALSE)/12*1000*Study_MW,0)</f>
        <v>0</v>
      </c>
      <c r="E31" s="64">
        <f t="shared" si="21"/>
        <v>0</v>
      </c>
      <c r="F31" s="49">
        <f>INDEX([8]Delta!$F$1:$EE$997,$L$14,$I31)</f>
        <v>0</v>
      </c>
      <c r="G31" s="68" t="e">
        <f t="shared" si="16"/>
        <v>#DIV/0!</v>
      </c>
      <c r="I31" s="69">
        <f t="shared" si="22"/>
        <v>20</v>
      </c>
      <c r="J31" s="66">
        <f t="shared" si="4"/>
        <v>2025</v>
      </c>
      <c r="K31" s="70" t="str">
        <f t="shared" si="23"/>
        <v/>
      </c>
      <c r="L31" s="66">
        <f t="shared" si="13"/>
        <v>2039</v>
      </c>
      <c r="M31" s="49">
        <f t="shared" si="14"/>
        <v>0</v>
      </c>
      <c r="N31" s="49">
        <f t="shared" si="8"/>
        <v>0</v>
      </c>
      <c r="O31" s="49">
        <f t="shared" si="24"/>
        <v>0</v>
      </c>
      <c r="P31" s="98" t="e">
        <f t="shared" si="25"/>
        <v>#DIV/0!</v>
      </c>
      <c r="Q31" s="137" t="e">
        <f t="shared" si="9"/>
        <v>#DIV/0!</v>
      </c>
      <c r="R31" s="137">
        <f t="shared" si="10"/>
        <v>0</v>
      </c>
    </row>
    <row r="32" spans="2:20" outlineLevel="1">
      <c r="B32" s="70">
        <f t="shared" si="3"/>
        <v>45870</v>
      </c>
      <c r="C32" s="49">
        <f>IF(F32&lt;&gt;0,-INDEX([8]Delta!$F$1:$EE$997,$L$13,$I32),0)</f>
        <v>0</v>
      </c>
      <c r="D32" s="64">
        <f>IF(F32&lt;&gt;0,VLOOKUP($J32,'Table 1'!$B$13:$C$33,2,FALSE)/12*1000*Study_MW,0)</f>
        <v>0</v>
      </c>
      <c r="E32" s="64">
        <f t="shared" si="21"/>
        <v>0</v>
      </c>
      <c r="F32" s="49">
        <f>INDEX([8]Delta!$F$1:$EE$997,$L$14,$I32)</f>
        <v>0</v>
      </c>
      <c r="G32" s="68" t="e">
        <f t="shared" si="16"/>
        <v>#DIV/0!</v>
      </c>
      <c r="I32" s="69">
        <f t="shared" si="22"/>
        <v>21</v>
      </c>
      <c r="J32" s="66">
        <f t="shared" si="4"/>
        <v>2025</v>
      </c>
      <c r="K32" s="70" t="str">
        <f t="shared" si="23"/>
        <v/>
      </c>
      <c r="L32" s="66">
        <f t="shared" si="13"/>
        <v>2040</v>
      </c>
      <c r="M32" s="49">
        <f t="shared" si="14"/>
        <v>0</v>
      </c>
      <c r="N32" s="49">
        <f t="shared" si="8"/>
        <v>0</v>
      </c>
      <c r="O32" s="49">
        <f t="shared" ref="O32:O35" si="26">SUMIF($J$13:$J$264,L32,$F$13:$F$264)</f>
        <v>0</v>
      </c>
      <c r="P32" s="98" t="e">
        <f t="shared" ref="P32:P34" si="27">(M32+N32)/O32</f>
        <v>#DIV/0!</v>
      </c>
      <c r="Q32" s="137" t="e">
        <f t="shared" si="9"/>
        <v>#DIV/0!</v>
      </c>
      <c r="R32" s="137">
        <f t="shared" si="10"/>
        <v>0</v>
      </c>
    </row>
    <row r="33" spans="2:20" outlineLevel="1">
      <c r="B33" s="70">
        <f t="shared" si="3"/>
        <v>45901</v>
      </c>
      <c r="C33" s="49">
        <f>IF(F33&lt;&gt;0,-INDEX([8]Delta!$F$1:$EE$997,$L$13,$I33),0)</f>
        <v>0</v>
      </c>
      <c r="D33" s="64">
        <f>IF(F33&lt;&gt;0,VLOOKUP($J33,'Table 1'!$B$13:$C$33,2,FALSE)/12*1000*Study_MW,0)</f>
        <v>0</v>
      </c>
      <c r="E33" s="64">
        <f t="shared" si="21"/>
        <v>0</v>
      </c>
      <c r="F33" s="49">
        <f>INDEX([8]Delta!$F$1:$EE$997,$L$14,$I33)</f>
        <v>0</v>
      </c>
      <c r="G33" s="68" t="e">
        <f t="shared" si="16"/>
        <v>#DIV/0!</v>
      </c>
      <c r="I33" s="69">
        <f t="shared" si="22"/>
        <v>22</v>
      </c>
      <c r="J33" s="66">
        <f t="shared" si="4"/>
        <v>2025</v>
      </c>
      <c r="K33" s="70" t="str">
        <f t="shared" si="23"/>
        <v/>
      </c>
      <c r="L33" s="66">
        <f t="shared" si="13"/>
        <v>2041</v>
      </c>
      <c r="M33" s="49">
        <f t="shared" si="14"/>
        <v>0</v>
      </c>
      <c r="N33" s="49">
        <f t="shared" si="8"/>
        <v>0</v>
      </c>
      <c r="O33" s="49">
        <f t="shared" si="26"/>
        <v>0</v>
      </c>
      <c r="P33" s="98" t="e">
        <f t="shared" si="27"/>
        <v>#DIV/0!</v>
      </c>
      <c r="Q33" s="137" t="e">
        <f t="shared" si="9"/>
        <v>#DIV/0!</v>
      </c>
      <c r="R33" s="137">
        <f t="shared" si="10"/>
        <v>0</v>
      </c>
    </row>
    <row r="34" spans="2:20" outlineLevel="1">
      <c r="B34" s="70">
        <f t="shared" si="3"/>
        <v>45931</v>
      </c>
      <c r="C34" s="49">
        <f>IF(F34&lt;&gt;0,-INDEX([8]Delta!$F$1:$EE$997,$L$13,$I34),0)</f>
        <v>0</v>
      </c>
      <c r="D34" s="64">
        <f>IF(F34&lt;&gt;0,VLOOKUP($J34,'Table 1'!$B$13:$C$33,2,FALSE)/12*1000*Study_MW,0)</f>
        <v>0</v>
      </c>
      <c r="E34" s="64">
        <f t="shared" si="21"/>
        <v>0</v>
      </c>
      <c r="F34" s="49">
        <f>INDEX([8]Delta!$F$1:$EE$997,$L$14,$I34)</f>
        <v>0</v>
      </c>
      <c r="G34" s="68" t="e">
        <f t="shared" si="16"/>
        <v>#DIV/0!</v>
      </c>
      <c r="I34" s="69">
        <f t="shared" si="22"/>
        <v>23</v>
      </c>
      <c r="J34" s="66">
        <f t="shared" si="4"/>
        <v>2025</v>
      </c>
      <c r="K34" s="70" t="str">
        <f t="shared" si="23"/>
        <v/>
      </c>
      <c r="L34" s="66">
        <f t="shared" si="13"/>
        <v>2042</v>
      </c>
      <c r="M34" s="49">
        <f t="shared" si="14"/>
        <v>0</v>
      </c>
      <c r="N34" s="49">
        <f t="shared" si="8"/>
        <v>0</v>
      </c>
      <c r="O34" s="49">
        <f t="shared" si="26"/>
        <v>0</v>
      </c>
      <c r="P34" s="98" t="e">
        <f t="shared" si="27"/>
        <v>#DIV/0!</v>
      </c>
      <c r="Q34" s="137" t="e">
        <f t="shared" ref="Q34" si="28">M34/O34</f>
        <v>#DIV/0!</v>
      </c>
      <c r="R34" s="137">
        <f t="shared" ref="R34" si="29">IFERROR(N34/O34,0)</f>
        <v>0</v>
      </c>
    </row>
    <row r="35" spans="2:20" outlineLevel="1">
      <c r="B35" s="70">
        <f t="shared" si="3"/>
        <v>45962</v>
      </c>
      <c r="C35" s="49">
        <f>IF(F35&lt;&gt;0,-INDEX([8]Delta!$F$1:$EE$997,$L$13,$I35),0)</f>
        <v>0</v>
      </c>
      <c r="D35" s="64">
        <f>IF(F35&lt;&gt;0,VLOOKUP($J35,'Table 1'!$B$13:$C$33,2,FALSE)/12*1000*Study_MW,0)</f>
        <v>0</v>
      </c>
      <c r="E35" s="64">
        <f t="shared" si="21"/>
        <v>0</v>
      </c>
      <c r="F35" s="49">
        <f>INDEX([8]Delta!$F$1:$EE$997,$L$14,$I35)</f>
        <v>0</v>
      </c>
      <c r="G35" s="68" t="e">
        <f t="shared" si="16"/>
        <v>#DIV/0!</v>
      </c>
      <c r="I35" s="69">
        <f t="shared" si="22"/>
        <v>24</v>
      </c>
      <c r="J35" s="66">
        <f t="shared" si="4"/>
        <v>2025</v>
      </c>
      <c r="K35" s="70" t="str">
        <f t="shared" si="23"/>
        <v/>
      </c>
      <c r="L35" s="66">
        <f t="shared" si="13"/>
        <v>2043</v>
      </c>
      <c r="M35" s="49" t="e">
        <f t="shared" si="14"/>
        <v>#VALUE!</v>
      </c>
      <c r="N35" s="49">
        <f t="shared" si="8"/>
        <v>0</v>
      </c>
      <c r="O35" s="49">
        <f t="shared" si="26"/>
        <v>0</v>
      </c>
      <c r="P35" s="98" t="e">
        <f t="shared" ref="P35" si="30">(M35+N35)/O35</f>
        <v>#VALUE!</v>
      </c>
      <c r="Q35" s="137" t="e">
        <f t="shared" ref="Q35" si="31">M35/O35</f>
        <v>#VALUE!</v>
      </c>
      <c r="R35" s="137">
        <f t="shared" ref="R35" si="32">IFERROR(N35/O35,0)</f>
        <v>0</v>
      </c>
    </row>
    <row r="36" spans="2:20" outlineLevel="1">
      <c r="B36" s="74">
        <f t="shared" si="3"/>
        <v>45992</v>
      </c>
      <c r="C36" s="71">
        <f>IF(F36&lt;&gt;0,-INDEX([8]Delta!$F$1:$EE$997,$L$13,$I36),0)</f>
        <v>0</v>
      </c>
      <c r="D36" s="72">
        <f>IF(F36&lt;&gt;0,VLOOKUP($J36,'Table 1'!$B$13:$C$33,2,FALSE)/12*1000*Study_MW,0)</f>
        <v>0</v>
      </c>
      <c r="E36" s="72">
        <f t="shared" si="21"/>
        <v>0</v>
      </c>
      <c r="F36" s="71">
        <f>INDEX([8]Delta!$F$1:$EE$997,$L$14,$I36)</f>
        <v>0</v>
      </c>
      <c r="G36" s="73" t="e">
        <f t="shared" si="16"/>
        <v>#DIV/0!</v>
      </c>
      <c r="I36" s="57">
        <f t="shared" si="22"/>
        <v>25</v>
      </c>
      <c r="J36" s="66">
        <f t="shared" si="4"/>
        <v>2025</v>
      </c>
      <c r="K36" s="74" t="str">
        <f t="shared" si="23"/>
        <v/>
      </c>
      <c r="L36" s="66">
        <f t="shared" si="13"/>
        <v>2044</v>
      </c>
      <c r="M36" s="49" t="e">
        <f t="shared" si="14"/>
        <v>#VALUE!</v>
      </c>
      <c r="N36" s="49">
        <f t="shared" si="8"/>
        <v>0</v>
      </c>
      <c r="O36" s="49">
        <f t="shared" ref="O36" si="33">SUMIF($J$13:$J$264,L36,$F$13:$F$264)</f>
        <v>0</v>
      </c>
      <c r="P36" s="98" t="e">
        <f t="shared" ref="P36" si="34">(M36+N36)/O36</f>
        <v>#VALUE!</v>
      </c>
      <c r="Q36" s="137" t="e">
        <f t="shared" ref="Q36" si="35">M36/O36</f>
        <v>#VALUE!</v>
      </c>
      <c r="R36" s="137">
        <f t="shared" ref="R36" si="36">IFERROR(N36/O36,0)</f>
        <v>0</v>
      </c>
    </row>
    <row r="37" spans="2:20" outlineLevel="1">
      <c r="B37" s="67">
        <f t="shared" si="3"/>
        <v>46023</v>
      </c>
      <c r="C37" s="62">
        <f>IF(F37&lt;&gt;0,-INDEX([8]Delta!$F$1:$EE$997,$L$13,$I37),0)</f>
        <v>0</v>
      </c>
      <c r="D37" s="63">
        <f>IF(F37&lt;&gt;0,VLOOKUP($J37,'Table 1'!$B$13:$C$33,2,FALSE)/12*1000*Study_MW,0)</f>
        <v>0</v>
      </c>
      <c r="E37" s="63">
        <f t="shared" si="21"/>
        <v>0</v>
      </c>
      <c r="F37" s="62">
        <f>INDEX([8]Delta!$F$1:$EE$997,$L$14,$I37)</f>
        <v>0</v>
      </c>
      <c r="G37" s="65" t="e">
        <f t="shared" si="16"/>
        <v>#DIV/0!</v>
      </c>
      <c r="I37" s="53">
        <f>I25+13</f>
        <v>27</v>
      </c>
      <c r="J37" s="66">
        <f t="shared" si="4"/>
        <v>2026</v>
      </c>
      <c r="K37" s="67" t="str">
        <f t="shared" si="23"/>
        <v/>
      </c>
      <c r="L37" s="66">
        <f t="shared" si="13"/>
        <v>2045</v>
      </c>
      <c r="M37" s="49" t="e">
        <f>SUMIF($J$13:$J$276,L37,$C$13:$C$276)</f>
        <v>#VALUE!</v>
      </c>
      <c r="N37" s="49">
        <f>SUMIF($J$13:$J$276,L37,$D$13:$D$276)</f>
        <v>0</v>
      </c>
      <c r="O37" s="49">
        <f>SUMIF($J$13:$J$276,L37,$F$13:$F$276)</f>
        <v>0</v>
      </c>
      <c r="P37" s="98" t="e">
        <f t="shared" ref="P37" si="37">(M37+N37)/O37</f>
        <v>#VALUE!</v>
      </c>
      <c r="Q37" s="137" t="e">
        <f t="shared" ref="Q37" si="38">M37/O37</f>
        <v>#VALUE!</v>
      </c>
      <c r="R37" s="137">
        <f t="shared" ref="R37" si="39">IFERROR(N37/O37,0)</f>
        <v>0</v>
      </c>
    </row>
    <row r="38" spans="2:20" outlineLevel="1">
      <c r="B38" s="70">
        <f t="shared" si="3"/>
        <v>46054</v>
      </c>
      <c r="C38" s="49">
        <f>IF(F38&lt;&gt;0,-INDEX([8]Delta!$F$1:$EE$997,$L$13,$I38),0)</f>
        <v>0</v>
      </c>
      <c r="D38" s="64">
        <f>IF(F38&lt;&gt;0,VLOOKUP($J38,'Table 1'!$B$13:$C$33,2,FALSE)/12*1000*Study_MW,0)</f>
        <v>0</v>
      </c>
      <c r="E38" s="64">
        <f t="shared" si="21"/>
        <v>0</v>
      </c>
      <c r="F38" s="49">
        <f>INDEX([8]Delta!$F$1:$EE$997,$L$14,$I38)</f>
        <v>0</v>
      </c>
      <c r="G38" s="68" t="e">
        <f t="shared" si="16"/>
        <v>#DIV/0!</v>
      </c>
      <c r="I38" s="69">
        <f t="shared" si="22"/>
        <v>28</v>
      </c>
      <c r="J38" s="66">
        <f t="shared" si="4"/>
        <v>2026</v>
      </c>
      <c r="K38" s="70" t="str">
        <f t="shared" si="23"/>
        <v/>
      </c>
      <c r="L38" s="66">
        <f t="shared" si="13"/>
        <v>2046</v>
      </c>
      <c r="M38" s="49">
        <f>SUMIF($J$13:$J$276,L38,$C$13:$C$276)</f>
        <v>0</v>
      </c>
      <c r="N38" s="49">
        <f>SUMIF($J$13:$J$276,L38,$D$13:$D$276)</f>
        <v>0</v>
      </c>
      <c r="O38" s="49">
        <f>SUMIF($J$13:$J$276,L38,$F$13:$F$276)</f>
        <v>0</v>
      </c>
      <c r="P38" s="98" t="e">
        <f t="shared" ref="P38:P41" si="40">(M38+N38)/O38</f>
        <v>#DIV/0!</v>
      </c>
      <c r="Q38" s="137" t="e">
        <f t="shared" ref="Q38:Q41" si="41">M38/O38</f>
        <v>#DIV/0!</v>
      </c>
      <c r="R38" s="137">
        <f t="shared" ref="R38:R41" si="42">IFERROR(N38/O38,0)</f>
        <v>0</v>
      </c>
    </row>
    <row r="39" spans="2:20" outlineLevel="1">
      <c r="B39" s="70">
        <f t="shared" si="3"/>
        <v>46082</v>
      </c>
      <c r="C39" s="49">
        <f>IF(F39&lt;&gt;0,-INDEX([8]Delta!$F$1:$EE$997,$L$13,$I39),0)</f>
        <v>0</v>
      </c>
      <c r="D39" s="64">
        <f>IF(F39&lt;&gt;0,VLOOKUP($J39,'Table 1'!$B$13:$C$33,2,FALSE)/12*1000*Study_MW,0)</f>
        <v>0</v>
      </c>
      <c r="E39" s="64">
        <f t="shared" si="21"/>
        <v>0</v>
      </c>
      <c r="F39" s="49">
        <f>INDEX([8]Delta!$F$1:$EE$997,$L$14,$I39)</f>
        <v>0</v>
      </c>
      <c r="G39" s="68" t="e">
        <f t="shared" si="16"/>
        <v>#DIV/0!</v>
      </c>
      <c r="I39" s="69">
        <f t="shared" si="22"/>
        <v>29</v>
      </c>
      <c r="J39" s="66">
        <f t="shared" si="4"/>
        <v>2026</v>
      </c>
      <c r="K39" s="70" t="str">
        <f t="shared" si="23"/>
        <v/>
      </c>
      <c r="L39" s="66">
        <f t="shared" si="13"/>
        <v>2047</v>
      </c>
      <c r="M39" s="49">
        <f>SUMIF($J$13:$J$352,L39,$C$13:$C$352)</f>
        <v>0</v>
      </c>
      <c r="N39" s="49">
        <f>SUMIF($J$13:$J$352,L39,$D$13:$D$352)</f>
        <v>0</v>
      </c>
      <c r="O39" s="49">
        <f>SUMIF($J$13:$J$352,L39,$F$13:$F$352)</f>
        <v>0</v>
      </c>
      <c r="P39" s="98" t="e">
        <f t="shared" si="40"/>
        <v>#DIV/0!</v>
      </c>
      <c r="Q39" s="137" t="e">
        <f t="shared" si="41"/>
        <v>#DIV/0!</v>
      </c>
      <c r="R39" s="137">
        <f t="shared" si="42"/>
        <v>0</v>
      </c>
    </row>
    <row r="40" spans="2:20" outlineLevel="1">
      <c r="B40" s="70">
        <f t="shared" si="3"/>
        <v>46113</v>
      </c>
      <c r="C40" s="49">
        <f>IF(F40&lt;&gt;0,-INDEX([8]Delta!$F$1:$EE$997,$L$13,$I40),0)</f>
        <v>0</v>
      </c>
      <c r="D40" s="64">
        <f>IF(F40&lt;&gt;0,VLOOKUP($J40,'Table 1'!$B$13:$C$33,2,FALSE)/12*1000*Study_MW,0)</f>
        <v>0</v>
      </c>
      <c r="E40" s="64">
        <f t="shared" si="21"/>
        <v>0</v>
      </c>
      <c r="F40" s="49">
        <f>INDEX([8]Delta!$F$1:$EE$997,$L$14,$I40)</f>
        <v>0</v>
      </c>
      <c r="G40" s="68" t="e">
        <f t="shared" si="16"/>
        <v>#DIV/0!</v>
      </c>
      <c r="I40" s="69">
        <f t="shared" si="22"/>
        <v>30</v>
      </c>
      <c r="J40" s="66">
        <f t="shared" si="4"/>
        <v>2026</v>
      </c>
      <c r="K40" s="70" t="str">
        <f t="shared" si="23"/>
        <v/>
      </c>
      <c r="L40" s="66">
        <f t="shared" si="13"/>
        <v>2048</v>
      </c>
      <c r="M40" s="49">
        <f>SUMIF($J$13:$J$352,L40,$C$13:$C$352)</f>
        <v>0</v>
      </c>
      <c r="N40" s="49">
        <f>SUMIF($J$13:$J$352,L40,$D$13:$D$352)</f>
        <v>0</v>
      </c>
      <c r="O40" s="49">
        <f>SUMIF($J$13:$J$352,L40,$F$13:$F$352)</f>
        <v>0</v>
      </c>
      <c r="P40" s="98" t="e">
        <f t="shared" si="40"/>
        <v>#DIV/0!</v>
      </c>
      <c r="Q40" s="137" t="e">
        <f t="shared" si="41"/>
        <v>#DIV/0!</v>
      </c>
      <c r="R40" s="137">
        <f t="shared" si="42"/>
        <v>0</v>
      </c>
      <c r="S40" s="51"/>
      <c r="T40" s="80"/>
    </row>
    <row r="41" spans="2:20" outlineLevel="1">
      <c r="B41" s="70">
        <f t="shared" si="3"/>
        <v>46143</v>
      </c>
      <c r="C41" s="49">
        <f>IF(F41&lt;&gt;0,-INDEX([8]Delta!$F$1:$EE$997,$L$13,$I41),0)</f>
        <v>0</v>
      </c>
      <c r="D41" s="64">
        <f>IF(F41&lt;&gt;0,VLOOKUP($J41,'Table 1'!$B$13:$C$33,2,FALSE)/12*1000*Study_MW,0)</f>
        <v>0</v>
      </c>
      <c r="E41" s="64">
        <f t="shared" si="21"/>
        <v>0</v>
      </c>
      <c r="F41" s="49">
        <f>INDEX([8]Delta!$F$1:$EE$997,$L$14,$I41)</f>
        <v>0</v>
      </c>
      <c r="G41" s="68" t="e">
        <f t="shared" si="16"/>
        <v>#DIV/0!</v>
      </c>
      <c r="I41" s="69">
        <f t="shared" si="22"/>
        <v>31</v>
      </c>
      <c r="J41" s="66">
        <f t="shared" si="4"/>
        <v>2026</v>
      </c>
      <c r="K41" s="70" t="str">
        <f t="shared" si="23"/>
        <v/>
      </c>
      <c r="L41" s="66">
        <f t="shared" si="13"/>
        <v>2049</v>
      </c>
      <c r="M41" s="49">
        <f>SUMIF($J$13:$J$352,L41,$C$13:$C$352)</f>
        <v>0</v>
      </c>
      <c r="N41" s="49">
        <f>SUMIF($J$13:$J$352,L41,$D$13:$D$352)</f>
        <v>0</v>
      </c>
      <c r="O41" s="49">
        <f>SUMIF($J$13:$J$352,L41,$F$13:$F$352)</f>
        <v>0</v>
      </c>
      <c r="P41" s="98" t="e">
        <f t="shared" si="40"/>
        <v>#DIV/0!</v>
      </c>
      <c r="Q41" s="137" t="e">
        <f t="shared" si="41"/>
        <v>#DIV/0!</v>
      </c>
      <c r="R41" s="137">
        <f t="shared" si="42"/>
        <v>0</v>
      </c>
      <c r="S41" s="51"/>
      <c r="T41" s="80"/>
    </row>
    <row r="42" spans="2:20" outlineLevel="1">
      <c r="B42" s="70">
        <f t="shared" si="3"/>
        <v>46174</v>
      </c>
      <c r="C42" s="49">
        <f>IF(F42&lt;&gt;0,-INDEX([8]Delta!$F$1:$EE$997,$L$13,$I42),0)</f>
        <v>0</v>
      </c>
      <c r="D42" s="64">
        <f>IF(F42&lt;&gt;0,VLOOKUP($J42,'Table 1'!$B$13:$C$33,2,FALSE)/12*1000*Study_MW,0)</f>
        <v>0</v>
      </c>
      <c r="E42" s="64">
        <f t="shared" si="21"/>
        <v>0</v>
      </c>
      <c r="F42" s="49">
        <f>INDEX([8]Delta!$F$1:$EE$997,$L$14,$I42)</f>
        <v>0</v>
      </c>
      <c r="G42" s="68" t="e">
        <f t="shared" si="16"/>
        <v>#DIV/0!</v>
      </c>
      <c r="I42" s="69">
        <f t="shared" si="22"/>
        <v>32</v>
      </c>
      <c r="J42" s="66">
        <f t="shared" si="4"/>
        <v>2026</v>
      </c>
      <c r="K42" s="70" t="str">
        <f t="shared" si="23"/>
        <v/>
      </c>
      <c r="L42" s="66">
        <f t="shared" si="13"/>
        <v>2050</v>
      </c>
      <c r="P42" s="98"/>
      <c r="Q42" s="137"/>
      <c r="R42" s="137"/>
    </row>
    <row r="43" spans="2:20" outlineLevel="1">
      <c r="B43" s="70">
        <f t="shared" si="3"/>
        <v>46204</v>
      </c>
      <c r="C43" s="49">
        <f>IF(F43&lt;&gt;0,-INDEX([8]Delta!$F$1:$EE$997,$L$13,$I43),0)</f>
        <v>0</v>
      </c>
      <c r="D43" s="64">
        <f>IF(F43&lt;&gt;0,VLOOKUP($J43,'Table 1'!$B$13:$C$33,2,FALSE)/12*1000*Study_MW,0)</f>
        <v>0</v>
      </c>
      <c r="E43" s="64">
        <f t="shared" si="21"/>
        <v>0</v>
      </c>
      <c r="F43" s="49">
        <f>INDEX([8]Delta!$F$1:$EE$997,$L$14,$I43)</f>
        <v>0</v>
      </c>
      <c r="G43" s="68" t="e">
        <f t="shared" si="16"/>
        <v>#DIV/0!</v>
      </c>
      <c r="I43" s="69">
        <f t="shared" si="22"/>
        <v>33</v>
      </c>
      <c r="J43" s="66">
        <f t="shared" si="4"/>
        <v>2026</v>
      </c>
      <c r="K43" s="70" t="str">
        <f t="shared" si="23"/>
        <v/>
      </c>
    </row>
    <row r="44" spans="2:20" outlineLevel="1">
      <c r="B44" s="70">
        <f t="shared" si="3"/>
        <v>46235</v>
      </c>
      <c r="C44" s="49">
        <f>IF(F44&lt;&gt;0,-INDEX([8]Delta!$F$1:$EE$997,$L$13,$I44),0)</f>
        <v>0</v>
      </c>
      <c r="D44" s="64">
        <f>IF(F44&lt;&gt;0,VLOOKUP($J44,'Table 1'!$B$13:$C$33,2,FALSE)/12*1000*Study_MW,0)</f>
        <v>0</v>
      </c>
      <c r="E44" s="64">
        <f t="shared" si="21"/>
        <v>0</v>
      </c>
      <c r="F44" s="49">
        <f>INDEX([8]Delta!$F$1:$EE$997,$L$14,$I44)</f>
        <v>0</v>
      </c>
      <c r="G44" s="68" t="e">
        <f t="shared" si="16"/>
        <v>#DIV/0!</v>
      </c>
      <c r="I44" s="69">
        <f t="shared" si="22"/>
        <v>34</v>
      </c>
      <c r="J44" s="66">
        <f t="shared" si="4"/>
        <v>2026</v>
      </c>
      <c r="K44" s="70" t="str">
        <f t="shared" si="23"/>
        <v/>
      </c>
    </row>
    <row r="45" spans="2:20" outlineLevel="1">
      <c r="B45" s="70">
        <f t="shared" si="3"/>
        <v>46266</v>
      </c>
      <c r="C45" s="49">
        <f>IF(F45&lt;&gt;0,-INDEX([8]Delta!$F$1:$EE$997,$L$13,$I45),0)</f>
        <v>0</v>
      </c>
      <c r="D45" s="64">
        <f>IF(F45&lt;&gt;0,VLOOKUP($J45,'Table 1'!$B$13:$C$33,2,FALSE)/12*1000*Study_MW,0)</f>
        <v>0</v>
      </c>
      <c r="E45" s="64">
        <f t="shared" si="21"/>
        <v>0</v>
      </c>
      <c r="F45" s="49">
        <f>INDEX([8]Delta!$F$1:$EE$997,$L$14,$I45)</f>
        <v>0</v>
      </c>
      <c r="G45" s="68" t="e">
        <f t="shared" si="16"/>
        <v>#DIV/0!</v>
      </c>
      <c r="I45" s="69">
        <f t="shared" si="22"/>
        <v>35</v>
      </c>
      <c r="J45" s="66">
        <f t="shared" si="4"/>
        <v>2026</v>
      </c>
      <c r="K45" s="70" t="str">
        <f t="shared" si="23"/>
        <v/>
      </c>
    </row>
    <row r="46" spans="2:20" outlineLevel="1">
      <c r="B46" s="70">
        <f t="shared" si="3"/>
        <v>46296</v>
      </c>
      <c r="C46" s="49">
        <f>IF(F46&lt;&gt;0,-INDEX([8]Delta!$F$1:$EE$997,$L$13,$I46),0)</f>
        <v>0</v>
      </c>
      <c r="D46" s="64">
        <f>IF(F46&lt;&gt;0,VLOOKUP($J46,'Table 1'!$B$13:$C$33,2,FALSE)/12*1000*Study_MW,0)</f>
        <v>0</v>
      </c>
      <c r="E46" s="64">
        <f t="shared" si="21"/>
        <v>0</v>
      </c>
      <c r="F46" s="49">
        <f>INDEX([8]Delta!$F$1:$EE$997,$L$14,$I46)</f>
        <v>0</v>
      </c>
      <c r="G46" s="68" t="e">
        <f t="shared" si="16"/>
        <v>#DIV/0!</v>
      </c>
      <c r="I46" s="69">
        <f t="shared" si="22"/>
        <v>36</v>
      </c>
      <c r="J46" s="66">
        <f t="shared" si="4"/>
        <v>2026</v>
      </c>
      <c r="K46" s="70" t="str">
        <f t="shared" si="23"/>
        <v/>
      </c>
    </row>
    <row r="47" spans="2:20" outlineLevel="1">
      <c r="B47" s="70">
        <f t="shared" si="3"/>
        <v>46327</v>
      </c>
      <c r="C47" s="49">
        <f>IF(F47&lt;&gt;0,-INDEX([8]Delta!$F$1:$EE$997,$L$13,$I47),0)</f>
        <v>0</v>
      </c>
      <c r="D47" s="64">
        <f>IF(F47&lt;&gt;0,VLOOKUP($J47,'Table 1'!$B$13:$C$33,2,FALSE)/12*1000*Study_MW,0)</f>
        <v>0</v>
      </c>
      <c r="E47" s="64">
        <f t="shared" si="21"/>
        <v>0</v>
      </c>
      <c r="F47" s="49">
        <f>INDEX([8]Delta!$F$1:$EE$997,$L$14,$I47)</f>
        <v>0</v>
      </c>
      <c r="G47" s="68" t="e">
        <f t="shared" si="16"/>
        <v>#DIV/0!</v>
      </c>
      <c r="I47" s="69">
        <f t="shared" si="22"/>
        <v>37</v>
      </c>
      <c r="J47" s="66">
        <f t="shared" si="4"/>
        <v>2026</v>
      </c>
      <c r="K47" s="70" t="str">
        <f t="shared" si="23"/>
        <v/>
      </c>
    </row>
    <row r="48" spans="2:20" outlineLevel="1">
      <c r="B48" s="74">
        <f t="shared" si="3"/>
        <v>46357</v>
      </c>
      <c r="C48" s="71">
        <f>IF(F48&lt;&gt;0,-INDEX([8]Delta!$F$1:$EE$997,$L$13,$I48),0)</f>
        <v>0</v>
      </c>
      <c r="D48" s="72">
        <f>IF(F48&lt;&gt;0,VLOOKUP($J48,'Table 1'!$B$13:$C$33,2,FALSE)/12*1000*Study_MW,0)</f>
        <v>0</v>
      </c>
      <c r="E48" s="72">
        <f t="shared" si="21"/>
        <v>0</v>
      </c>
      <c r="F48" s="71">
        <f>INDEX([8]Delta!$F$1:$EE$997,$L$14,$I48)</f>
        <v>0</v>
      </c>
      <c r="G48" s="73" t="e">
        <f t="shared" si="16"/>
        <v>#DIV/0!</v>
      </c>
      <c r="I48" s="57">
        <f t="shared" si="22"/>
        <v>38</v>
      </c>
      <c r="J48" s="66">
        <f t="shared" si="4"/>
        <v>2026</v>
      </c>
      <c r="K48" s="74" t="str">
        <f t="shared" si="23"/>
        <v/>
      </c>
    </row>
    <row r="49" spans="2:11" outlineLevel="1">
      <c r="B49" s="67">
        <f t="shared" si="3"/>
        <v>46388</v>
      </c>
      <c r="C49" s="62">
        <f>IF(F49&lt;&gt;0,-INDEX([8]Delta!$F$1:$EE$997,$L$13,$I49),0)</f>
        <v>0</v>
      </c>
      <c r="D49" s="63">
        <f>IF(F49&lt;&gt;0,VLOOKUP($J49,'Table 1'!$B$13:$C$33,2,FALSE)/12*1000*Study_MW,0)</f>
        <v>0</v>
      </c>
      <c r="E49" s="63">
        <f t="shared" si="21"/>
        <v>0</v>
      </c>
      <c r="F49" s="62">
        <f>INDEX([8]Delta!$F$1:$EE$997,$L$14,$I49)</f>
        <v>0</v>
      </c>
      <c r="G49" s="65" t="e">
        <f t="shared" si="16"/>
        <v>#DIV/0!</v>
      </c>
      <c r="I49" s="53">
        <f>I37+13</f>
        <v>40</v>
      </c>
      <c r="J49" s="66">
        <f t="shared" si="4"/>
        <v>2027</v>
      </c>
      <c r="K49" s="67" t="str">
        <f t="shared" si="23"/>
        <v/>
      </c>
    </row>
    <row r="50" spans="2:11" outlineLevel="1">
      <c r="B50" s="70">
        <f t="shared" si="3"/>
        <v>46419</v>
      </c>
      <c r="C50" s="49">
        <f>IF(F50&lt;&gt;0,-INDEX([8]Delta!$F$1:$EE$997,$L$13,$I50),0)</f>
        <v>0</v>
      </c>
      <c r="D50" s="64">
        <f>IF(F50&lt;&gt;0,VLOOKUP($J50,'Table 1'!$B$13:$C$33,2,FALSE)/12*1000*Study_MW,0)</f>
        <v>0</v>
      </c>
      <c r="E50" s="64">
        <f t="shared" si="21"/>
        <v>0</v>
      </c>
      <c r="F50" s="49">
        <f>INDEX([8]Delta!$F$1:$EE$997,$L$14,$I50)</f>
        <v>0</v>
      </c>
      <c r="G50" s="68" t="e">
        <f t="shared" si="16"/>
        <v>#DIV/0!</v>
      </c>
      <c r="I50" s="69">
        <f t="shared" si="22"/>
        <v>41</v>
      </c>
      <c r="J50" s="66">
        <f t="shared" si="4"/>
        <v>2027</v>
      </c>
      <c r="K50" s="70" t="str">
        <f t="shared" si="23"/>
        <v/>
      </c>
    </row>
    <row r="51" spans="2:11" outlineLevel="1">
      <c r="B51" s="70">
        <f t="shared" si="3"/>
        <v>46447</v>
      </c>
      <c r="C51" s="49">
        <f>IF(F51&lt;&gt;0,-INDEX([8]Delta!$F$1:$EE$997,$L$13,$I51),0)</f>
        <v>0</v>
      </c>
      <c r="D51" s="64">
        <f>IF(F51&lt;&gt;0,VLOOKUP($J51,'Table 1'!$B$13:$C$33,2,FALSE)/12*1000*Study_MW,0)</f>
        <v>0</v>
      </c>
      <c r="E51" s="64">
        <f t="shared" si="21"/>
        <v>0</v>
      </c>
      <c r="F51" s="49">
        <f>INDEX([8]Delta!$F$1:$EE$997,$L$14,$I51)</f>
        <v>0</v>
      </c>
      <c r="G51" s="68" t="e">
        <f t="shared" si="16"/>
        <v>#DIV/0!</v>
      </c>
      <c r="I51" s="69">
        <f t="shared" si="22"/>
        <v>42</v>
      </c>
      <c r="J51" s="66">
        <f t="shared" si="4"/>
        <v>2027</v>
      </c>
      <c r="K51" s="70" t="str">
        <f t="shared" si="23"/>
        <v/>
      </c>
    </row>
    <row r="52" spans="2:11" outlineLevel="1">
      <c r="B52" s="70">
        <f t="shared" si="3"/>
        <v>46478</v>
      </c>
      <c r="C52" s="49">
        <f>IF(F52&lt;&gt;0,-INDEX([8]Delta!$F$1:$EE$997,$L$13,$I52),0)</f>
        <v>0</v>
      </c>
      <c r="D52" s="64">
        <f>IF(F52&lt;&gt;0,VLOOKUP($J52,'Table 1'!$B$13:$C$33,2,FALSE)/12*1000*Study_MW,0)</f>
        <v>0</v>
      </c>
      <c r="E52" s="64">
        <f t="shared" si="21"/>
        <v>0</v>
      </c>
      <c r="F52" s="49">
        <f>INDEX([8]Delta!$F$1:$EE$997,$L$14,$I52)</f>
        <v>0</v>
      </c>
      <c r="G52" s="68" t="e">
        <f t="shared" si="16"/>
        <v>#DIV/0!</v>
      </c>
      <c r="I52" s="69">
        <f t="shared" si="22"/>
        <v>43</v>
      </c>
      <c r="J52" s="66">
        <f t="shared" si="4"/>
        <v>2027</v>
      </c>
      <c r="K52" s="70" t="str">
        <f t="shared" si="23"/>
        <v/>
      </c>
    </row>
    <row r="53" spans="2:11" outlineLevel="1">
      <c r="B53" s="70">
        <f t="shared" si="3"/>
        <v>46508</v>
      </c>
      <c r="C53" s="49">
        <f>IF(F53&lt;&gt;0,-INDEX([8]Delta!$F$1:$EE$997,$L$13,$I53),0)</f>
        <v>0</v>
      </c>
      <c r="D53" s="64">
        <f>IF(F53&lt;&gt;0,VLOOKUP($J53,'Table 1'!$B$13:$C$33,2,FALSE)/12*1000*Study_MW,0)</f>
        <v>0</v>
      </c>
      <c r="E53" s="64">
        <f t="shared" si="21"/>
        <v>0</v>
      </c>
      <c r="F53" s="49">
        <f>INDEX([8]Delta!$F$1:$EE$997,$L$14,$I53)</f>
        <v>0</v>
      </c>
      <c r="G53" s="68" t="e">
        <f t="shared" si="16"/>
        <v>#DIV/0!</v>
      </c>
      <c r="I53" s="69">
        <f t="shared" si="22"/>
        <v>44</v>
      </c>
      <c r="J53" s="66">
        <f t="shared" si="4"/>
        <v>2027</v>
      </c>
      <c r="K53" s="70" t="str">
        <f t="shared" si="23"/>
        <v/>
      </c>
    </row>
    <row r="54" spans="2:11" outlineLevel="1">
      <c r="B54" s="70">
        <f t="shared" si="3"/>
        <v>46539</v>
      </c>
      <c r="C54" s="49">
        <f>IF(F54&lt;&gt;0,-INDEX([8]Delta!$F$1:$EE$997,$L$13,$I54),0)</f>
        <v>0</v>
      </c>
      <c r="D54" s="64">
        <f>IF(F54&lt;&gt;0,VLOOKUP($J54,'Table 1'!$B$13:$C$33,2,FALSE)/12*1000*Study_MW,0)</f>
        <v>0</v>
      </c>
      <c r="E54" s="64">
        <f t="shared" si="21"/>
        <v>0</v>
      </c>
      <c r="F54" s="49">
        <f>INDEX([8]Delta!$F$1:$EE$997,$L$14,$I54)</f>
        <v>0</v>
      </c>
      <c r="G54" s="68" t="e">
        <f t="shared" si="16"/>
        <v>#DIV/0!</v>
      </c>
      <c r="I54" s="69">
        <f t="shared" si="22"/>
        <v>45</v>
      </c>
      <c r="J54" s="66">
        <f t="shared" si="4"/>
        <v>2027</v>
      </c>
      <c r="K54" s="70" t="str">
        <f t="shared" si="23"/>
        <v/>
      </c>
    </row>
    <row r="55" spans="2:11" outlineLevel="1">
      <c r="B55" s="70">
        <f t="shared" si="3"/>
        <v>46569</v>
      </c>
      <c r="C55" s="49">
        <f>IF(F55&lt;&gt;0,-INDEX([8]Delta!$F$1:$EE$997,$L$13,$I55),0)</f>
        <v>0</v>
      </c>
      <c r="D55" s="64">
        <f>IF(F55&lt;&gt;0,VLOOKUP($J55,'Table 1'!$B$13:$C$33,2,FALSE)/12*1000*Study_MW,0)</f>
        <v>0</v>
      </c>
      <c r="E55" s="64">
        <f t="shared" si="21"/>
        <v>0</v>
      </c>
      <c r="F55" s="49">
        <f>INDEX([8]Delta!$F$1:$EE$997,$L$14,$I55)</f>
        <v>0</v>
      </c>
      <c r="G55" s="68" t="e">
        <f t="shared" si="16"/>
        <v>#DIV/0!</v>
      </c>
      <c r="I55" s="69">
        <f t="shared" si="22"/>
        <v>46</v>
      </c>
      <c r="J55" s="66">
        <f t="shared" si="4"/>
        <v>2027</v>
      </c>
      <c r="K55" s="70" t="str">
        <f t="shared" si="23"/>
        <v/>
      </c>
    </row>
    <row r="56" spans="2:11" outlineLevel="1">
      <c r="B56" s="70">
        <f t="shared" si="3"/>
        <v>46600</v>
      </c>
      <c r="C56" s="49">
        <f>IF(F56&lt;&gt;0,-INDEX([8]Delta!$F$1:$EE$997,$L$13,$I56),0)</f>
        <v>0</v>
      </c>
      <c r="D56" s="64">
        <f>IF(F56&lt;&gt;0,VLOOKUP($J56,'Table 1'!$B$13:$C$33,2,FALSE)/12*1000*Study_MW,0)</f>
        <v>0</v>
      </c>
      <c r="E56" s="64">
        <f t="shared" si="21"/>
        <v>0</v>
      </c>
      <c r="F56" s="49">
        <f>INDEX([8]Delta!$F$1:$EE$997,$L$14,$I56)</f>
        <v>0</v>
      </c>
      <c r="G56" s="68" t="e">
        <f t="shared" si="16"/>
        <v>#DIV/0!</v>
      </c>
      <c r="I56" s="69">
        <f t="shared" si="22"/>
        <v>47</v>
      </c>
      <c r="J56" s="66">
        <f t="shared" si="4"/>
        <v>2027</v>
      </c>
      <c r="K56" s="70" t="str">
        <f t="shared" si="23"/>
        <v/>
      </c>
    </row>
    <row r="57" spans="2:11" outlineLevel="1">
      <c r="B57" s="70">
        <f t="shared" si="3"/>
        <v>46631</v>
      </c>
      <c r="C57" s="49">
        <f>IF(F57&lt;&gt;0,-INDEX([8]Delta!$F$1:$EE$997,$L$13,$I57),0)</f>
        <v>0</v>
      </c>
      <c r="D57" s="64">
        <f>IF(F57&lt;&gt;0,VLOOKUP($J57,'Table 1'!$B$13:$C$33,2,FALSE)/12*1000*Study_MW,0)</f>
        <v>0</v>
      </c>
      <c r="E57" s="64">
        <f t="shared" si="21"/>
        <v>0</v>
      </c>
      <c r="F57" s="49">
        <f>INDEX([8]Delta!$F$1:$EE$997,$L$14,$I57)</f>
        <v>0</v>
      </c>
      <c r="G57" s="68" t="e">
        <f t="shared" si="16"/>
        <v>#DIV/0!</v>
      </c>
      <c r="I57" s="69">
        <f t="shared" si="22"/>
        <v>48</v>
      </c>
      <c r="J57" s="66">
        <f t="shared" si="4"/>
        <v>2027</v>
      </c>
      <c r="K57" s="70" t="str">
        <f t="shared" si="23"/>
        <v/>
      </c>
    </row>
    <row r="58" spans="2:11" outlineLevel="1">
      <c r="B58" s="70">
        <f t="shared" si="3"/>
        <v>46661</v>
      </c>
      <c r="C58" s="49">
        <f>IF(F58&lt;&gt;0,-INDEX([8]Delta!$F$1:$EE$997,$L$13,$I58),0)</f>
        <v>0</v>
      </c>
      <c r="D58" s="64">
        <f>IF(F58&lt;&gt;0,VLOOKUP($J58,'Table 1'!$B$13:$C$33,2,FALSE)/12*1000*Study_MW,0)</f>
        <v>0</v>
      </c>
      <c r="E58" s="64">
        <f t="shared" si="21"/>
        <v>0</v>
      </c>
      <c r="F58" s="49">
        <f>INDEX([8]Delta!$F$1:$EE$997,$L$14,$I58)</f>
        <v>0</v>
      </c>
      <c r="G58" s="68" t="e">
        <f t="shared" si="16"/>
        <v>#DIV/0!</v>
      </c>
      <c r="I58" s="69">
        <f t="shared" si="22"/>
        <v>49</v>
      </c>
      <c r="J58" s="66">
        <f t="shared" si="4"/>
        <v>2027</v>
      </c>
      <c r="K58" s="70" t="str">
        <f t="shared" si="23"/>
        <v/>
      </c>
    </row>
    <row r="59" spans="2:11" outlineLevel="1">
      <c r="B59" s="70">
        <f t="shared" si="3"/>
        <v>46692</v>
      </c>
      <c r="C59" s="49">
        <f>IF(F59&lt;&gt;0,-INDEX([8]Delta!$F$1:$EE$997,$L$13,$I59),0)</f>
        <v>0</v>
      </c>
      <c r="D59" s="64">
        <f>IF(F59&lt;&gt;0,VLOOKUP($J59,'Table 1'!$B$13:$C$33,2,FALSE)/12*1000*Study_MW,0)</f>
        <v>0</v>
      </c>
      <c r="E59" s="64">
        <f t="shared" si="21"/>
        <v>0</v>
      </c>
      <c r="F59" s="49">
        <f>INDEX([8]Delta!$F$1:$EE$997,$L$14,$I59)</f>
        <v>0</v>
      </c>
      <c r="G59" s="68" t="e">
        <f t="shared" si="16"/>
        <v>#DIV/0!</v>
      </c>
      <c r="I59" s="69">
        <f t="shared" si="22"/>
        <v>50</v>
      </c>
      <c r="J59" s="66">
        <f t="shared" si="4"/>
        <v>2027</v>
      </c>
      <c r="K59" s="70" t="str">
        <f t="shared" si="23"/>
        <v/>
      </c>
    </row>
    <row r="60" spans="2:11" outlineLevel="1">
      <c r="B60" s="74">
        <f t="shared" si="3"/>
        <v>46722</v>
      </c>
      <c r="C60" s="71">
        <f>IF(F60&lt;&gt;0,-INDEX([8]Delta!$F$1:$EE$997,$L$13,$I60),0)</f>
        <v>0</v>
      </c>
      <c r="D60" s="72">
        <f>IF(F60&lt;&gt;0,VLOOKUP($J60,'Table 1'!$B$13:$C$33,2,FALSE)/12*1000*Study_MW,0)</f>
        <v>0</v>
      </c>
      <c r="E60" s="72">
        <f t="shared" si="21"/>
        <v>0</v>
      </c>
      <c r="F60" s="71">
        <f>INDEX([8]Delta!$F$1:$EE$997,$L$14,$I60)</f>
        <v>0</v>
      </c>
      <c r="G60" s="73" t="e">
        <f t="shared" si="16"/>
        <v>#DIV/0!</v>
      </c>
      <c r="I60" s="57">
        <f t="shared" si="22"/>
        <v>51</v>
      </c>
      <c r="J60" s="66">
        <f t="shared" si="4"/>
        <v>2027</v>
      </c>
      <c r="K60" s="74" t="str">
        <f t="shared" si="23"/>
        <v/>
      </c>
    </row>
    <row r="61" spans="2:11" outlineLevel="1">
      <c r="B61" s="67">
        <f t="shared" si="3"/>
        <v>46753</v>
      </c>
      <c r="C61" s="62">
        <f>IF(F61&lt;&gt;0,-INDEX([8]Delta!$F$1:$EE$997,$L$13,$I61),0)</f>
        <v>0</v>
      </c>
      <c r="D61" s="63">
        <f>IF(F61&lt;&gt;0,VLOOKUP($J61,'Table 1'!$B$13:$C$33,2,FALSE)/12*1000*Study_MW,0)</f>
        <v>0</v>
      </c>
      <c r="E61" s="63">
        <f t="shared" si="21"/>
        <v>0</v>
      </c>
      <c r="F61" s="62">
        <f>INDEX([8]Delta!$F$1:$EE$997,$L$14,$I61)</f>
        <v>0</v>
      </c>
      <c r="G61" s="65" t="e">
        <f t="shared" si="16"/>
        <v>#DIV/0!</v>
      </c>
      <c r="I61" s="53">
        <f>I49+13</f>
        <v>53</v>
      </c>
      <c r="J61" s="66">
        <f t="shared" si="4"/>
        <v>2028</v>
      </c>
      <c r="K61" s="67" t="str">
        <f t="shared" si="23"/>
        <v/>
      </c>
    </row>
    <row r="62" spans="2:11" outlineLevel="1">
      <c r="B62" s="70">
        <f t="shared" si="3"/>
        <v>46784</v>
      </c>
      <c r="C62" s="49">
        <f>IF(F62&lt;&gt;0,-INDEX([8]Delta!$F$1:$EE$997,$L$13,$I62),0)</f>
        <v>0</v>
      </c>
      <c r="D62" s="64">
        <f>IF(F62&lt;&gt;0,VLOOKUP($J62,'Table 1'!$B$13:$C$33,2,FALSE)/12*1000*Study_MW,0)</f>
        <v>0</v>
      </c>
      <c r="E62" s="64">
        <f t="shared" si="21"/>
        <v>0</v>
      </c>
      <c r="F62" s="49">
        <f>INDEX([8]Delta!$F$1:$EE$997,$L$14,$I62)</f>
        <v>0</v>
      </c>
      <c r="G62" s="68" t="e">
        <f t="shared" si="16"/>
        <v>#DIV/0!</v>
      </c>
      <c r="I62" s="69">
        <f t="shared" si="22"/>
        <v>54</v>
      </c>
      <c r="J62" s="66">
        <f t="shared" si="4"/>
        <v>2028</v>
      </c>
      <c r="K62" s="70" t="str">
        <f t="shared" si="23"/>
        <v/>
      </c>
    </row>
    <row r="63" spans="2:11" outlineLevel="1">
      <c r="B63" s="70">
        <f t="shared" si="3"/>
        <v>46813</v>
      </c>
      <c r="C63" s="49">
        <f>IF(F63&lt;&gt;0,-INDEX([8]Delta!$F$1:$EE$997,$L$13,$I63),0)</f>
        <v>0</v>
      </c>
      <c r="D63" s="64">
        <f>IF(F63&lt;&gt;0,VLOOKUP($J63,'Table 1'!$B$13:$C$33,2,FALSE)/12*1000*Study_MW,0)</f>
        <v>0</v>
      </c>
      <c r="E63" s="64">
        <f t="shared" si="21"/>
        <v>0</v>
      </c>
      <c r="F63" s="49">
        <f>INDEX([8]Delta!$F$1:$EE$997,$L$14,$I63)</f>
        <v>0</v>
      </c>
      <c r="G63" s="68" t="e">
        <f t="shared" si="16"/>
        <v>#DIV/0!</v>
      </c>
      <c r="I63" s="69">
        <f t="shared" si="22"/>
        <v>55</v>
      </c>
      <c r="J63" s="66">
        <f t="shared" si="4"/>
        <v>2028</v>
      </c>
      <c r="K63" s="70" t="str">
        <f t="shared" si="23"/>
        <v/>
      </c>
    </row>
    <row r="64" spans="2:11" outlineLevel="1">
      <c r="B64" s="70">
        <f t="shared" si="3"/>
        <v>46844</v>
      </c>
      <c r="C64" s="49">
        <f>IF(F64&lt;&gt;0,-INDEX([8]Delta!$F$1:$EE$997,$L$13,$I64),0)</f>
        <v>0</v>
      </c>
      <c r="D64" s="64">
        <f>IF(F64&lt;&gt;0,VLOOKUP($J64,'Table 1'!$B$13:$C$33,2,FALSE)/12*1000*Study_MW,0)</f>
        <v>0</v>
      </c>
      <c r="E64" s="64">
        <f t="shared" si="21"/>
        <v>0</v>
      </c>
      <c r="F64" s="49">
        <f>INDEX([8]Delta!$F$1:$EE$997,$L$14,$I64)</f>
        <v>0</v>
      </c>
      <c r="G64" s="68" t="e">
        <f t="shared" si="16"/>
        <v>#DIV/0!</v>
      </c>
      <c r="I64" s="69">
        <f t="shared" si="22"/>
        <v>56</v>
      </c>
      <c r="J64" s="66">
        <f t="shared" si="4"/>
        <v>2028</v>
      </c>
      <c r="K64" s="70" t="str">
        <f t="shared" si="23"/>
        <v/>
      </c>
    </row>
    <row r="65" spans="2:11" outlineLevel="1">
      <c r="B65" s="70">
        <f t="shared" si="3"/>
        <v>46874</v>
      </c>
      <c r="C65" s="49">
        <f>IF(F65&lt;&gt;0,-INDEX([8]Delta!$F$1:$EE$997,$L$13,$I65),0)</f>
        <v>0</v>
      </c>
      <c r="D65" s="64">
        <f>IF(F65&lt;&gt;0,VLOOKUP($J65,'Table 1'!$B$13:$C$33,2,FALSE)/12*1000*Study_MW,0)</f>
        <v>0</v>
      </c>
      <c r="E65" s="64">
        <f t="shared" si="21"/>
        <v>0</v>
      </c>
      <c r="F65" s="49">
        <f>INDEX([8]Delta!$F$1:$EE$997,$L$14,$I65)</f>
        <v>0</v>
      </c>
      <c r="G65" s="68" t="e">
        <f t="shared" si="16"/>
        <v>#DIV/0!</v>
      </c>
      <c r="I65" s="69">
        <f t="shared" si="22"/>
        <v>57</v>
      </c>
      <c r="J65" s="66">
        <f t="shared" si="4"/>
        <v>2028</v>
      </c>
      <c r="K65" s="70" t="str">
        <f t="shared" si="23"/>
        <v/>
      </c>
    </row>
    <row r="66" spans="2:11" outlineLevel="1">
      <c r="B66" s="70">
        <f t="shared" si="3"/>
        <v>46905</v>
      </c>
      <c r="C66" s="49">
        <f>IF(F66&lt;&gt;0,-INDEX([8]Delta!$F$1:$EE$997,$L$13,$I66),0)</f>
        <v>0</v>
      </c>
      <c r="D66" s="64">
        <f>IF(F66&lt;&gt;0,VLOOKUP($J66,'Table 1'!$B$13:$C$33,2,FALSE)/12*1000*Study_MW,0)</f>
        <v>0</v>
      </c>
      <c r="E66" s="64">
        <f t="shared" si="21"/>
        <v>0</v>
      </c>
      <c r="F66" s="49">
        <f>INDEX([8]Delta!$F$1:$EE$997,$L$14,$I66)</f>
        <v>0</v>
      </c>
      <c r="G66" s="68" t="e">
        <f t="shared" si="16"/>
        <v>#DIV/0!</v>
      </c>
      <c r="I66" s="69">
        <f t="shared" si="22"/>
        <v>58</v>
      </c>
      <c r="J66" s="66">
        <f t="shared" si="4"/>
        <v>2028</v>
      </c>
      <c r="K66" s="70" t="str">
        <f t="shared" si="23"/>
        <v/>
      </c>
    </row>
    <row r="67" spans="2:11" outlineLevel="1">
      <c r="B67" s="70">
        <f t="shared" si="3"/>
        <v>46935</v>
      </c>
      <c r="C67" s="49">
        <f>IF(F67&lt;&gt;0,-INDEX([8]Delta!$F$1:$EE$997,$L$13,$I67),0)</f>
        <v>0</v>
      </c>
      <c r="D67" s="64">
        <f>IF(F67&lt;&gt;0,VLOOKUP($J67,'Table 1'!$B$13:$C$33,2,FALSE)/12*1000*Study_MW,0)</f>
        <v>0</v>
      </c>
      <c r="E67" s="64">
        <f t="shared" si="21"/>
        <v>0</v>
      </c>
      <c r="F67" s="49">
        <f>INDEX([8]Delta!$F$1:$EE$997,$L$14,$I67)</f>
        <v>0</v>
      </c>
      <c r="G67" s="68" t="e">
        <f t="shared" si="16"/>
        <v>#DIV/0!</v>
      </c>
      <c r="I67" s="69">
        <f t="shared" si="22"/>
        <v>59</v>
      </c>
      <c r="J67" s="66">
        <f t="shared" si="4"/>
        <v>2028</v>
      </c>
      <c r="K67" s="70" t="str">
        <f t="shared" si="23"/>
        <v/>
      </c>
    </row>
    <row r="68" spans="2:11" outlineLevel="1">
      <c r="B68" s="70">
        <f t="shared" si="3"/>
        <v>46966</v>
      </c>
      <c r="C68" s="49">
        <f>IF(F68&lt;&gt;0,-INDEX([8]Delta!$F$1:$EE$997,$L$13,$I68),0)</f>
        <v>0</v>
      </c>
      <c r="D68" s="64">
        <f>IF(F68&lt;&gt;0,VLOOKUP($J68,'Table 1'!$B$13:$C$33,2,FALSE)/12*1000*Study_MW,0)</f>
        <v>0</v>
      </c>
      <c r="E68" s="64">
        <f t="shared" si="21"/>
        <v>0</v>
      </c>
      <c r="F68" s="49">
        <f>INDEX([8]Delta!$F$1:$EE$997,$L$14,$I68)</f>
        <v>0</v>
      </c>
      <c r="G68" s="68" t="e">
        <f t="shared" si="16"/>
        <v>#DIV/0!</v>
      </c>
      <c r="I68" s="69">
        <f t="shared" si="22"/>
        <v>60</v>
      </c>
      <c r="J68" s="66">
        <f t="shared" si="4"/>
        <v>2028</v>
      </c>
      <c r="K68" s="70" t="str">
        <f t="shared" si="23"/>
        <v/>
      </c>
    </row>
    <row r="69" spans="2:11" outlineLevel="1">
      <c r="B69" s="70">
        <f t="shared" si="3"/>
        <v>46997</v>
      </c>
      <c r="C69" s="49">
        <f>IF(F69&lt;&gt;0,-INDEX([8]Delta!$F$1:$EE$997,$L$13,$I69),0)</f>
        <v>0</v>
      </c>
      <c r="D69" s="64">
        <f>IF(F69&lt;&gt;0,VLOOKUP($J69,'Table 1'!$B$13:$C$33,2,FALSE)/12*1000*Study_MW,0)</f>
        <v>0</v>
      </c>
      <c r="E69" s="64">
        <f t="shared" si="21"/>
        <v>0</v>
      </c>
      <c r="F69" s="49">
        <f>INDEX([8]Delta!$F$1:$EE$997,$L$14,$I69)</f>
        <v>0</v>
      </c>
      <c r="G69" s="68" t="e">
        <f t="shared" si="16"/>
        <v>#DIV/0!</v>
      </c>
      <c r="I69" s="69">
        <f t="shared" si="22"/>
        <v>61</v>
      </c>
      <c r="J69" s="66">
        <f t="shared" si="4"/>
        <v>2028</v>
      </c>
      <c r="K69" s="70" t="str">
        <f t="shared" si="23"/>
        <v/>
      </c>
    </row>
    <row r="70" spans="2:11" outlineLevel="1">
      <c r="B70" s="70">
        <f t="shared" si="3"/>
        <v>47027</v>
      </c>
      <c r="C70" s="49">
        <f>IF(F70&lt;&gt;0,-INDEX([8]Delta!$F$1:$EE$997,$L$13,$I70),0)</f>
        <v>0</v>
      </c>
      <c r="D70" s="64">
        <f>IF(F70&lt;&gt;0,VLOOKUP($J70,'Table 1'!$B$13:$C$33,2,FALSE)/12*1000*Study_MW,0)</f>
        <v>0</v>
      </c>
      <c r="E70" s="64">
        <f t="shared" si="21"/>
        <v>0</v>
      </c>
      <c r="F70" s="49">
        <f>INDEX([8]Delta!$F$1:$EE$997,$L$14,$I70)</f>
        <v>0</v>
      </c>
      <c r="G70" s="68" t="e">
        <f t="shared" si="16"/>
        <v>#DIV/0!</v>
      </c>
      <c r="I70" s="69">
        <f t="shared" si="22"/>
        <v>62</v>
      </c>
      <c r="J70" s="66">
        <f t="shared" si="4"/>
        <v>2028</v>
      </c>
      <c r="K70" s="70" t="str">
        <f t="shared" si="23"/>
        <v/>
      </c>
    </row>
    <row r="71" spans="2:11" outlineLevel="1">
      <c r="B71" s="70">
        <f t="shared" si="3"/>
        <v>47058</v>
      </c>
      <c r="C71" s="49">
        <f>IF(F71&lt;&gt;0,-INDEX([8]Delta!$F$1:$EE$997,$L$13,$I71),0)</f>
        <v>0</v>
      </c>
      <c r="D71" s="64">
        <f>IF(F71&lt;&gt;0,VLOOKUP($J71,'Table 1'!$B$13:$C$33,2,FALSE)/12*1000*Study_MW,0)</f>
        <v>0</v>
      </c>
      <c r="E71" s="64">
        <f t="shared" si="21"/>
        <v>0</v>
      </c>
      <c r="F71" s="49">
        <f>INDEX([8]Delta!$F$1:$EE$997,$L$14,$I71)</f>
        <v>0</v>
      </c>
      <c r="G71" s="68" t="e">
        <f t="shared" si="16"/>
        <v>#DIV/0!</v>
      </c>
      <c r="I71" s="69">
        <f t="shared" si="22"/>
        <v>63</v>
      </c>
      <c r="J71" s="66">
        <f t="shared" si="4"/>
        <v>2028</v>
      </c>
      <c r="K71" s="70" t="str">
        <f t="shared" si="23"/>
        <v/>
      </c>
    </row>
    <row r="72" spans="2:11" outlineLevel="1">
      <c r="B72" s="74">
        <f t="shared" si="3"/>
        <v>47088</v>
      </c>
      <c r="C72" s="71">
        <f>IF(F72&lt;&gt;0,-INDEX([8]Delta!$F$1:$EE$997,$L$13,$I72),0)</f>
        <v>0</v>
      </c>
      <c r="D72" s="72">
        <f>IF(F72&lt;&gt;0,VLOOKUP($J72,'Table 1'!$B$13:$C$33,2,FALSE)/12*1000*Study_MW,0)</f>
        <v>0</v>
      </c>
      <c r="E72" s="72">
        <f t="shared" si="21"/>
        <v>0</v>
      </c>
      <c r="F72" s="71">
        <f>INDEX([8]Delta!$F$1:$EE$997,$L$14,$I72)</f>
        <v>0</v>
      </c>
      <c r="G72" s="73" t="e">
        <f t="shared" si="16"/>
        <v>#DIV/0!</v>
      </c>
      <c r="I72" s="57">
        <f t="shared" si="22"/>
        <v>64</v>
      </c>
      <c r="J72" s="66">
        <f t="shared" si="4"/>
        <v>2028</v>
      </c>
      <c r="K72" s="74" t="str">
        <f t="shared" si="23"/>
        <v/>
      </c>
    </row>
    <row r="73" spans="2:11" outlineLevel="1">
      <c r="B73" s="67">
        <f t="shared" si="3"/>
        <v>47119</v>
      </c>
      <c r="C73" s="62">
        <f>IF(F73&lt;&gt;0,-INDEX([8]Delta!$F$1:$EE$997,$L$13,$I73),0)</f>
        <v>0</v>
      </c>
      <c r="D73" s="63">
        <f>IF(F73&lt;&gt;0,VLOOKUP($J73,'Table 1'!$B$13:$C$33,2,FALSE)/12*1000*Study_MW,0)</f>
        <v>0</v>
      </c>
      <c r="E73" s="63">
        <f t="shared" si="21"/>
        <v>0</v>
      </c>
      <c r="F73" s="62">
        <f>INDEX([8]Delta!$F$1:$EE$997,$L$14,$I73)</f>
        <v>0</v>
      </c>
      <c r="G73" s="65" t="e">
        <f t="shared" si="16"/>
        <v>#DIV/0!</v>
      </c>
      <c r="I73" s="53">
        <f>I61+13</f>
        <v>66</v>
      </c>
      <c r="J73" s="66">
        <f t="shared" si="4"/>
        <v>2029</v>
      </c>
      <c r="K73" s="67" t="str">
        <f t="shared" si="23"/>
        <v/>
      </c>
    </row>
    <row r="74" spans="2:11" outlineLevel="1">
      <c r="B74" s="70">
        <f t="shared" si="3"/>
        <v>47150</v>
      </c>
      <c r="C74" s="49">
        <f>IF(F74&lt;&gt;0,-INDEX([8]Delta!$F$1:$EE$997,$L$13,$I74),0)</f>
        <v>0</v>
      </c>
      <c r="D74" s="64">
        <f>IF(F74&lt;&gt;0,VLOOKUP($J74,'Table 1'!$B$13:$C$33,2,FALSE)/12*1000*Study_MW,0)</f>
        <v>0</v>
      </c>
      <c r="E74" s="64">
        <f t="shared" si="21"/>
        <v>0</v>
      </c>
      <c r="F74" s="49">
        <f>INDEX([8]Delta!$F$1:$EE$997,$L$14,$I74)</f>
        <v>0</v>
      </c>
      <c r="G74" s="68" t="e">
        <f t="shared" si="16"/>
        <v>#DIV/0!</v>
      </c>
      <c r="I74" s="69">
        <f t="shared" si="22"/>
        <v>67</v>
      </c>
      <c r="J74" s="66">
        <f t="shared" si="4"/>
        <v>2029</v>
      </c>
      <c r="K74" s="70" t="str">
        <f t="shared" si="23"/>
        <v/>
      </c>
    </row>
    <row r="75" spans="2:11" outlineLevel="1">
      <c r="B75" s="70">
        <f t="shared" si="3"/>
        <v>47178</v>
      </c>
      <c r="C75" s="49">
        <f>IF(F75&lt;&gt;0,-INDEX([8]Delta!$F$1:$EE$997,$L$13,$I75),0)</f>
        <v>0</v>
      </c>
      <c r="D75" s="64">
        <f>IF(F75&lt;&gt;0,VLOOKUP($J75,'Table 1'!$B$13:$C$33,2,FALSE)/12*1000*Study_MW,0)</f>
        <v>0</v>
      </c>
      <c r="E75" s="64">
        <f t="shared" si="21"/>
        <v>0</v>
      </c>
      <c r="F75" s="49">
        <f>INDEX([8]Delta!$F$1:$EE$997,$L$14,$I75)</f>
        <v>0</v>
      </c>
      <c r="G75" s="68" t="e">
        <f t="shared" si="16"/>
        <v>#DIV/0!</v>
      </c>
      <c r="I75" s="69">
        <f t="shared" si="22"/>
        <v>68</v>
      </c>
      <c r="J75" s="66">
        <f t="shared" si="4"/>
        <v>2029</v>
      </c>
      <c r="K75" s="70" t="str">
        <f t="shared" si="23"/>
        <v/>
      </c>
    </row>
    <row r="76" spans="2:11" outlineLevel="1">
      <c r="B76" s="70">
        <f t="shared" si="3"/>
        <v>47209</v>
      </c>
      <c r="C76" s="49">
        <f>IF(F76&lt;&gt;0,-INDEX([8]Delta!$F$1:$EE$997,$L$13,$I76),0)</f>
        <v>0</v>
      </c>
      <c r="D76" s="64">
        <f>IF(F76&lt;&gt;0,VLOOKUP($J76,'Table 1'!$B$13:$C$33,2,FALSE)/12*1000*Study_MW,0)</f>
        <v>0</v>
      </c>
      <c r="E76" s="64">
        <f t="shared" si="21"/>
        <v>0</v>
      </c>
      <c r="F76" s="49">
        <f>INDEX([8]Delta!$F$1:$EE$997,$L$14,$I76)</f>
        <v>0</v>
      </c>
      <c r="G76" s="68" t="e">
        <f t="shared" si="16"/>
        <v>#DIV/0!</v>
      </c>
      <c r="I76" s="69">
        <f t="shared" si="22"/>
        <v>69</v>
      </c>
      <c r="J76" s="66">
        <f t="shared" si="4"/>
        <v>2029</v>
      </c>
      <c r="K76" s="70" t="str">
        <f t="shared" si="23"/>
        <v/>
      </c>
    </row>
    <row r="77" spans="2:11" outlineLevel="1">
      <c r="B77" s="70">
        <f t="shared" si="3"/>
        <v>47239</v>
      </c>
      <c r="C77" s="49">
        <f>IF(F77&lt;&gt;0,-INDEX([8]Delta!$F$1:$EE$997,$L$13,$I77),0)</f>
        <v>0</v>
      </c>
      <c r="D77" s="64">
        <f>IF(F77&lt;&gt;0,VLOOKUP($J77,'Table 1'!$B$13:$C$33,2,FALSE)/12*1000*Study_MW,0)</f>
        <v>0</v>
      </c>
      <c r="E77" s="64">
        <f t="shared" si="21"/>
        <v>0</v>
      </c>
      <c r="F77" s="49">
        <f>INDEX([8]Delta!$F$1:$EE$997,$L$14,$I77)</f>
        <v>0</v>
      </c>
      <c r="G77" s="68" t="e">
        <f t="shared" si="16"/>
        <v>#DIV/0!</v>
      </c>
      <c r="I77" s="69">
        <f t="shared" si="22"/>
        <v>70</v>
      </c>
      <c r="J77" s="66">
        <f t="shared" si="4"/>
        <v>2029</v>
      </c>
      <c r="K77" s="70" t="str">
        <f t="shared" si="23"/>
        <v/>
      </c>
    </row>
    <row r="78" spans="2:11" outlineLevel="1">
      <c r="B78" s="70">
        <f t="shared" ref="B78:B141" si="43">EDATE(B77,1)</f>
        <v>47270</v>
      </c>
      <c r="C78" s="49">
        <f>IF(F78&lt;&gt;0,-INDEX([8]Delta!$F$1:$EE$997,$L$13,$I78),0)</f>
        <v>0</v>
      </c>
      <c r="D78" s="64">
        <f>IF(F78&lt;&gt;0,VLOOKUP($J78,'Table 1'!$B$13:$C$33,2,FALSE)/12*1000*Study_MW,0)</f>
        <v>0</v>
      </c>
      <c r="E78" s="64">
        <f t="shared" ref="E78:E141" si="44">C78+D78</f>
        <v>0</v>
      </c>
      <c r="F78" s="49">
        <f>INDEX([8]Delta!$F$1:$EE$997,$L$14,$I78)</f>
        <v>0</v>
      </c>
      <c r="G78" s="68" t="e">
        <f t="shared" ref="G78:G141" si="45">IF(ISNUMBER($F78),E78/$F78,"")</f>
        <v>#DIV/0!</v>
      </c>
      <c r="I78" s="69">
        <f t="shared" si="22"/>
        <v>71</v>
      </c>
      <c r="J78" s="66">
        <f t="shared" ref="J78:J141" si="46">YEAR(B78)</f>
        <v>2029</v>
      </c>
      <c r="K78" s="70" t="str">
        <f t="shared" si="23"/>
        <v/>
      </c>
    </row>
    <row r="79" spans="2:11" outlineLevel="1">
      <c r="B79" s="70">
        <f t="shared" si="43"/>
        <v>47300</v>
      </c>
      <c r="C79" s="49">
        <f>IF(F79&lt;&gt;0,-INDEX([8]Delta!$F$1:$EE$997,$L$13,$I79),0)</f>
        <v>0</v>
      </c>
      <c r="D79" s="64">
        <f>IF(F79&lt;&gt;0,VLOOKUP($J79,'Table 1'!$B$13:$C$33,2,FALSE)/12*1000*Study_MW,0)</f>
        <v>0</v>
      </c>
      <c r="E79" s="64">
        <f t="shared" si="44"/>
        <v>0</v>
      </c>
      <c r="F79" s="49">
        <f>INDEX([8]Delta!$F$1:$EE$997,$L$14,$I79)</f>
        <v>0</v>
      </c>
      <c r="G79" s="68" t="e">
        <f t="shared" si="45"/>
        <v>#DIV/0!</v>
      </c>
      <c r="I79" s="69">
        <f t="shared" si="22"/>
        <v>72</v>
      </c>
      <c r="J79" s="66">
        <f t="shared" si="46"/>
        <v>2029</v>
      </c>
      <c r="K79" s="70" t="str">
        <f t="shared" si="23"/>
        <v/>
      </c>
    </row>
    <row r="80" spans="2:11" outlineLevel="1">
      <c r="B80" s="70">
        <f t="shared" si="43"/>
        <v>47331</v>
      </c>
      <c r="C80" s="49">
        <f>IF(F80&lt;&gt;0,-INDEX([8]Delta!$F$1:$EE$997,$L$13,$I80),0)</f>
        <v>0</v>
      </c>
      <c r="D80" s="64">
        <f>IF(F80&lt;&gt;0,VLOOKUP($J80,'Table 1'!$B$13:$C$33,2,FALSE)/12*1000*Study_MW,0)</f>
        <v>0</v>
      </c>
      <c r="E80" s="64">
        <f t="shared" si="44"/>
        <v>0</v>
      </c>
      <c r="F80" s="49">
        <f>INDEX([8]Delta!$F$1:$EE$997,$L$14,$I80)</f>
        <v>0</v>
      </c>
      <c r="G80" s="68" t="e">
        <f t="shared" si="45"/>
        <v>#DIV/0!</v>
      </c>
      <c r="I80" s="69">
        <f t="shared" si="22"/>
        <v>73</v>
      </c>
      <c r="J80" s="66">
        <f t="shared" si="46"/>
        <v>2029</v>
      </c>
      <c r="K80" s="70" t="str">
        <f t="shared" si="23"/>
        <v/>
      </c>
    </row>
    <row r="81" spans="2:11" outlineLevel="1">
      <c r="B81" s="70">
        <f t="shared" si="43"/>
        <v>47362</v>
      </c>
      <c r="C81" s="49">
        <f>IF(F81&lt;&gt;0,-INDEX([8]Delta!$F$1:$EE$997,$L$13,$I81),0)</f>
        <v>0</v>
      </c>
      <c r="D81" s="64">
        <f>IF(F81&lt;&gt;0,VLOOKUP($J81,'Table 1'!$B$13:$C$33,2,FALSE)/12*1000*Study_MW,0)</f>
        <v>0</v>
      </c>
      <c r="E81" s="64">
        <f t="shared" si="44"/>
        <v>0</v>
      </c>
      <c r="F81" s="49">
        <f>INDEX([8]Delta!$F$1:$EE$997,$L$14,$I81)</f>
        <v>0</v>
      </c>
      <c r="G81" s="68" t="e">
        <f t="shared" si="45"/>
        <v>#DIV/0!</v>
      </c>
      <c r="I81" s="69">
        <f t="shared" si="22"/>
        <v>74</v>
      </c>
      <c r="J81" s="66">
        <f t="shared" si="46"/>
        <v>2029</v>
      </c>
      <c r="K81" s="70" t="str">
        <f t="shared" si="23"/>
        <v/>
      </c>
    </row>
    <row r="82" spans="2:11" outlineLevel="1">
      <c r="B82" s="70">
        <f t="shared" si="43"/>
        <v>47392</v>
      </c>
      <c r="C82" s="49">
        <f>IF(F82&lt;&gt;0,-INDEX([8]Delta!$F$1:$EE$997,$L$13,$I82),0)</f>
        <v>0</v>
      </c>
      <c r="D82" s="64">
        <f>IF(F82&lt;&gt;0,VLOOKUP($J82,'Table 1'!$B$13:$C$33,2,FALSE)/12*1000*Study_MW,0)</f>
        <v>0</v>
      </c>
      <c r="E82" s="64">
        <f t="shared" si="44"/>
        <v>0</v>
      </c>
      <c r="F82" s="49">
        <f>INDEX([8]Delta!$F$1:$EE$997,$L$14,$I82)</f>
        <v>0</v>
      </c>
      <c r="G82" s="68" t="e">
        <f t="shared" si="45"/>
        <v>#DIV/0!</v>
      </c>
      <c r="I82" s="69">
        <f t="shared" si="22"/>
        <v>75</v>
      </c>
      <c r="J82" s="66">
        <f t="shared" si="46"/>
        <v>2029</v>
      </c>
      <c r="K82" s="70" t="str">
        <f t="shared" si="23"/>
        <v/>
      </c>
    </row>
    <row r="83" spans="2:11" outlineLevel="1">
      <c r="B83" s="70">
        <f t="shared" si="43"/>
        <v>47423</v>
      </c>
      <c r="C83" s="49">
        <f>IF(F83&lt;&gt;0,-INDEX([8]Delta!$F$1:$EE$997,$L$13,$I83),0)</f>
        <v>0</v>
      </c>
      <c r="D83" s="64">
        <f>IF(F83&lt;&gt;0,VLOOKUP($J83,'Table 1'!$B$13:$C$33,2,FALSE)/12*1000*Study_MW,0)</f>
        <v>0</v>
      </c>
      <c r="E83" s="64">
        <f t="shared" si="44"/>
        <v>0</v>
      </c>
      <c r="F83" s="49">
        <f>INDEX([8]Delta!$F$1:$EE$997,$L$14,$I83)</f>
        <v>0</v>
      </c>
      <c r="G83" s="68" t="e">
        <f t="shared" si="45"/>
        <v>#DIV/0!</v>
      </c>
      <c r="I83" s="69">
        <f t="shared" si="22"/>
        <v>76</v>
      </c>
      <c r="J83" s="66">
        <f t="shared" si="46"/>
        <v>2029</v>
      </c>
      <c r="K83" s="70" t="str">
        <f t="shared" si="23"/>
        <v/>
      </c>
    </row>
    <row r="84" spans="2:11" outlineLevel="1">
      <c r="B84" s="74">
        <f t="shared" si="43"/>
        <v>47453</v>
      </c>
      <c r="C84" s="71">
        <f>IF(F84&lt;&gt;0,-INDEX([8]Delta!$F$1:$EE$997,$L$13,$I84),0)</f>
        <v>0</v>
      </c>
      <c r="D84" s="72">
        <f>IF(F84&lt;&gt;0,VLOOKUP($J84,'Table 1'!$B$13:$C$33,2,FALSE)/12*1000*Study_MW,0)</f>
        <v>0</v>
      </c>
      <c r="E84" s="72">
        <f t="shared" si="44"/>
        <v>0</v>
      </c>
      <c r="F84" s="71">
        <f>INDEX([8]Delta!$F$1:$EE$997,$L$14,$I84)</f>
        <v>0</v>
      </c>
      <c r="G84" s="73" t="e">
        <f t="shared" si="45"/>
        <v>#DIV/0!</v>
      </c>
      <c r="I84" s="57">
        <f t="shared" si="22"/>
        <v>77</v>
      </c>
      <c r="J84" s="66">
        <f t="shared" si="46"/>
        <v>2029</v>
      </c>
      <c r="K84" s="74" t="str">
        <f t="shared" si="23"/>
        <v/>
      </c>
    </row>
    <row r="85" spans="2:11" outlineLevel="1">
      <c r="B85" s="67">
        <f t="shared" si="43"/>
        <v>47484</v>
      </c>
      <c r="C85" s="62">
        <f>IF(F85&lt;&gt;0,-INDEX([8]Delta!$F$1:$EE$997,$L$13,$I85),0)</f>
        <v>0</v>
      </c>
      <c r="D85" s="63">
        <f>IF(F85&lt;&gt;0,VLOOKUP($J85,'Table 1'!$B$13:$C$33,2,FALSE)/12*1000*Study_MW,0)</f>
        <v>0</v>
      </c>
      <c r="E85" s="63">
        <f t="shared" si="44"/>
        <v>0</v>
      </c>
      <c r="F85" s="62">
        <f>INDEX([8]Delta!$F$1:$EE$997,$L$14,$I85)</f>
        <v>0</v>
      </c>
      <c r="G85" s="65" t="e">
        <f t="shared" si="45"/>
        <v>#DIV/0!</v>
      </c>
      <c r="I85" s="53">
        <f>I73+13</f>
        <v>79</v>
      </c>
      <c r="J85" s="66">
        <f t="shared" si="46"/>
        <v>2030</v>
      </c>
      <c r="K85" s="67" t="str">
        <f t="shared" si="23"/>
        <v/>
      </c>
    </row>
    <row r="86" spans="2:11" outlineLevel="1">
      <c r="B86" s="70">
        <f t="shared" si="43"/>
        <v>47515</v>
      </c>
      <c r="C86" s="49">
        <f>IF(F86&lt;&gt;0,-INDEX([8]Delta!$F$1:$EE$997,$L$13,$I86),0)</f>
        <v>0</v>
      </c>
      <c r="D86" s="64">
        <f>IF(F86&lt;&gt;0,VLOOKUP($J86,'Table 1'!$B$13:$C$33,2,FALSE)/12*1000*Study_MW,0)</f>
        <v>0</v>
      </c>
      <c r="E86" s="64">
        <f t="shared" si="44"/>
        <v>0</v>
      </c>
      <c r="F86" s="49">
        <f>INDEX([8]Delta!$F$1:$EE$997,$L$14,$I86)</f>
        <v>0</v>
      </c>
      <c r="G86" s="68" t="e">
        <f t="shared" si="45"/>
        <v>#DIV/0!</v>
      </c>
      <c r="I86" s="69">
        <f t="shared" si="22"/>
        <v>80</v>
      </c>
      <c r="J86" s="66">
        <f t="shared" si="46"/>
        <v>2030</v>
      </c>
      <c r="K86" s="70" t="str">
        <f t="shared" si="23"/>
        <v/>
      </c>
    </row>
    <row r="87" spans="2:11" outlineLevel="1">
      <c r="B87" s="70">
        <f t="shared" si="43"/>
        <v>47543</v>
      </c>
      <c r="C87" s="49">
        <f>IF(F87&lt;&gt;0,-INDEX([8]Delta!$F$1:$EE$997,$L$13,$I87),0)</f>
        <v>0</v>
      </c>
      <c r="D87" s="64">
        <f>IF(F87&lt;&gt;0,VLOOKUP($J87,'Table 1'!$B$13:$C$33,2,FALSE)/12*1000*Study_MW,0)</f>
        <v>0</v>
      </c>
      <c r="E87" s="64">
        <f t="shared" si="44"/>
        <v>0</v>
      </c>
      <c r="F87" s="49">
        <f>INDEX([8]Delta!$F$1:$EE$997,$L$14,$I87)</f>
        <v>0</v>
      </c>
      <c r="G87" s="68" t="e">
        <f t="shared" si="45"/>
        <v>#DIV/0!</v>
      </c>
      <c r="I87" s="69">
        <f t="shared" si="22"/>
        <v>81</v>
      </c>
      <c r="J87" s="66">
        <f t="shared" si="46"/>
        <v>2030</v>
      </c>
      <c r="K87" s="70" t="str">
        <f t="shared" si="23"/>
        <v/>
      </c>
    </row>
    <row r="88" spans="2:11" outlineLevel="1">
      <c r="B88" s="70">
        <f t="shared" si="43"/>
        <v>47574</v>
      </c>
      <c r="C88" s="49">
        <f>IF(F88&lt;&gt;0,-INDEX([8]Delta!$F$1:$EE$997,$L$13,$I88),0)</f>
        <v>0</v>
      </c>
      <c r="D88" s="64">
        <f>IF(F88&lt;&gt;0,VLOOKUP($J88,'Table 1'!$B$13:$C$33,2,FALSE)/12*1000*Study_MW,0)</f>
        <v>0</v>
      </c>
      <c r="E88" s="64">
        <f t="shared" si="44"/>
        <v>0</v>
      </c>
      <c r="F88" s="49">
        <f>INDEX([8]Delta!$F$1:$EE$997,$L$14,$I88)</f>
        <v>0</v>
      </c>
      <c r="G88" s="68" t="e">
        <f t="shared" si="45"/>
        <v>#DIV/0!</v>
      </c>
      <c r="I88" s="69">
        <f t="shared" si="22"/>
        <v>82</v>
      </c>
      <c r="J88" s="66">
        <f t="shared" si="46"/>
        <v>2030</v>
      </c>
      <c r="K88" s="70" t="str">
        <f t="shared" si="23"/>
        <v/>
      </c>
    </row>
    <row r="89" spans="2:11" outlineLevel="1">
      <c r="B89" s="70">
        <f t="shared" si="43"/>
        <v>47604</v>
      </c>
      <c r="C89" s="49">
        <f>IF(F89&lt;&gt;0,-INDEX([8]Delta!$F$1:$EE$997,$L$13,$I89),0)</f>
        <v>0</v>
      </c>
      <c r="D89" s="64">
        <f>IF(F89&lt;&gt;0,VLOOKUP($J89,'Table 1'!$B$13:$C$33,2,FALSE)/12*1000*Study_MW,0)</f>
        <v>0</v>
      </c>
      <c r="E89" s="64">
        <f t="shared" si="44"/>
        <v>0</v>
      </c>
      <c r="F89" s="49">
        <f>INDEX([8]Delta!$F$1:$EE$997,$L$14,$I89)</f>
        <v>0</v>
      </c>
      <c r="G89" s="68" t="e">
        <f t="shared" si="45"/>
        <v>#DIV/0!</v>
      </c>
      <c r="I89" s="69">
        <f t="shared" si="22"/>
        <v>83</v>
      </c>
      <c r="J89" s="66">
        <f t="shared" si="46"/>
        <v>2030</v>
      </c>
      <c r="K89" s="70" t="str">
        <f t="shared" si="23"/>
        <v/>
      </c>
    </row>
    <row r="90" spans="2:11" outlineLevel="1">
      <c r="B90" s="70">
        <f t="shared" si="43"/>
        <v>47635</v>
      </c>
      <c r="C90" s="49">
        <f>IF(F90&lt;&gt;0,-INDEX([8]Delta!$F$1:$EE$997,$L$13,$I90),0)</f>
        <v>0</v>
      </c>
      <c r="D90" s="64">
        <f>IF(F90&lt;&gt;0,VLOOKUP($J90,'Table 1'!$B$13:$C$33,2,FALSE)/12*1000*Study_MW,0)</f>
        <v>0</v>
      </c>
      <c r="E90" s="64">
        <f t="shared" si="44"/>
        <v>0</v>
      </c>
      <c r="F90" s="49">
        <f>INDEX([8]Delta!$F$1:$EE$997,$L$14,$I90)</f>
        <v>0</v>
      </c>
      <c r="G90" s="68" t="e">
        <f t="shared" si="45"/>
        <v>#DIV/0!</v>
      </c>
      <c r="I90" s="69">
        <f t="shared" ref="I90:I96" si="47">I78+13</f>
        <v>84</v>
      </c>
      <c r="J90" s="66">
        <f t="shared" si="46"/>
        <v>2030</v>
      </c>
      <c r="K90" s="70" t="str">
        <f t="shared" ref="K90:K153" si="48">IF(ISNUMBER(F90),IF(F90&lt;&gt;0,B90,""),"")</f>
        <v/>
      </c>
    </row>
    <row r="91" spans="2:11" outlineLevel="1">
      <c r="B91" s="70">
        <f t="shared" si="43"/>
        <v>47665</v>
      </c>
      <c r="C91" s="49">
        <f>IF(F91&lt;&gt;0,-INDEX([8]Delta!$F$1:$EE$997,$L$13,$I91),0)</f>
        <v>0</v>
      </c>
      <c r="D91" s="64">
        <f>IF(F91&lt;&gt;0,VLOOKUP($J91,'Table 1'!$B$13:$C$33,2,FALSE)/12*1000*Study_MW,0)</f>
        <v>0</v>
      </c>
      <c r="E91" s="64">
        <f t="shared" si="44"/>
        <v>0</v>
      </c>
      <c r="F91" s="49">
        <f>INDEX([8]Delta!$F$1:$EE$997,$L$14,$I91)</f>
        <v>0</v>
      </c>
      <c r="G91" s="68" t="e">
        <f t="shared" si="45"/>
        <v>#DIV/0!</v>
      </c>
      <c r="I91" s="69">
        <f t="shared" si="47"/>
        <v>85</v>
      </c>
      <c r="J91" s="66">
        <f t="shared" si="46"/>
        <v>2030</v>
      </c>
      <c r="K91" s="70" t="str">
        <f t="shared" si="48"/>
        <v/>
      </c>
    </row>
    <row r="92" spans="2:11" outlineLevel="1">
      <c r="B92" s="70">
        <f t="shared" si="43"/>
        <v>47696</v>
      </c>
      <c r="C92" s="49">
        <f>IF(F92&lt;&gt;0,-INDEX([8]Delta!$F$1:$EE$997,$L$13,$I92),0)</f>
        <v>0</v>
      </c>
      <c r="D92" s="64">
        <f>IF(F92&lt;&gt;0,VLOOKUP($J92,'Table 1'!$B$13:$C$33,2,FALSE)/12*1000*Study_MW,0)</f>
        <v>0</v>
      </c>
      <c r="E92" s="64">
        <f t="shared" si="44"/>
        <v>0</v>
      </c>
      <c r="F92" s="49">
        <f>INDEX([8]Delta!$F$1:$EE$997,$L$14,$I92)</f>
        <v>0</v>
      </c>
      <c r="G92" s="68" t="e">
        <f t="shared" si="45"/>
        <v>#DIV/0!</v>
      </c>
      <c r="I92" s="69">
        <f t="shared" si="47"/>
        <v>86</v>
      </c>
      <c r="J92" s="66">
        <f t="shared" si="46"/>
        <v>2030</v>
      </c>
      <c r="K92" s="70" t="str">
        <f t="shared" si="48"/>
        <v/>
      </c>
    </row>
    <row r="93" spans="2:11" outlineLevel="1">
      <c r="B93" s="70">
        <f t="shared" si="43"/>
        <v>47727</v>
      </c>
      <c r="C93" s="49">
        <f>IF(F93&lt;&gt;0,-INDEX([8]Delta!$F$1:$EE$997,$L$13,$I93),0)</f>
        <v>0</v>
      </c>
      <c r="D93" s="64">
        <f>IF(F93&lt;&gt;0,VLOOKUP($J93,'Table 1'!$B$13:$C$33,2,FALSE)/12*1000*Study_MW,0)</f>
        <v>0</v>
      </c>
      <c r="E93" s="64">
        <f t="shared" si="44"/>
        <v>0</v>
      </c>
      <c r="F93" s="49">
        <f>INDEX([8]Delta!$F$1:$EE$997,$L$14,$I93)</f>
        <v>0</v>
      </c>
      <c r="G93" s="68" t="e">
        <f t="shared" si="45"/>
        <v>#DIV/0!</v>
      </c>
      <c r="I93" s="69">
        <f t="shared" si="47"/>
        <v>87</v>
      </c>
      <c r="J93" s="66">
        <f t="shared" si="46"/>
        <v>2030</v>
      </c>
      <c r="K93" s="70" t="str">
        <f t="shared" si="48"/>
        <v/>
      </c>
    </row>
    <row r="94" spans="2:11" outlineLevel="1">
      <c r="B94" s="70">
        <f t="shared" si="43"/>
        <v>47757</v>
      </c>
      <c r="C94" s="49">
        <f>IF(F94&lt;&gt;0,-INDEX([8]Delta!$F$1:$EE$997,$L$13,$I94),0)</f>
        <v>0</v>
      </c>
      <c r="D94" s="64">
        <f>IF(F94&lt;&gt;0,VLOOKUP($J94,'Table 1'!$B$13:$C$33,2,FALSE)/12*1000*Study_MW,0)</f>
        <v>0</v>
      </c>
      <c r="E94" s="64">
        <f t="shared" si="44"/>
        <v>0</v>
      </c>
      <c r="F94" s="49">
        <f>INDEX([8]Delta!$F$1:$EE$997,$L$14,$I94)</f>
        <v>0</v>
      </c>
      <c r="G94" s="68" t="e">
        <f t="shared" si="45"/>
        <v>#DIV/0!</v>
      </c>
      <c r="I94" s="69">
        <f t="shared" si="47"/>
        <v>88</v>
      </c>
      <c r="J94" s="66">
        <f t="shared" si="46"/>
        <v>2030</v>
      </c>
      <c r="K94" s="70" t="str">
        <f t="shared" si="48"/>
        <v/>
      </c>
    </row>
    <row r="95" spans="2:11" outlineLevel="1">
      <c r="B95" s="70">
        <f t="shared" si="43"/>
        <v>47788</v>
      </c>
      <c r="C95" s="49">
        <f>IF(F95&lt;&gt;0,-INDEX([8]Delta!$F$1:$EE$997,$L$13,$I95),0)</f>
        <v>0</v>
      </c>
      <c r="D95" s="64">
        <f>IF(F95&lt;&gt;0,VLOOKUP($J95,'Table 1'!$B$13:$C$33,2,FALSE)/12*1000*Study_MW,0)</f>
        <v>0</v>
      </c>
      <c r="E95" s="64">
        <f t="shared" si="44"/>
        <v>0</v>
      </c>
      <c r="F95" s="49">
        <f>INDEX([8]Delta!$F$1:$EE$997,$L$14,$I95)</f>
        <v>0</v>
      </c>
      <c r="G95" s="68" t="e">
        <f t="shared" si="45"/>
        <v>#DIV/0!</v>
      </c>
      <c r="I95" s="69">
        <f t="shared" si="47"/>
        <v>89</v>
      </c>
      <c r="J95" s="66">
        <f t="shared" si="46"/>
        <v>2030</v>
      </c>
      <c r="K95" s="70" t="str">
        <f t="shared" si="48"/>
        <v/>
      </c>
    </row>
    <row r="96" spans="2:11" outlineLevel="1">
      <c r="B96" s="74">
        <f t="shared" si="43"/>
        <v>47818</v>
      </c>
      <c r="C96" s="71">
        <f>IF(F96&lt;&gt;0,-INDEX([8]Delta!$F$1:$EE$997,$L$13,$I96),0)</f>
        <v>0</v>
      </c>
      <c r="D96" s="72">
        <f>IF(F96&lt;&gt;0,VLOOKUP($J96,'Table 1'!$B$13:$C$33,2,FALSE)/12*1000*Study_MW,0)</f>
        <v>0</v>
      </c>
      <c r="E96" s="72">
        <f t="shared" si="44"/>
        <v>0</v>
      </c>
      <c r="F96" s="71">
        <f>INDEX([8]Delta!$F$1:$EE$997,$L$14,$I96)</f>
        <v>0</v>
      </c>
      <c r="G96" s="73" t="e">
        <f t="shared" si="45"/>
        <v>#DIV/0!</v>
      </c>
      <c r="I96" s="57">
        <f t="shared" si="47"/>
        <v>90</v>
      </c>
      <c r="J96" s="66">
        <f t="shared" si="46"/>
        <v>2030</v>
      </c>
      <c r="K96" s="74" t="str">
        <f t="shared" si="48"/>
        <v/>
      </c>
    </row>
    <row r="97" spans="2:11" outlineLevel="1">
      <c r="B97" s="67">
        <f t="shared" si="43"/>
        <v>47849</v>
      </c>
      <c r="C97" s="62">
        <f>IF(F97&lt;&gt;0,-INDEX([8]Delta!$F$1:$EE$997,$L$13,$I97),0)</f>
        <v>0</v>
      </c>
      <c r="D97" s="63">
        <f>IF(F97&lt;&gt;0,VLOOKUP($J97,'Table 1'!$B$13:$C$33,2,FALSE)/12*1000*Study_MW,0)</f>
        <v>0</v>
      </c>
      <c r="E97" s="63">
        <f t="shared" si="44"/>
        <v>0</v>
      </c>
      <c r="F97" s="62">
        <f>INDEX([8]Delta!$F$1:$EE$997,$L$14,$I97)</f>
        <v>0</v>
      </c>
      <c r="G97" s="65" t="e">
        <f t="shared" si="45"/>
        <v>#DIV/0!</v>
      </c>
      <c r="I97" s="53">
        <f>I85+13</f>
        <v>92</v>
      </c>
      <c r="J97" s="66">
        <f t="shared" si="46"/>
        <v>2031</v>
      </c>
      <c r="K97" s="67" t="str">
        <f t="shared" si="48"/>
        <v/>
      </c>
    </row>
    <row r="98" spans="2:11" outlineLevel="1">
      <c r="B98" s="70">
        <f t="shared" si="43"/>
        <v>47880</v>
      </c>
      <c r="C98" s="49">
        <f>IF(F98&lt;&gt;0,-INDEX([8]Delta!$F$1:$EE$997,$L$13,$I98),0)</f>
        <v>0</v>
      </c>
      <c r="D98" s="64">
        <f>IF(F98&lt;&gt;0,VLOOKUP($J98,'Table 1'!$B$13:$C$33,2,FALSE)/12*1000*Study_MW,0)</f>
        <v>0</v>
      </c>
      <c r="E98" s="64">
        <f t="shared" si="44"/>
        <v>0</v>
      </c>
      <c r="F98" s="49">
        <f>INDEX([8]Delta!$F$1:$EE$997,$L$14,$I98)</f>
        <v>0</v>
      </c>
      <c r="G98" s="68" t="e">
        <f t="shared" si="45"/>
        <v>#DIV/0!</v>
      </c>
      <c r="I98" s="69">
        <f t="shared" ref="I98:I120" si="49">I86+13</f>
        <v>93</v>
      </c>
      <c r="J98" s="66">
        <f t="shared" si="46"/>
        <v>2031</v>
      </c>
      <c r="K98" s="70" t="str">
        <f t="shared" si="48"/>
        <v/>
      </c>
    </row>
    <row r="99" spans="2:11" outlineLevel="1">
      <c r="B99" s="70">
        <f t="shared" si="43"/>
        <v>47908</v>
      </c>
      <c r="C99" s="49">
        <f>IF(F99&lt;&gt;0,-INDEX([8]Delta!$F$1:$EE$997,$L$13,$I99),0)</f>
        <v>0</v>
      </c>
      <c r="D99" s="64">
        <f>IF(F99&lt;&gt;0,VLOOKUP($J99,'Table 1'!$B$13:$C$33,2,FALSE)/12*1000*Study_MW,0)</f>
        <v>0</v>
      </c>
      <c r="E99" s="64">
        <f t="shared" si="44"/>
        <v>0</v>
      </c>
      <c r="F99" s="49">
        <f>INDEX([8]Delta!$F$1:$EE$997,$L$14,$I99)</f>
        <v>0</v>
      </c>
      <c r="G99" s="68" t="e">
        <f t="shared" si="45"/>
        <v>#DIV/0!</v>
      </c>
      <c r="I99" s="69">
        <f t="shared" si="49"/>
        <v>94</v>
      </c>
      <c r="J99" s="66">
        <f t="shared" si="46"/>
        <v>2031</v>
      </c>
      <c r="K99" s="70" t="str">
        <f t="shared" si="48"/>
        <v/>
      </c>
    </row>
    <row r="100" spans="2:11" outlineLevel="1">
      <c r="B100" s="70">
        <f t="shared" si="43"/>
        <v>47939</v>
      </c>
      <c r="C100" s="49">
        <f>IF(F100&lt;&gt;0,-INDEX([8]Delta!$F$1:$EE$997,$L$13,$I100),0)</f>
        <v>0</v>
      </c>
      <c r="D100" s="64">
        <f>IF(F100&lt;&gt;0,VLOOKUP($J100,'Table 1'!$B$13:$C$33,2,FALSE)/12*1000*Study_MW,0)</f>
        <v>0</v>
      </c>
      <c r="E100" s="64">
        <f t="shared" si="44"/>
        <v>0</v>
      </c>
      <c r="F100" s="49">
        <f>INDEX([8]Delta!$F$1:$EE$997,$L$14,$I100)</f>
        <v>0</v>
      </c>
      <c r="G100" s="68" t="e">
        <f t="shared" si="45"/>
        <v>#DIV/0!</v>
      </c>
      <c r="I100" s="69">
        <f t="shared" si="49"/>
        <v>95</v>
      </c>
      <c r="J100" s="66">
        <f t="shared" si="46"/>
        <v>2031</v>
      </c>
      <c r="K100" s="70" t="str">
        <f t="shared" si="48"/>
        <v/>
      </c>
    </row>
    <row r="101" spans="2:11" outlineLevel="1">
      <c r="B101" s="70">
        <f t="shared" si="43"/>
        <v>47969</v>
      </c>
      <c r="C101" s="49">
        <f>IF(F101&lt;&gt;0,-INDEX([8]Delta!$F$1:$EE$997,$L$13,$I101),0)</f>
        <v>0</v>
      </c>
      <c r="D101" s="64">
        <f>IF(F101&lt;&gt;0,VLOOKUP($J101,'Table 1'!$B$13:$C$33,2,FALSE)/12*1000*Study_MW,0)</f>
        <v>0</v>
      </c>
      <c r="E101" s="64">
        <f t="shared" si="44"/>
        <v>0</v>
      </c>
      <c r="F101" s="49">
        <f>INDEX([8]Delta!$F$1:$EE$997,$L$14,$I101)</f>
        <v>0</v>
      </c>
      <c r="G101" s="68" t="e">
        <f t="shared" si="45"/>
        <v>#DIV/0!</v>
      </c>
      <c r="I101" s="69">
        <f t="shared" si="49"/>
        <v>96</v>
      </c>
      <c r="J101" s="66">
        <f t="shared" si="46"/>
        <v>2031</v>
      </c>
      <c r="K101" s="70" t="str">
        <f t="shared" si="48"/>
        <v/>
      </c>
    </row>
    <row r="102" spans="2:11" outlineLevel="1">
      <c r="B102" s="70">
        <f t="shared" si="43"/>
        <v>48000</v>
      </c>
      <c r="C102" s="49">
        <f>IF(F102&lt;&gt;0,-INDEX([8]Delta!$F$1:$EE$997,$L$13,$I102),0)</f>
        <v>0</v>
      </c>
      <c r="D102" s="64">
        <f>IF(F102&lt;&gt;0,VLOOKUP($J102,'Table 1'!$B$13:$C$33,2,FALSE)/12*1000*Study_MW,0)</f>
        <v>0</v>
      </c>
      <c r="E102" s="64">
        <f t="shared" si="44"/>
        <v>0</v>
      </c>
      <c r="F102" s="49">
        <f>INDEX([8]Delta!$F$1:$EE$997,$L$14,$I102)</f>
        <v>0</v>
      </c>
      <c r="G102" s="68" t="e">
        <f t="shared" si="45"/>
        <v>#DIV/0!</v>
      </c>
      <c r="I102" s="69">
        <f t="shared" si="49"/>
        <v>97</v>
      </c>
      <c r="J102" s="66">
        <f t="shared" si="46"/>
        <v>2031</v>
      </c>
      <c r="K102" s="70" t="str">
        <f t="shared" si="48"/>
        <v/>
      </c>
    </row>
    <row r="103" spans="2:11" outlineLevel="1">
      <c r="B103" s="70">
        <f t="shared" si="43"/>
        <v>48030</v>
      </c>
      <c r="C103" s="49">
        <f>IF(F103&lt;&gt;0,-INDEX([8]Delta!$F$1:$EE$997,$L$13,$I103),0)</f>
        <v>0</v>
      </c>
      <c r="D103" s="64">
        <f>IF(F103&lt;&gt;0,VLOOKUP($J103,'Table 1'!$B$13:$C$33,2,FALSE)/12*1000*Study_MW,0)</f>
        <v>0</v>
      </c>
      <c r="E103" s="64">
        <f t="shared" si="44"/>
        <v>0</v>
      </c>
      <c r="F103" s="49">
        <f>INDEX([8]Delta!$F$1:$EE$997,$L$14,$I103)</f>
        <v>0</v>
      </c>
      <c r="G103" s="68" t="e">
        <f t="shared" si="45"/>
        <v>#DIV/0!</v>
      </c>
      <c r="I103" s="69">
        <f t="shared" si="49"/>
        <v>98</v>
      </c>
      <c r="J103" s="66">
        <f t="shared" si="46"/>
        <v>2031</v>
      </c>
      <c r="K103" s="70" t="str">
        <f t="shared" si="48"/>
        <v/>
      </c>
    </row>
    <row r="104" spans="2:11" outlineLevel="1">
      <c r="B104" s="70">
        <f t="shared" si="43"/>
        <v>48061</v>
      </c>
      <c r="C104" s="49">
        <f>IF(F104&lt;&gt;0,-INDEX([8]Delta!$F$1:$EE$997,$L$13,$I104),0)</f>
        <v>0</v>
      </c>
      <c r="D104" s="64">
        <f>IF(F104&lt;&gt;0,VLOOKUP($J104,'Table 1'!$B$13:$C$33,2,FALSE)/12*1000*Study_MW,0)</f>
        <v>0</v>
      </c>
      <c r="E104" s="64">
        <f t="shared" si="44"/>
        <v>0</v>
      </c>
      <c r="F104" s="49">
        <f>INDEX([8]Delta!$F$1:$EE$997,$L$14,$I104)</f>
        <v>0</v>
      </c>
      <c r="G104" s="68" t="e">
        <f t="shared" si="45"/>
        <v>#DIV/0!</v>
      </c>
      <c r="I104" s="69">
        <f t="shared" si="49"/>
        <v>99</v>
      </c>
      <c r="J104" s="66">
        <f t="shared" si="46"/>
        <v>2031</v>
      </c>
      <c r="K104" s="70" t="str">
        <f t="shared" si="48"/>
        <v/>
      </c>
    </row>
    <row r="105" spans="2:11" outlineLevel="1">
      <c r="B105" s="70">
        <f t="shared" si="43"/>
        <v>48092</v>
      </c>
      <c r="C105" s="49">
        <f>IF(F105&lt;&gt;0,-INDEX([8]Delta!$F$1:$EE$997,$L$13,$I105),0)</f>
        <v>0</v>
      </c>
      <c r="D105" s="64">
        <f>IF(F105&lt;&gt;0,VLOOKUP($J105,'Table 1'!$B$13:$C$33,2,FALSE)/12*1000*Study_MW,0)</f>
        <v>0</v>
      </c>
      <c r="E105" s="64">
        <f t="shared" si="44"/>
        <v>0</v>
      </c>
      <c r="F105" s="49">
        <f>INDEX([8]Delta!$F$1:$EE$997,$L$14,$I105)</f>
        <v>0</v>
      </c>
      <c r="G105" s="68" t="e">
        <f t="shared" si="45"/>
        <v>#DIV/0!</v>
      </c>
      <c r="I105" s="69">
        <f t="shared" si="49"/>
        <v>100</v>
      </c>
      <c r="J105" s="66">
        <f t="shared" si="46"/>
        <v>2031</v>
      </c>
      <c r="K105" s="70" t="str">
        <f t="shared" si="48"/>
        <v/>
      </c>
    </row>
    <row r="106" spans="2:11" outlineLevel="1">
      <c r="B106" s="70">
        <f t="shared" si="43"/>
        <v>48122</v>
      </c>
      <c r="C106" s="49">
        <f>IF(F106&lt;&gt;0,-INDEX([8]Delta!$F$1:$EE$997,$L$13,$I106),0)</f>
        <v>0</v>
      </c>
      <c r="D106" s="64">
        <f>IF(F106&lt;&gt;0,VLOOKUP($J106,'Table 1'!$B$13:$C$33,2,FALSE)/12*1000*Study_MW,0)</f>
        <v>0</v>
      </c>
      <c r="E106" s="64">
        <f t="shared" si="44"/>
        <v>0</v>
      </c>
      <c r="F106" s="49">
        <f>INDEX([8]Delta!$F$1:$EE$997,$L$14,$I106)</f>
        <v>0</v>
      </c>
      <c r="G106" s="68" t="e">
        <f t="shared" si="45"/>
        <v>#DIV/0!</v>
      </c>
      <c r="I106" s="69">
        <f t="shared" si="49"/>
        <v>101</v>
      </c>
      <c r="J106" s="66">
        <f t="shared" si="46"/>
        <v>2031</v>
      </c>
      <c r="K106" s="70" t="str">
        <f t="shared" si="48"/>
        <v/>
      </c>
    </row>
    <row r="107" spans="2:11" outlineLevel="1">
      <c r="B107" s="70">
        <f t="shared" si="43"/>
        <v>48153</v>
      </c>
      <c r="C107" s="49">
        <f>IF(F107&lt;&gt;0,-INDEX([8]Delta!$F$1:$EE$997,$L$13,$I107),0)</f>
        <v>0</v>
      </c>
      <c r="D107" s="64">
        <f>IF(F107&lt;&gt;0,VLOOKUP($J107,'Table 1'!$B$13:$C$33,2,FALSE)/12*1000*Study_MW,0)</f>
        <v>0</v>
      </c>
      <c r="E107" s="64">
        <f t="shared" si="44"/>
        <v>0</v>
      </c>
      <c r="F107" s="49">
        <f>INDEX([8]Delta!$F$1:$EE$997,$L$14,$I107)</f>
        <v>0</v>
      </c>
      <c r="G107" s="68" t="e">
        <f t="shared" si="45"/>
        <v>#DIV/0!</v>
      </c>
      <c r="I107" s="69">
        <f t="shared" si="49"/>
        <v>102</v>
      </c>
      <c r="J107" s="66">
        <f t="shared" si="46"/>
        <v>2031</v>
      </c>
      <c r="K107" s="70" t="str">
        <f t="shared" si="48"/>
        <v/>
      </c>
    </row>
    <row r="108" spans="2:11" outlineLevel="1">
      <c r="B108" s="74">
        <f t="shared" si="43"/>
        <v>48183</v>
      </c>
      <c r="C108" s="71">
        <f>IF(F108&lt;&gt;0,-INDEX([8]Delta!$F$1:$EE$997,$L$13,$I108),0)</f>
        <v>0</v>
      </c>
      <c r="D108" s="72">
        <f>IF(F108&lt;&gt;0,VLOOKUP($J108,'Table 1'!$B$13:$C$33,2,FALSE)/12*1000*Study_MW,0)</f>
        <v>0</v>
      </c>
      <c r="E108" s="72">
        <f t="shared" si="44"/>
        <v>0</v>
      </c>
      <c r="F108" s="71">
        <f>INDEX([8]Delta!$F$1:$EE$997,$L$14,$I108)</f>
        <v>0</v>
      </c>
      <c r="G108" s="73" t="e">
        <f t="shared" si="45"/>
        <v>#DIV/0!</v>
      </c>
      <c r="I108" s="57">
        <f t="shared" si="49"/>
        <v>103</v>
      </c>
      <c r="J108" s="66">
        <f t="shared" si="46"/>
        <v>2031</v>
      </c>
      <c r="K108" s="74" t="str">
        <f t="shared" si="48"/>
        <v/>
      </c>
    </row>
    <row r="109" spans="2:11" outlineLevel="1">
      <c r="B109" s="67">
        <f t="shared" si="43"/>
        <v>48214</v>
      </c>
      <c r="C109" s="62">
        <f>IF(F109&lt;&gt;0,-INDEX([8]Delta!$F$1:$EE$997,$L$13,$I109),0)</f>
        <v>0</v>
      </c>
      <c r="D109" s="63">
        <f>IF(F109&lt;&gt;0,VLOOKUP($J109,'Table 1'!$B$13:$C$33,2,FALSE)/12*1000*Study_MW,0)</f>
        <v>0</v>
      </c>
      <c r="E109" s="63">
        <f t="shared" si="44"/>
        <v>0</v>
      </c>
      <c r="F109" s="62">
        <f>INDEX([8]Delta!$F$1:$EE$997,$L$14,$I109)</f>
        <v>0</v>
      </c>
      <c r="G109" s="65" t="e">
        <f t="shared" si="45"/>
        <v>#DIV/0!</v>
      </c>
      <c r="I109" s="53">
        <f>I97+13</f>
        <v>105</v>
      </c>
      <c r="J109" s="66">
        <f t="shared" si="46"/>
        <v>2032</v>
      </c>
      <c r="K109" s="67" t="str">
        <f t="shared" si="48"/>
        <v/>
      </c>
    </row>
    <row r="110" spans="2:11" outlineLevel="1">
      <c r="B110" s="70">
        <f t="shared" si="43"/>
        <v>48245</v>
      </c>
      <c r="C110" s="49">
        <f>IF(F110&lt;&gt;0,-INDEX([8]Delta!$F$1:$EE$997,$L$13,$I110),0)</f>
        <v>0</v>
      </c>
      <c r="D110" s="64">
        <f>IF(F110&lt;&gt;0,VLOOKUP($J110,'Table 1'!$B$13:$C$33,2,FALSE)/12*1000*Study_MW,0)</f>
        <v>0</v>
      </c>
      <c r="E110" s="64">
        <f t="shared" si="44"/>
        <v>0</v>
      </c>
      <c r="F110" s="49">
        <f>INDEX([8]Delta!$F$1:$EE$997,$L$14,$I110)</f>
        <v>0</v>
      </c>
      <c r="G110" s="68" t="e">
        <f t="shared" si="45"/>
        <v>#DIV/0!</v>
      </c>
      <c r="I110" s="69">
        <f t="shared" si="49"/>
        <v>106</v>
      </c>
      <c r="J110" s="66">
        <f t="shared" si="46"/>
        <v>2032</v>
      </c>
      <c r="K110" s="70" t="str">
        <f t="shared" si="48"/>
        <v/>
      </c>
    </row>
    <row r="111" spans="2:11" outlineLevel="1">
      <c r="B111" s="70">
        <f t="shared" si="43"/>
        <v>48274</v>
      </c>
      <c r="C111" s="49">
        <f>IF(F111&lt;&gt;0,-INDEX([8]Delta!$F$1:$EE$997,$L$13,$I111),0)</f>
        <v>0</v>
      </c>
      <c r="D111" s="64">
        <f>IF(F111&lt;&gt;0,VLOOKUP($J111,'Table 1'!$B$13:$C$33,2,FALSE)/12*1000*Study_MW,0)</f>
        <v>0</v>
      </c>
      <c r="E111" s="64">
        <f t="shared" si="44"/>
        <v>0</v>
      </c>
      <c r="F111" s="49">
        <f>INDEX([8]Delta!$F$1:$EE$997,$L$14,$I111)</f>
        <v>0</v>
      </c>
      <c r="G111" s="68" t="e">
        <f t="shared" si="45"/>
        <v>#DIV/0!</v>
      </c>
      <c r="I111" s="69">
        <f t="shared" si="49"/>
        <v>107</v>
      </c>
      <c r="J111" s="66">
        <f t="shared" si="46"/>
        <v>2032</v>
      </c>
      <c r="K111" s="70" t="str">
        <f t="shared" si="48"/>
        <v/>
      </c>
    </row>
    <row r="112" spans="2:11" outlineLevel="1">
      <c r="B112" s="70">
        <f t="shared" si="43"/>
        <v>48305</v>
      </c>
      <c r="C112" s="49">
        <f>IF(F112&lt;&gt;0,-INDEX([8]Delta!$F$1:$EE$997,$L$13,$I112),0)</f>
        <v>0</v>
      </c>
      <c r="D112" s="64">
        <f>IF(F112&lt;&gt;0,VLOOKUP($J112,'Table 1'!$B$13:$C$33,2,FALSE)/12*1000*Study_MW,0)</f>
        <v>0</v>
      </c>
      <c r="E112" s="64">
        <f t="shared" si="44"/>
        <v>0</v>
      </c>
      <c r="F112" s="49">
        <f>INDEX([8]Delta!$F$1:$EE$997,$L$14,$I112)</f>
        <v>0</v>
      </c>
      <c r="G112" s="68" t="e">
        <f t="shared" si="45"/>
        <v>#DIV/0!</v>
      </c>
      <c r="I112" s="69">
        <f t="shared" si="49"/>
        <v>108</v>
      </c>
      <c r="J112" s="66">
        <f t="shared" si="46"/>
        <v>2032</v>
      </c>
      <c r="K112" s="70" t="str">
        <f t="shared" si="48"/>
        <v/>
      </c>
    </row>
    <row r="113" spans="2:11" outlineLevel="1">
      <c r="B113" s="70">
        <f t="shared" si="43"/>
        <v>48335</v>
      </c>
      <c r="C113" s="49">
        <f>IF(F113&lt;&gt;0,-INDEX([8]Delta!$F$1:$EE$997,$L$13,$I113),0)</f>
        <v>0</v>
      </c>
      <c r="D113" s="64">
        <f>IF(F113&lt;&gt;0,VLOOKUP($J113,'Table 1'!$B$13:$C$33,2,FALSE)/12*1000*Study_MW,0)</f>
        <v>0</v>
      </c>
      <c r="E113" s="64">
        <f t="shared" si="44"/>
        <v>0</v>
      </c>
      <c r="F113" s="49">
        <f>INDEX([8]Delta!$F$1:$EE$997,$L$14,$I113)</f>
        <v>0</v>
      </c>
      <c r="G113" s="68" t="e">
        <f t="shared" si="45"/>
        <v>#DIV/0!</v>
      </c>
      <c r="I113" s="69">
        <f t="shared" si="49"/>
        <v>109</v>
      </c>
      <c r="J113" s="66">
        <f t="shared" si="46"/>
        <v>2032</v>
      </c>
      <c r="K113" s="70" t="str">
        <f t="shared" si="48"/>
        <v/>
      </c>
    </row>
    <row r="114" spans="2:11" outlineLevel="1">
      <c r="B114" s="70">
        <f t="shared" si="43"/>
        <v>48366</v>
      </c>
      <c r="C114" s="49">
        <f>IF(F114&lt;&gt;0,-INDEX([8]Delta!$F$1:$EE$997,$L$13,$I114),0)</f>
        <v>0</v>
      </c>
      <c r="D114" s="64">
        <f>IF(F114&lt;&gt;0,VLOOKUP($J114,'Table 1'!$B$13:$C$33,2,FALSE)/12*1000*Study_MW,0)</f>
        <v>0</v>
      </c>
      <c r="E114" s="64">
        <f t="shared" si="44"/>
        <v>0</v>
      </c>
      <c r="F114" s="49">
        <f>INDEX([8]Delta!$F$1:$EE$997,$L$14,$I114)</f>
        <v>0</v>
      </c>
      <c r="G114" s="68" t="e">
        <f t="shared" si="45"/>
        <v>#DIV/0!</v>
      </c>
      <c r="I114" s="69">
        <f t="shared" si="49"/>
        <v>110</v>
      </c>
      <c r="J114" s="66">
        <f t="shared" si="46"/>
        <v>2032</v>
      </c>
      <c r="K114" s="70" t="str">
        <f t="shared" si="48"/>
        <v/>
      </c>
    </row>
    <row r="115" spans="2:11" outlineLevel="1">
      <c r="B115" s="70">
        <f t="shared" si="43"/>
        <v>48396</v>
      </c>
      <c r="C115" s="49">
        <f>IF(F115&lt;&gt;0,-INDEX([8]Delta!$F$1:$EE$997,$L$13,$I115),0)</f>
        <v>0</v>
      </c>
      <c r="D115" s="64">
        <f>IF(F115&lt;&gt;0,VLOOKUP($J115,'Table 1'!$B$13:$C$33,2,FALSE)/12*1000*Study_MW,0)</f>
        <v>0</v>
      </c>
      <c r="E115" s="64">
        <f t="shared" si="44"/>
        <v>0</v>
      </c>
      <c r="F115" s="49">
        <f>INDEX([8]Delta!$F$1:$EE$997,$L$14,$I115)</f>
        <v>0</v>
      </c>
      <c r="G115" s="68" t="e">
        <f t="shared" si="45"/>
        <v>#DIV/0!</v>
      </c>
      <c r="I115" s="69">
        <f t="shared" si="49"/>
        <v>111</v>
      </c>
      <c r="J115" s="66">
        <f t="shared" si="46"/>
        <v>2032</v>
      </c>
      <c r="K115" s="70" t="str">
        <f t="shared" si="48"/>
        <v/>
      </c>
    </row>
    <row r="116" spans="2:11" outlineLevel="1">
      <c r="B116" s="70">
        <f t="shared" si="43"/>
        <v>48427</v>
      </c>
      <c r="C116" s="49">
        <f>IF(F116&lt;&gt;0,-INDEX([8]Delta!$F$1:$EE$997,$L$13,$I116),0)</f>
        <v>0</v>
      </c>
      <c r="D116" s="64">
        <f>IF(F116&lt;&gt;0,VLOOKUP($J116,'Table 1'!$B$13:$C$33,2,FALSE)/12*1000*Study_MW,0)</f>
        <v>0</v>
      </c>
      <c r="E116" s="64">
        <f t="shared" si="44"/>
        <v>0</v>
      </c>
      <c r="F116" s="49">
        <f>INDEX([8]Delta!$F$1:$EE$997,$L$14,$I116)</f>
        <v>0</v>
      </c>
      <c r="G116" s="68" t="e">
        <f t="shared" si="45"/>
        <v>#DIV/0!</v>
      </c>
      <c r="I116" s="69">
        <f t="shared" si="49"/>
        <v>112</v>
      </c>
      <c r="J116" s="66">
        <f t="shared" si="46"/>
        <v>2032</v>
      </c>
      <c r="K116" s="70" t="str">
        <f t="shared" si="48"/>
        <v/>
      </c>
    </row>
    <row r="117" spans="2:11" outlineLevel="1">
      <c r="B117" s="70">
        <f t="shared" si="43"/>
        <v>48458</v>
      </c>
      <c r="C117" s="49">
        <f>IF(F117&lt;&gt;0,-INDEX([8]Delta!$F$1:$EE$997,$L$13,$I117),0)</f>
        <v>0</v>
      </c>
      <c r="D117" s="64">
        <f>IF(F117&lt;&gt;0,VLOOKUP($J117,'Table 1'!$B$13:$C$33,2,FALSE)/12*1000*Study_MW,0)</f>
        <v>0</v>
      </c>
      <c r="E117" s="64">
        <f t="shared" si="44"/>
        <v>0</v>
      </c>
      <c r="F117" s="49">
        <f>INDEX([8]Delta!$F$1:$EE$997,$L$14,$I117)</f>
        <v>0</v>
      </c>
      <c r="G117" s="68" t="e">
        <f t="shared" si="45"/>
        <v>#DIV/0!</v>
      </c>
      <c r="I117" s="69">
        <f t="shared" si="49"/>
        <v>113</v>
      </c>
      <c r="J117" s="66">
        <f t="shared" si="46"/>
        <v>2032</v>
      </c>
      <c r="K117" s="70" t="str">
        <f t="shared" si="48"/>
        <v/>
      </c>
    </row>
    <row r="118" spans="2:11" outlineLevel="1">
      <c r="B118" s="70">
        <f t="shared" si="43"/>
        <v>48488</v>
      </c>
      <c r="C118" s="49">
        <f>IF(F118&lt;&gt;0,-INDEX([8]Delta!$F$1:$EE$997,$L$13,$I118),0)</f>
        <v>0</v>
      </c>
      <c r="D118" s="64">
        <f>IF(F118&lt;&gt;0,VLOOKUP($J118,'Table 1'!$B$13:$C$33,2,FALSE)/12*1000*Study_MW,0)</f>
        <v>0</v>
      </c>
      <c r="E118" s="64">
        <f t="shared" si="44"/>
        <v>0</v>
      </c>
      <c r="F118" s="49">
        <f>INDEX([8]Delta!$F$1:$EE$997,$L$14,$I118)</f>
        <v>0</v>
      </c>
      <c r="G118" s="68" t="e">
        <f t="shared" si="45"/>
        <v>#DIV/0!</v>
      </c>
      <c r="I118" s="69">
        <f t="shared" si="49"/>
        <v>114</v>
      </c>
      <c r="J118" s="66">
        <f t="shared" si="46"/>
        <v>2032</v>
      </c>
      <c r="K118" s="70" t="str">
        <f t="shared" si="48"/>
        <v/>
      </c>
    </row>
    <row r="119" spans="2:11" outlineLevel="1">
      <c r="B119" s="70">
        <f t="shared" si="43"/>
        <v>48519</v>
      </c>
      <c r="C119" s="49">
        <f>IF(F119&lt;&gt;0,-INDEX([8]Delta!$F$1:$EE$997,$L$13,$I119),0)</f>
        <v>0</v>
      </c>
      <c r="D119" s="64">
        <f>IF(F119&lt;&gt;0,VLOOKUP($J119,'Table 1'!$B$13:$C$33,2,FALSE)/12*1000*Study_MW,0)</f>
        <v>0</v>
      </c>
      <c r="E119" s="64">
        <f t="shared" si="44"/>
        <v>0</v>
      </c>
      <c r="F119" s="49">
        <f>INDEX([8]Delta!$F$1:$EE$997,$L$14,$I119)</f>
        <v>0</v>
      </c>
      <c r="G119" s="68" t="e">
        <f t="shared" si="45"/>
        <v>#DIV/0!</v>
      </c>
      <c r="I119" s="69">
        <f t="shared" si="49"/>
        <v>115</v>
      </c>
      <c r="J119" s="66">
        <f t="shared" si="46"/>
        <v>2032</v>
      </c>
      <c r="K119" s="70" t="str">
        <f t="shared" si="48"/>
        <v/>
      </c>
    </row>
    <row r="120" spans="2:11" outlineLevel="1">
      <c r="B120" s="74">
        <f t="shared" si="43"/>
        <v>48549</v>
      </c>
      <c r="C120" s="71">
        <f>IF(F120&lt;&gt;0,-INDEX([8]Delta!$F$1:$EE$997,$L$13,$I120),0)</f>
        <v>0</v>
      </c>
      <c r="D120" s="72">
        <f>IF(F120&lt;&gt;0,VLOOKUP($J120,'Table 1'!$B$13:$C$33,2,FALSE)/12*1000*Study_MW,0)</f>
        <v>0</v>
      </c>
      <c r="E120" s="72">
        <f t="shared" si="44"/>
        <v>0</v>
      </c>
      <c r="F120" s="71">
        <f>INDEX([8]Delta!$F$1:$EE$997,$L$14,$I120)</f>
        <v>0</v>
      </c>
      <c r="G120" s="73" t="e">
        <f t="shared" si="45"/>
        <v>#DIV/0!</v>
      </c>
      <c r="I120" s="57">
        <f t="shared" si="49"/>
        <v>116</v>
      </c>
      <c r="J120" s="66">
        <f t="shared" si="46"/>
        <v>2032</v>
      </c>
      <c r="K120" s="74" t="str">
        <f t="shared" si="48"/>
        <v/>
      </c>
    </row>
    <row r="121" spans="2:11" outlineLevel="1">
      <c r="B121" s="67">
        <f t="shared" si="43"/>
        <v>48580</v>
      </c>
      <c r="C121" s="62">
        <f>IF(F121&lt;&gt;0,-INDEX([8]Delta!$F$1:$EE$997,$L$13,$I121),0)</f>
        <v>0</v>
      </c>
      <c r="D121" s="63">
        <f>IF(F121&lt;&gt;0,VLOOKUP($J121,'Table 1'!$B$13:$C$33,2,FALSE)/12*1000*Study_MW,0)</f>
        <v>0</v>
      </c>
      <c r="E121" s="63">
        <f t="shared" si="44"/>
        <v>0</v>
      </c>
      <c r="F121" s="62">
        <f>INDEX([8]Delta!$F$1:$EE$997,$L$14,$I121)</f>
        <v>0</v>
      </c>
      <c r="G121" s="65" t="e">
        <f t="shared" si="45"/>
        <v>#DIV/0!</v>
      </c>
      <c r="I121" s="53">
        <f>I109+13</f>
        <v>118</v>
      </c>
      <c r="J121" s="66">
        <f t="shared" si="46"/>
        <v>2033</v>
      </c>
      <c r="K121" s="67" t="str">
        <f t="shared" si="48"/>
        <v/>
      </c>
    </row>
    <row r="122" spans="2:11" outlineLevel="1">
      <c r="B122" s="70">
        <f t="shared" si="43"/>
        <v>48611</v>
      </c>
      <c r="C122" s="49">
        <f>IF(F122&lt;&gt;0,-INDEX([8]Delta!$F$1:$EE$997,$L$13,$I122),0)</f>
        <v>0</v>
      </c>
      <c r="D122" s="64">
        <f>IF(F122&lt;&gt;0,VLOOKUP($J122,'Table 1'!$B$13:$C$33,2,FALSE)/12*1000*Study_MW,0)</f>
        <v>0</v>
      </c>
      <c r="E122" s="64">
        <f t="shared" si="44"/>
        <v>0</v>
      </c>
      <c r="F122" s="49">
        <f>INDEX([8]Delta!$F$1:$EE$997,$L$14,$I122)</f>
        <v>0</v>
      </c>
      <c r="G122" s="68" t="e">
        <f t="shared" si="45"/>
        <v>#DIV/0!</v>
      </c>
      <c r="I122" s="69">
        <f t="shared" ref="I122:I132" si="50">I110+13</f>
        <v>119</v>
      </c>
      <c r="J122" s="66">
        <f t="shared" si="46"/>
        <v>2033</v>
      </c>
      <c r="K122" s="70" t="str">
        <f t="shared" si="48"/>
        <v/>
      </c>
    </row>
    <row r="123" spans="2:11" outlineLevel="1">
      <c r="B123" s="70">
        <f t="shared" si="43"/>
        <v>48639</v>
      </c>
      <c r="C123" s="49">
        <f>IF(F123&lt;&gt;0,-INDEX([8]Delta!$F$1:$EE$997,$L$13,$I123),0)</f>
        <v>0</v>
      </c>
      <c r="D123" s="64">
        <f>IF(F123&lt;&gt;0,VLOOKUP($J123,'Table 1'!$B$13:$C$33,2,FALSE)/12*1000*Study_MW,0)</f>
        <v>0</v>
      </c>
      <c r="E123" s="64">
        <f t="shared" si="44"/>
        <v>0</v>
      </c>
      <c r="F123" s="49">
        <f>INDEX([8]Delta!$F$1:$EE$997,$L$14,$I123)</f>
        <v>0</v>
      </c>
      <c r="G123" s="68" t="e">
        <f t="shared" si="45"/>
        <v>#DIV/0!</v>
      </c>
      <c r="I123" s="69">
        <f t="shared" si="50"/>
        <v>120</v>
      </c>
      <c r="J123" s="66">
        <f t="shared" si="46"/>
        <v>2033</v>
      </c>
      <c r="K123" s="70" t="str">
        <f t="shared" si="48"/>
        <v/>
      </c>
    </row>
    <row r="124" spans="2:11" outlineLevel="1">
      <c r="B124" s="70">
        <f t="shared" si="43"/>
        <v>48670</v>
      </c>
      <c r="C124" s="49">
        <f>IF(F124&lt;&gt;0,-INDEX([8]Delta!$F$1:$EE$997,$L$13,$I124),0)</f>
        <v>0</v>
      </c>
      <c r="D124" s="64">
        <f>IF(F124&lt;&gt;0,VLOOKUP($J124,'Table 1'!$B$13:$C$33,2,FALSE)/12*1000*Study_MW,0)</f>
        <v>0</v>
      </c>
      <c r="E124" s="64">
        <f t="shared" si="44"/>
        <v>0</v>
      </c>
      <c r="F124" s="49">
        <f>INDEX([8]Delta!$F$1:$EE$997,$L$14,$I124)</f>
        <v>0</v>
      </c>
      <c r="G124" s="68" t="e">
        <f t="shared" si="45"/>
        <v>#DIV/0!</v>
      </c>
      <c r="I124" s="69">
        <f t="shared" si="50"/>
        <v>121</v>
      </c>
      <c r="J124" s="66">
        <f t="shared" si="46"/>
        <v>2033</v>
      </c>
      <c r="K124" s="70" t="str">
        <f t="shared" si="48"/>
        <v/>
      </c>
    </row>
    <row r="125" spans="2:11" outlineLevel="1">
      <c r="B125" s="70">
        <f t="shared" si="43"/>
        <v>48700</v>
      </c>
      <c r="C125" s="49">
        <f>IF(F125&lt;&gt;0,-INDEX([8]Delta!$F$1:$EE$997,$L$13,$I125),0)</f>
        <v>0</v>
      </c>
      <c r="D125" s="64">
        <f>IF(F125&lt;&gt;0,VLOOKUP($J125,'Table 1'!$B$13:$C$33,2,FALSE)/12*1000*Study_MW,0)</f>
        <v>0</v>
      </c>
      <c r="E125" s="64">
        <f t="shared" si="44"/>
        <v>0</v>
      </c>
      <c r="F125" s="49">
        <f>INDEX([8]Delta!$F$1:$EE$997,$L$14,$I125)</f>
        <v>0</v>
      </c>
      <c r="G125" s="68" t="e">
        <f t="shared" si="45"/>
        <v>#DIV/0!</v>
      </c>
      <c r="I125" s="69">
        <f t="shared" si="50"/>
        <v>122</v>
      </c>
      <c r="J125" s="66">
        <f t="shared" si="46"/>
        <v>2033</v>
      </c>
      <c r="K125" s="70" t="str">
        <f t="shared" si="48"/>
        <v/>
      </c>
    </row>
    <row r="126" spans="2:11" outlineLevel="1">
      <c r="B126" s="70">
        <f t="shared" si="43"/>
        <v>48731</v>
      </c>
      <c r="C126" s="49">
        <f>IF(F126&lt;&gt;0,-INDEX([8]Delta!$F$1:$EE$997,$L$13,$I126),0)</f>
        <v>0</v>
      </c>
      <c r="D126" s="64">
        <f>IF(F126&lt;&gt;0,VLOOKUP($J126,'Table 1'!$B$13:$C$33,2,FALSE)/12*1000*Study_MW,0)</f>
        <v>0</v>
      </c>
      <c r="E126" s="64">
        <f t="shared" si="44"/>
        <v>0</v>
      </c>
      <c r="F126" s="49">
        <f>INDEX([8]Delta!$F$1:$EE$997,$L$14,$I126)</f>
        <v>0</v>
      </c>
      <c r="G126" s="68" t="e">
        <f t="shared" si="45"/>
        <v>#DIV/0!</v>
      </c>
      <c r="I126" s="69">
        <f t="shared" si="50"/>
        <v>123</v>
      </c>
      <c r="J126" s="66">
        <f t="shared" si="46"/>
        <v>2033</v>
      </c>
      <c r="K126" s="70" t="str">
        <f t="shared" si="48"/>
        <v/>
      </c>
    </row>
    <row r="127" spans="2:11" outlineLevel="1">
      <c r="B127" s="70">
        <f t="shared" si="43"/>
        <v>48761</v>
      </c>
      <c r="C127" s="49">
        <f>IF(F127&lt;&gt;0,-INDEX([8]Delta!$F$1:$EE$997,$L$13,$I127),0)</f>
        <v>0</v>
      </c>
      <c r="D127" s="64">
        <f>IF(F127&lt;&gt;0,VLOOKUP($J127,'Table 1'!$B$13:$C$33,2,FALSE)/12*1000*Study_MW,0)</f>
        <v>0</v>
      </c>
      <c r="E127" s="64">
        <f t="shared" si="44"/>
        <v>0</v>
      </c>
      <c r="F127" s="49">
        <f>INDEX([8]Delta!$F$1:$EE$997,$L$14,$I127)</f>
        <v>0</v>
      </c>
      <c r="G127" s="68" t="e">
        <f t="shared" si="45"/>
        <v>#DIV/0!</v>
      </c>
      <c r="I127" s="69">
        <f t="shared" si="50"/>
        <v>124</v>
      </c>
      <c r="J127" s="66">
        <f t="shared" si="46"/>
        <v>2033</v>
      </c>
      <c r="K127" s="70" t="str">
        <f t="shared" si="48"/>
        <v/>
      </c>
    </row>
    <row r="128" spans="2:11" outlineLevel="1">
      <c r="B128" s="70">
        <f t="shared" si="43"/>
        <v>48792</v>
      </c>
      <c r="C128" s="49">
        <f>IF(F128&lt;&gt;0,-INDEX([8]Delta!$F$1:$EE$997,$L$13,$I128),0)</f>
        <v>0</v>
      </c>
      <c r="D128" s="64">
        <f>IF(F128&lt;&gt;0,VLOOKUP($J128,'Table 1'!$B$13:$C$33,2,FALSE)/12*1000*Study_MW,0)</f>
        <v>0</v>
      </c>
      <c r="E128" s="64">
        <f t="shared" si="44"/>
        <v>0</v>
      </c>
      <c r="F128" s="49">
        <f>INDEX([8]Delta!$F$1:$EE$997,$L$14,$I128)</f>
        <v>0</v>
      </c>
      <c r="G128" s="68" t="e">
        <f t="shared" si="45"/>
        <v>#DIV/0!</v>
      </c>
      <c r="I128" s="69">
        <f t="shared" si="50"/>
        <v>125</v>
      </c>
      <c r="J128" s="66">
        <f t="shared" si="46"/>
        <v>2033</v>
      </c>
      <c r="K128" s="70" t="str">
        <f t="shared" si="48"/>
        <v/>
      </c>
    </row>
    <row r="129" spans="2:11" outlineLevel="1">
      <c r="B129" s="70">
        <f t="shared" si="43"/>
        <v>48823</v>
      </c>
      <c r="C129" s="49">
        <f>IF(F129&lt;&gt;0,-INDEX([8]Delta!$F$1:$EE$997,$L$13,$I129),0)</f>
        <v>0</v>
      </c>
      <c r="D129" s="64">
        <f>IF(F129&lt;&gt;0,VLOOKUP($J129,'Table 1'!$B$13:$C$33,2,FALSE)/12*1000*Study_MW,0)</f>
        <v>0</v>
      </c>
      <c r="E129" s="64">
        <f t="shared" si="44"/>
        <v>0</v>
      </c>
      <c r="F129" s="49">
        <f>INDEX([8]Delta!$F$1:$EE$997,$L$14,$I129)</f>
        <v>0</v>
      </c>
      <c r="G129" s="68" t="e">
        <f t="shared" si="45"/>
        <v>#DIV/0!</v>
      </c>
      <c r="I129" s="69">
        <f t="shared" si="50"/>
        <v>126</v>
      </c>
      <c r="J129" s="66">
        <f t="shared" si="46"/>
        <v>2033</v>
      </c>
      <c r="K129" s="70" t="str">
        <f t="shared" si="48"/>
        <v/>
      </c>
    </row>
    <row r="130" spans="2:11" outlineLevel="1">
      <c r="B130" s="70">
        <f t="shared" si="43"/>
        <v>48853</v>
      </c>
      <c r="C130" s="49">
        <f>IF(F130&lt;&gt;0,-INDEX([8]Delta!$F$1:$EE$997,$L$13,$I130),0)</f>
        <v>0</v>
      </c>
      <c r="D130" s="64">
        <f>IF(F130&lt;&gt;0,VLOOKUP($J130,'Table 1'!$B$13:$C$33,2,FALSE)/12*1000*Study_MW,0)</f>
        <v>0</v>
      </c>
      <c r="E130" s="64">
        <f t="shared" si="44"/>
        <v>0</v>
      </c>
      <c r="F130" s="49">
        <f>INDEX([8]Delta!$F$1:$EE$997,$L$14,$I130)</f>
        <v>0</v>
      </c>
      <c r="G130" s="68" t="e">
        <f t="shared" si="45"/>
        <v>#DIV/0!</v>
      </c>
      <c r="I130" s="69">
        <f t="shared" si="50"/>
        <v>127</v>
      </c>
      <c r="J130" s="66">
        <f t="shared" si="46"/>
        <v>2033</v>
      </c>
      <c r="K130" s="70" t="str">
        <f t="shared" si="48"/>
        <v/>
      </c>
    </row>
    <row r="131" spans="2:11" outlineLevel="1">
      <c r="B131" s="70">
        <f t="shared" si="43"/>
        <v>48884</v>
      </c>
      <c r="C131" s="49">
        <f>IF(F131&lt;&gt;0,-INDEX([8]Delta!$F$1:$EE$997,$L$13,$I131),0)</f>
        <v>0</v>
      </c>
      <c r="D131" s="64">
        <f>IF(F131&lt;&gt;0,VLOOKUP($J131,'Table 1'!$B$13:$C$33,2,FALSE)/12*1000*Study_MW,0)</f>
        <v>0</v>
      </c>
      <c r="E131" s="64">
        <f t="shared" si="44"/>
        <v>0</v>
      </c>
      <c r="F131" s="49">
        <f>INDEX([8]Delta!$F$1:$EE$997,$L$14,$I131)</f>
        <v>0</v>
      </c>
      <c r="G131" s="68" t="e">
        <f t="shared" si="45"/>
        <v>#DIV/0!</v>
      </c>
      <c r="I131" s="69">
        <f t="shared" si="50"/>
        <v>128</v>
      </c>
      <c r="J131" s="66">
        <f t="shared" si="46"/>
        <v>2033</v>
      </c>
      <c r="K131" s="70" t="str">
        <f t="shared" si="48"/>
        <v/>
      </c>
    </row>
    <row r="132" spans="2:11" outlineLevel="1">
      <c r="B132" s="74">
        <f t="shared" si="43"/>
        <v>48914</v>
      </c>
      <c r="C132" s="71">
        <f>IF(F132&lt;&gt;0,-INDEX([8]Delta!$F$1:$EE$997,$L$13,$I132),0)</f>
        <v>0</v>
      </c>
      <c r="D132" s="72">
        <f>IF(F132&lt;&gt;0,VLOOKUP($J132,'Table 1'!$B$13:$C$33,2,FALSE)/12*1000*Study_MW,0)</f>
        <v>0</v>
      </c>
      <c r="E132" s="72">
        <f t="shared" si="44"/>
        <v>0</v>
      </c>
      <c r="F132" s="71">
        <f>INDEX([8]Delta!$F$1:$EE$997,$L$14,$I132)</f>
        <v>0</v>
      </c>
      <c r="G132" s="73" t="e">
        <f t="shared" si="45"/>
        <v>#DIV/0!</v>
      </c>
      <c r="I132" s="57">
        <f t="shared" si="50"/>
        <v>129</v>
      </c>
      <c r="J132" s="66">
        <f t="shared" si="46"/>
        <v>2033</v>
      </c>
      <c r="K132" s="74" t="str">
        <f t="shared" si="48"/>
        <v/>
      </c>
    </row>
    <row r="133" spans="2:11" outlineLevel="1">
      <c r="B133" s="67">
        <f t="shared" si="43"/>
        <v>48945</v>
      </c>
      <c r="C133" s="62">
        <v>-218793.10783655941</v>
      </c>
      <c r="D133" s="63" t="e">
        <f>IF(F133&lt;&gt;0,VLOOKUP($J133,'Table 1'!$B$13:$C$33,2,FALSE)/12*1000*Study_MW,0)</f>
        <v>#N/A</v>
      </c>
      <c r="E133" s="63" t="e">
        <f t="shared" si="44"/>
        <v>#N/A</v>
      </c>
      <c r="F133" s="62">
        <v>5637.7719733499998</v>
      </c>
      <c r="G133" s="65" t="e">
        <f t="shared" si="45"/>
        <v>#N/A</v>
      </c>
      <c r="I133" s="53">
        <f>I13</f>
        <v>1</v>
      </c>
      <c r="J133" s="66">
        <f t="shared" si="46"/>
        <v>2034</v>
      </c>
      <c r="K133" s="67">
        <f t="shared" si="48"/>
        <v>48945</v>
      </c>
    </row>
    <row r="134" spans="2:11" outlineLevel="1">
      <c r="B134" s="70">
        <f t="shared" si="43"/>
        <v>48976</v>
      </c>
      <c r="C134" s="49">
        <v>-314496.33587634563</v>
      </c>
      <c r="D134" s="64" t="e">
        <f>IF(F134&lt;&gt;0,VLOOKUP($J134,'Table 1'!$B$13:$C$33,2,FALSE)/12*1000*Study_MW,0)</f>
        <v>#N/A</v>
      </c>
      <c r="E134" s="64" t="e">
        <f t="shared" si="44"/>
        <v>#N/A</v>
      </c>
      <c r="F134" s="49">
        <v>6639.9416411519996</v>
      </c>
      <c r="G134" s="68" t="e">
        <f t="shared" si="45"/>
        <v>#N/A</v>
      </c>
      <c r="I134" s="69">
        <f t="shared" ref="I134:I197" si="51">I14</f>
        <v>2</v>
      </c>
      <c r="J134" s="66">
        <f t="shared" si="46"/>
        <v>2034</v>
      </c>
      <c r="K134" s="70">
        <f t="shared" si="48"/>
        <v>48976</v>
      </c>
    </row>
    <row r="135" spans="2:11" outlineLevel="1">
      <c r="B135" s="70">
        <f t="shared" si="43"/>
        <v>49004</v>
      </c>
      <c r="C135" s="49">
        <v>-392546.37066353858</v>
      </c>
      <c r="D135" s="64" t="e">
        <f>IF(F135&lt;&gt;0,VLOOKUP($J135,'Table 1'!$B$13:$C$33,2,FALSE)/12*1000*Study_MW,0)</f>
        <v>#N/A</v>
      </c>
      <c r="E135" s="64" t="e">
        <f t="shared" si="44"/>
        <v>#N/A</v>
      </c>
      <c r="F135" s="49">
        <v>9683.3069539940007</v>
      </c>
      <c r="G135" s="68" t="e">
        <f t="shared" si="45"/>
        <v>#N/A</v>
      </c>
      <c r="I135" s="69">
        <f t="shared" si="51"/>
        <v>3</v>
      </c>
      <c r="J135" s="66">
        <f t="shared" si="46"/>
        <v>2034</v>
      </c>
      <c r="K135" s="70">
        <f t="shared" si="48"/>
        <v>49004</v>
      </c>
    </row>
    <row r="136" spans="2:11" outlineLevel="1">
      <c r="B136" s="70">
        <f t="shared" si="43"/>
        <v>49035</v>
      </c>
      <c r="C136" s="49">
        <v>-359040.74083004892</v>
      </c>
      <c r="D136" s="64" t="e">
        <f>IF(F136&lt;&gt;0,VLOOKUP($J136,'Table 1'!$B$13:$C$33,2,FALSE)/12*1000*Study_MW,0)</f>
        <v>#N/A</v>
      </c>
      <c r="E136" s="64" t="e">
        <f t="shared" si="44"/>
        <v>#N/A</v>
      </c>
      <c r="F136" s="49">
        <v>11203.752709573</v>
      </c>
      <c r="G136" s="68" t="e">
        <f t="shared" si="45"/>
        <v>#N/A</v>
      </c>
      <c r="I136" s="69">
        <f t="shared" si="51"/>
        <v>4</v>
      </c>
      <c r="J136" s="66">
        <f t="shared" si="46"/>
        <v>2034</v>
      </c>
      <c r="K136" s="70">
        <f t="shared" si="48"/>
        <v>49035</v>
      </c>
    </row>
    <row r="137" spans="2:11" outlineLevel="1">
      <c r="B137" s="70">
        <f t="shared" si="43"/>
        <v>49065</v>
      </c>
      <c r="C137" s="49">
        <v>-446509.24704471231</v>
      </c>
      <c r="D137" s="64" t="e">
        <f>IF(F137&lt;&gt;0,VLOOKUP($J137,'Table 1'!$B$13:$C$33,2,FALSE)/12*1000*Study_MW,0)</f>
        <v>#N/A</v>
      </c>
      <c r="E137" s="64" t="e">
        <f t="shared" si="44"/>
        <v>#N/A</v>
      </c>
      <c r="F137" s="49">
        <v>15231.748800175001</v>
      </c>
      <c r="G137" s="68" t="e">
        <f t="shared" si="45"/>
        <v>#N/A</v>
      </c>
      <c r="I137" s="69">
        <f t="shared" si="51"/>
        <v>5</v>
      </c>
      <c r="J137" s="66">
        <f t="shared" si="46"/>
        <v>2034</v>
      </c>
      <c r="K137" s="70">
        <f t="shared" si="48"/>
        <v>49065</v>
      </c>
    </row>
    <row r="138" spans="2:11" outlineLevel="1">
      <c r="B138" s="70">
        <f t="shared" si="43"/>
        <v>49096</v>
      </c>
      <c r="C138" s="49">
        <v>-478518.63789254427</v>
      </c>
      <c r="D138" s="64" t="e">
        <f>IF(F138&lt;&gt;0,VLOOKUP($J138,'Table 1'!$B$13:$C$33,2,FALSE)/12*1000*Study_MW,0)</f>
        <v>#N/A</v>
      </c>
      <c r="E138" s="64" t="e">
        <f t="shared" si="44"/>
        <v>#N/A</v>
      </c>
      <c r="F138" s="49">
        <v>17077.739462325</v>
      </c>
      <c r="G138" s="68" t="e">
        <f t="shared" si="45"/>
        <v>#N/A</v>
      </c>
      <c r="I138" s="69">
        <f t="shared" si="51"/>
        <v>6</v>
      </c>
      <c r="J138" s="66">
        <f t="shared" si="46"/>
        <v>2034</v>
      </c>
      <c r="K138" s="70">
        <f t="shared" si="48"/>
        <v>49096</v>
      </c>
    </row>
    <row r="139" spans="2:11" outlineLevel="1">
      <c r="B139" s="70">
        <f t="shared" si="43"/>
        <v>49126</v>
      </c>
      <c r="C139" s="49">
        <v>-412520.68755693734</v>
      </c>
      <c r="D139" s="64" t="e">
        <f>IF(F139&lt;&gt;0,VLOOKUP($J139,'Table 1'!$B$13:$C$33,2,FALSE)/12*1000*Study_MW,0)</f>
        <v>#N/A</v>
      </c>
      <c r="E139" s="64" t="e">
        <f t="shared" si="44"/>
        <v>#N/A</v>
      </c>
      <c r="F139" s="49">
        <v>16419.926716745002</v>
      </c>
      <c r="G139" s="68" t="e">
        <f t="shared" si="45"/>
        <v>#N/A</v>
      </c>
      <c r="I139" s="69">
        <f t="shared" si="51"/>
        <v>7</v>
      </c>
      <c r="J139" s="66">
        <f t="shared" si="46"/>
        <v>2034</v>
      </c>
      <c r="K139" s="70">
        <f t="shared" si="48"/>
        <v>49126</v>
      </c>
    </row>
    <row r="140" spans="2:11" outlineLevel="1">
      <c r="B140" s="70">
        <f t="shared" si="43"/>
        <v>49157</v>
      </c>
      <c r="C140" s="49">
        <v>-476112.69176183641</v>
      </c>
      <c r="D140" s="64" t="e">
        <f>IF(F140&lt;&gt;0,VLOOKUP($J140,'Table 1'!$B$13:$C$33,2,FALSE)/12*1000*Study_MW,0)</f>
        <v>#N/A</v>
      </c>
      <c r="E140" s="64" t="e">
        <f t="shared" si="44"/>
        <v>#N/A</v>
      </c>
      <c r="F140" s="49">
        <v>13994.316908547</v>
      </c>
      <c r="G140" s="68" t="e">
        <f t="shared" si="45"/>
        <v>#N/A</v>
      </c>
      <c r="I140" s="69">
        <f t="shared" si="51"/>
        <v>8</v>
      </c>
      <c r="J140" s="66">
        <f t="shared" si="46"/>
        <v>2034</v>
      </c>
      <c r="K140" s="70">
        <f t="shared" si="48"/>
        <v>49157</v>
      </c>
    </row>
    <row r="141" spans="2:11" outlineLevel="1">
      <c r="B141" s="70">
        <f t="shared" si="43"/>
        <v>49188</v>
      </c>
      <c r="C141" s="49">
        <v>-335829.16114993393</v>
      </c>
      <c r="D141" s="64" t="e">
        <f>IF(F141&lt;&gt;0,VLOOKUP($J141,'Table 1'!$B$13:$C$33,2,FALSE)/12*1000*Study_MW,0)</f>
        <v>#N/A</v>
      </c>
      <c r="E141" s="64" t="e">
        <f t="shared" si="44"/>
        <v>#N/A</v>
      </c>
      <c r="F141" s="49">
        <v>12264.448895740001</v>
      </c>
      <c r="G141" s="68" t="e">
        <f t="shared" si="45"/>
        <v>#N/A</v>
      </c>
      <c r="I141" s="69">
        <f t="shared" si="51"/>
        <v>9</v>
      </c>
      <c r="J141" s="66">
        <f t="shared" si="46"/>
        <v>2034</v>
      </c>
      <c r="K141" s="70">
        <f t="shared" si="48"/>
        <v>49188</v>
      </c>
    </row>
    <row r="142" spans="2:11" outlineLevel="1">
      <c r="B142" s="70">
        <f t="shared" ref="B142:B205" si="52">EDATE(B141,1)</f>
        <v>49218</v>
      </c>
      <c r="C142" s="49">
        <v>-306234.80515068769</v>
      </c>
      <c r="D142" s="64" t="e">
        <f>IF(F142&lt;&gt;0,VLOOKUP($J142,'Table 1'!$B$13:$C$33,2,FALSE)/12*1000*Study_MW,0)</f>
        <v>#N/A</v>
      </c>
      <c r="E142" s="64" t="e">
        <f t="shared" ref="E142:E192" si="53">C142+D142</f>
        <v>#N/A</v>
      </c>
      <c r="F142" s="49">
        <v>9700.0545753490005</v>
      </c>
      <c r="G142" s="68" t="e">
        <f t="shared" ref="G142:G192" si="54">IF(ISNUMBER($F142),E142/$F142,"")</f>
        <v>#N/A</v>
      </c>
      <c r="I142" s="69">
        <f t="shared" si="51"/>
        <v>10</v>
      </c>
      <c r="J142" s="66">
        <f t="shared" ref="J142:J192" si="55">YEAR(B142)</f>
        <v>2034</v>
      </c>
      <c r="K142" s="70">
        <f t="shared" si="48"/>
        <v>49218</v>
      </c>
    </row>
    <row r="143" spans="2:11" outlineLevel="1">
      <c r="B143" s="70">
        <f t="shared" si="52"/>
        <v>49249</v>
      </c>
      <c r="C143" s="49">
        <v>-317725.5548619777</v>
      </c>
      <c r="D143" s="64" t="e">
        <f>IF(F143&lt;&gt;0,VLOOKUP($J143,'Table 1'!$B$13:$C$33,2,FALSE)/12*1000*Study_MW,0)</f>
        <v>#N/A</v>
      </c>
      <c r="E143" s="64" t="e">
        <f t="shared" si="53"/>
        <v>#N/A</v>
      </c>
      <c r="F143" s="49">
        <v>6189.227736674</v>
      </c>
      <c r="G143" s="68" t="e">
        <f t="shared" si="54"/>
        <v>#N/A</v>
      </c>
      <c r="I143" s="69">
        <f t="shared" si="51"/>
        <v>11</v>
      </c>
      <c r="J143" s="66">
        <f t="shared" si="55"/>
        <v>2034</v>
      </c>
      <c r="K143" s="70">
        <f t="shared" si="48"/>
        <v>49249</v>
      </c>
    </row>
    <row r="144" spans="2:11" outlineLevel="1">
      <c r="B144" s="74">
        <f t="shared" si="52"/>
        <v>49279</v>
      </c>
      <c r="C144" s="71">
        <v>-368282.24646472931</v>
      </c>
      <c r="D144" s="72" t="e">
        <f>IF(F144&lt;&gt;0,VLOOKUP($J144,'Table 1'!$B$13:$C$33,2,FALSE)/12*1000*Study_MW,0)</f>
        <v>#N/A</v>
      </c>
      <c r="E144" s="72" t="e">
        <f t="shared" si="53"/>
        <v>#N/A</v>
      </c>
      <c r="F144" s="71">
        <v>4524.7416244870001</v>
      </c>
      <c r="G144" s="73" t="e">
        <f t="shared" si="54"/>
        <v>#N/A</v>
      </c>
      <c r="I144" s="57">
        <f t="shared" si="51"/>
        <v>12</v>
      </c>
      <c r="J144" s="66">
        <f t="shared" si="55"/>
        <v>2034</v>
      </c>
      <c r="K144" s="74">
        <f t="shared" si="48"/>
        <v>49279</v>
      </c>
    </row>
    <row r="145" spans="2:11" outlineLevel="1">
      <c r="B145" s="67">
        <f t="shared" si="52"/>
        <v>49310</v>
      </c>
      <c r="C145" s="62">
        <v>87025.517286971211</v>
      </c>
      <c r="D145" s="63" t="e">
        <f>IF(F145&lt;&gt;0,VLOOKUP($J145,'Table 1'!$B$13:$C$33,2,FALSE)/12*1000*Study_MW,0)</f>
        <v>#N/A</v>
      </c>
      <c r="E145" s="63" t="e">
        <f t="shared" si="53"/>
        <v>#N/A</v>
      </c>
      <c r="F145" s="62">
        <v>5609.58300908</v>
      </c>
      <c r="G145" s="65" t="e">
        <f t="shared" si="54"/>
        <v>#N/A</v>
      </c>
      <c r="I145" s="53">
        <f>I25</f>
        <v>14</v>
      </c>
      <c r="J145" s="66">
        <f t="shared" si="55"/>
        <v>2035</v>
      </c>
      <c r="K145" s="67">
        <f t="shared" si="48"/>
        <v>49310</v>
      </c>
    </row>
    <row r="146" spans="2:11" outlineLevel="1">
      <c r="B146" s="70">
        <f t="shared" si="52"/>
        <v>49341</v>
      </c>
      <c r="C146" s="49">
        <v>101481.20612955093</v>
      </c>
      <c r="D146" s="64" t="e">
        <f>IF(F146&lt;&gt;0,VLOOKUP($J146,'Table 1'!$B$13:$C$33,2,FALSE)/12*1000*Study_MW,0)</f>
        <v>#N/A</v>
      </c>
      <c r="E146" s="64" t="e">
        <f t="shared" si="53"/>
        <v>#N/A</v>
      </c>
      <c r="F146" s="49">
        <v>6606.7418213609999</v>
      </c>
      <c r="G146" s="68" t="e">
        <f t="shared" si="54"/>
        <v>#N/A</v>
      </c>
      <c r="I146" s="69">
        <f t="shared" si="51"/>
        <v>15</v>
      </c>
      <c r="J146" s="66">
        <f t="shared" si="55"/>
        <v>2035</v>
      </c>
      <c r="K146" s="70">
        <f t="shared" si="48"/>
        <v>49341</v>
      </c>
    </row>
    <row r="147" spans="2:11" outlineLevel="1">
      <c r="B147" s="70">
        <f t="shared" si="52"/>
        <v>49369</v>
      </c>
      <c r="C147" s="49">
        <v>91890.074137672782</v>
      </c>
      <c r="D147" s="64" t="e">
        <f>IF(F147&lt;&gt;0,VLOOKUP($J147,'Table 1'!$B$13:$C$33,2,FALSE)/12*1000*Study_MW,0)</f>
        <v>#N/A</v>
      </c>
      <c r="E147" s="64" t="e">
        <f t="shared" si="53"/>
        <v>#N/A</v>
      </c>
      <c r="F147" s="49">
        <v>9634.8902954090008</v>
      </c>
      <c r="G147" s="68" t="e">
        <f t="shared" si="54"/>
        <v>#N/A</v>
      </c>
      <c r="I147" s="69">
        <f t="shared" si="51"/>
        <v>16</v>
      </c>
      <c r="J147" s="66">
        <f t="shared" si="55"/>
        <v>2035</v>
      </c>
      <c r="K147" s="70">
        <f t="shared" si="48"/>
        <v>49369</v>
      </c>
    </row>
    <row r="148" spans="2:11" outlineLevel="1">
      <c r="B148" s="70">
        <f t="shared" si="52"/>
        <v>49400</v>
      </c>
      <c r="C148" s="49">
        <v>-26219.223160818219</v>
      </c>
      <c r="D148" s="64" t="e">
        <f>IF(F148&lt;&gt;0,VLOOKUP($J148,'Table 1'!$B$13:$C$33,2,FALSE)/12*1000*Study_MW,0)</f>
        <v>#N/A</v>
      </c>
      <c r="E148" s="64" t="e">
        <f t="shared" si="53"/>
        <v>#N/A</v>
      </c>
      <c r="F148" s="49">
        <v>11147.733792367</v>
      </c>
      <c r="G148" s="68" t="e">
        <f t="shared" si="54"/>
        <v>#N/A</v>
      </c>
      <c r="I148" s="69">
        <f t="shared" si="51"/>
        <v>17</v>
      </c>
      <c r="J148" s="66">
        <f t="shared" si="55"/>
        <v>2035</v>
      </c>
      <c r="K148" s="70">
        <f t="shared" si="48"/>
        <v>49400</v>
      </c>
    </row>
    <row r="149" spans="2:11" outlineLevel="1">
      <c r="B149" s="70">
        <f t="shared" si="52"/>
        <v>49430</v>
      </c>
      <c r="C149" s="49">
        <v>-113316.03489249945</v>
      </c>
      <c r="D149" s="64" t="e">
        <f>IF(F149&lt;&gt;0,VLOOKUP($J149,'Table 1'!$B$13:$C$33,2,FALSE)/12*1000*Study_MW,0)</f>
        <v>#N/A</v>
      </c>
      <c r="E149" s="64" t="e">
        <f t="shared" si="53"/>
        <v>#N/A</v>
      </c>
      <c r="F149" s="49">
        <v>15155.590318424</v>
      </c>
      <c r="G149" s="68" t="e">
        <f t="shared" si="54"/>
        <v>#N/A</v>
      </c>
      <c r="I149" s="69">
        <f t="shared" si="51"/>
        <v>18</v>
      </c>
      <c r="J149" s="66">
        <f t="shared" si="55"/>
        <v>2035</v>
      </c>
      <c r="K149" s="70">
        <f t="shared" si="48"/>
        <v>49430</v>
      </c>
    </row>
    <row r="150" spans="2:11" outlineLevel="1">
      <c r="B150" s="70">
        <f t="shared" si="52"/>
        <v>49461</v>
      </c>
      <c r="C150" s="49">
        <v>11217.907557860017</v>
      </c>
      <c r="D150" s="64" t="e">
        <f>IF(F150&lt;&gt;0,VLOOKUP($J150,'Table 1'!$B$13:$C$33,2,FALSE)/12*1000*Study_MW,0)</f>
        <v>#N/A</v>
      </c>
      <c r="E150" s="64" t="e">
        <f t="shared" si="53"/>
        <v>#N/A</v>
      </c>
      <c r="F150" s="49">
        <v>16992.350587290999</v>
      </c>
      <c r="G150" s="68" t="e">
        <f t="shared" si="54"/>
        <v>#N/A</v>
      </c>
      <c r="I150" s="69">
        <f t="shared" si="51"/>
        <v>19</v>
      </c>
      <c r="J150" s="66">
        <f t="shared" si="55"/>
        <v>2035</v>
      </c>
      <c r="K150" s="70">
        <f t="shared" si="48"/>
        <v>49461</v>
      </c>
    </row>
    <row r="151" spans="2:11" outlineLevel="1">
      <c r="B151" s="70">
        <f t="shared" si="52"/>
        <v>49491</v>
      </c>
      <c r="C151" s="49">
        <v>169336.10587088764</v>
      </c>
      <c r="D151" s="64" t="e">
        <f>IF(F151&lt;&gt;0,VLOOKUP($J151,'Table 1'!$B$13:$C$33,2,FALSE)/12*1000*Study_MW,0)</f>
        <v>#N/A</v>
      </c>
      <c r="E151" s="64" t="e">
        <f t="shared" si="53"/>
        <v>#N/A</v>
      </c>
      <c r="F151" s="49">
        <v>16337.827087850001</v>
      </c>
      <c r="G151" s="68" t="e">
        <f t="shared" si="54"/>
        <v>#N/A</v>
      </c>
      <c r="I151" s="69">
        <f t="shared" si="51"/>
        <v>20</v>
      </c>
      <c r="J151" s="66">
        <f t="shared" si="55"/>
        <v>2035</v>
      </c>
      <c r="K151" s="70">
        <f t="shared" si="48"/>
        <v>49491</v>
      </c>
    </row>
    <row r="152" spans="2:11" outlineLevel="1">
      <c r="B152" s="70">
        <f t="shared" si="52"/>
        <v>49522</v>
      </c>
      <c r="C152" s="49">
        <v>143905.70665729046</v>
      </c>
      <c r="D152" s="64" t="e">
        <f>IF(F152&lt;&gt;0,VLOOKUP($J152,'Table 1'!$B$13:$C$33,2,FALSE)/12*1000*Study_MW,0)</f>
        <v>#N/A</v>
      </c>
      <c r="E152" s="64" t="e">
        <f t="shared" si="53"/>
        <v>#N/A</v>
      </c>
      <c r="F152" s="49">
        <v>13924.345262617</v>
      </c>
      <c r="G152" s="68" t="e">
        <f t="shared" si="54"/>
        <v>#N/A</v>
      </c>
      <c r="I152" s="69">
        <f t="shared" si="51"/>
        <v>21</v>
      </c>
      <c r="J152" s="66">
        <f t="shared" si="55"/>
        <v>2035</v>
      </c>
      <c r="K152" s="70">
        <f t="shared" si="48"/>
        <v>49522</v>
      </c>
    </row>
    <row r="153" spans="2:11" outlineLevel="1">
      <c r="B153" s="70">
        <f t="shared" si="52"/>
        <v>49553</v>
      </c>
      <c r="C153" s="49">
        <v>138238.12217223644</v>
      </c>
      <c r="D153" s="64" t="e">
        <f>IF(F153&lt;&gt;0,VLOOKUP($J153,'Table 1'!$B$13:$C$33,2,FALSE)/12*1000*Study_MW,0)</f>
        <v>#N/A</v>
      </c>
      <c r="E153" s="64" t="e">
        <f t="shared" si="53"/>
        <v>#N/A</v>
      </c>
      <c r="F153" s="49">
        <v>12203.126228360001</v>
      </c>
      <c r="G153" s="68" t="e">
        <f t="shared" si="54"/>
        <v>#N/A</v>
      </c>
      <c r="I153" s="69">
        <f t="shared" si="51"/>
        <v>22</v>
      </c>
      <c r="J153" s="66">
        <f t="shared" si="55"/>
        <v>2035</v>
      </c>
      <c r="K153" s="70">
        <f t="shared" si="48"/>
        <v>49553</v>
      </c>
    </row>
    <row r="154" spans="2:11" outlineLevel="1">
      <c r="B154" s="70">
        <f t="shared" si="52"/>
        <v>49583</v>
      </c>
      <c r="C154" s="49">
        <v>89158.626468077302</v>
      </c>
      <c r="D154" s="64" t="e">
        <f>IF(F154&lt;&gt;0,VLOOKUP($J154,'Table 1'!$B$13:$C$33,2,FALSE)/12*1000*Study_MW,0)</f>
        <v>#N/A</v>
      </c>
      <c r="E154" s="64" t="e">
        <f t="shared" si="53"/>
        <v>#N/A</v>
      </c>
      <c r="F154" s="49">
        <v>9651.5541050350002</v>
      </c>
      <c r="G154" s="68" t="e">
        <f t="shared" si="54"/>
        <v>#N/A</v>
      </c>
      <c r="I154" s="69">
        <f t="shared" si="51"/>
        <v>23</v>
      </c>
      <c r="J154" s="66">
        <f t="shared" si="55"/>
        <v>2035</v>
      </c>
      <c r="K154" s="70">
        <f t="shared" ref="K154:K192" si="56">IF(ISNUMBER(F154),IF(F154&lt;&gt;0,B154,""),"")</f>
        <v>49583</v>
      </c>
    </row>
    <row r="155" spans="2:11" outlineLevel="1">
      <c r="B155" s="70">
        <f t="shared" si="52"/>
        <v>49614</v>
      </c>
      <c r="C155" s="49">
        <v>63686.732564583421</v>
      </c>
      <c r="D155" s="64" t="e">
        <f>IF(F155&lt;&gt;0,VLOOKUP($J155,'Table 1'!$B$13:$C$33,2,FALSE)/12*1000*Study_MW,0)</f>
        <v>#N/A</v>
      </c>
      <c r="E155" s="64" t="e">
        <f t="shared" si="53"/>
        <v>#N/A</v>
      </c>
      <c r="F155" s="49">
        <v>6158.2816082440004</v>
      </c>
      <c r="G155" s="68" t="e">
        <f t="shared" si="54"/>
        <v>#N/A</v>
      </c>
      <c r="I155" s="69">
        <f t="shared" si="51"/>
        <v>24</v>
      </c>
      <c r="J155" s="66">
        <f t="shared" si="55"/>
        <v>2035</v>
      </c>
      <c r="K155" s="70">
        <f t="shared" si="56"/>
        <v>49614</v>
      </c>
    </row>
    <row r="156" spans="2:11" outlineLevel="1">
      <c r="B156" s="74">
        <f t="shared" si="52"/>
        <v>49644</v>
      </c>
      <c r="C156" s="71">
        <v>-12353.556815609336</v>
      </c>
      <c r="D156" s="72" t="e">
        <f>IF(F156&lt;&gt;0,VLOOKUP($J156,'Table 1'!$B$13:$C$33,2,FALSE)/12*1000*Study_MW,0)</f>
        <v>#N/A</v>
      </c>
      <c r="E156" s="72" t="e">
        <f t="shared" si="53"/>
        <v>#N/A</v>
      </c>
      <c r="F156" s="71">
        <v>4502.1179244779996</v>
      </c>
      <c r="G156" s="73" t="e">
        <f t="shared" si="54"/>
        <v>#N/A</v>
      </c>
      <c r="I156" s="57">
        <f t="shared" si="51"/>
        <v>25</v>
      </c>
      <c r="J156" s="66">
        <f t="shared" si="55"/>
        <v>2035</v>
      </c>
      <c r="K156" s="74">
        <f t="shared" si="56"/>
        <v>49644</v>
      </c>
    </row>
    <row r="157" spans="2:11" outlineLevel="1">
      <c r="B157" s="67">
        <f t="shared" si="52"/>
        <v>49675</v>
      </c>
      <c r="C157" s="62">
        <v>98511.886369720101</v>
      </c>
      <c r="D157" s="63" t="e">
        <f>IF(F157&lt;&gt;0,VLOOKUP($J157,'Table 1'!$B$13:$C$33,2,FALSE)/12*1000*Study_MW,0)</f>
        <v>#N/A</v>
      </c>
      <c r="E157" s="63" t="e">
        <f t="shared" si="53"/>
        <v>#N/A</v>
      </c>
      <c r="F157" s="62">
        <v>5581.5351519300002</v>
      </c>
      <c r="G157" s="65" t="e">
        <f t="shared" si="54"/>
        <v>#N/A</v>
      </c>
      <c r="I157" s="53">
        <f>I37</f>
        <v>27</v>
      </c>
      <c r="J157" s="66">
        <f t="shared" si="55"/>
        <v>2036</v>
      </c>
      <c r="K157" s="67">
        <f t="shared" si="56"/>
        <v>49675</v>
      </c>
    </row>
    <row r="158" spans="2:11" outlineLevel="1">
      <c r="B158" s="70">
        <f t="shared" si="52"/>
        <v>49706</v>
      </c>
      <c r="C158" s="49">
        <v>101820.07338835299</v>
      </c>
      <c r="D158" s="64" t="e">
        <f>IF(F158&lt;&gt;0,VLOOKUP($J158,'Table 1'!$B$13:$C$33,2,FALSE)/12*1000*Study_MW,0)</f>
        <v>#N/A</v>
      </c>
      <c r="E158" s="64" t="e">
        <f t="shared" si="53"/>
        <v>#N/A</v>
      </c>
      <c r="F158" s="49">
        <v>6898.785462756</v>
      </c>
      <c r="G158" s="68" t="e">
        <f t="shared" si="54"/>
        <v>#N/A</v>
      </c>
      <c r="I158" s="69">
        <f t="shared" si="51"/>
        <v>28</v>
      </c>
      <c r="J158" s="66">
        <f t="shared" si="55"/>
        <v>2036</v>
      </c>
      <c r="K158" s="70">
        <f t="shared" si="56"/>
        <v>49706</v>
      </c>
    </row>
    <row r="159" spans="2:11" outlineLevel="1">
      <c r="B159" s="70">
        <f t="shared" si="52"/>
        <v>49735</v>
      </c>
      <c r="C159" s="49">
        <v>100172.19697293639</v>
      </c>
      <c r="D159" s="64" t="e">
        <f>IF(F159&lt;&gt;0,VLOOKUP($J159,'Table 1'!$B$13:$C$33,2,FALSE)/12*1000*Study_MW,0)</f>
        <v>#N/A</v>
      </c>
      <c r="E159" s="64" t="e">
        <f t="shared" si="53"/>
        <v>#N/A</v>
      </c>
      <c r="F159" s="49">
        <v>9586.7159819230001</v>
      </c>
      <c r="G159" s="68" t="e">
        <f t="shared" si="54"/>
        <v>#N/A</v>
      </c>
      <c r="I159" s="69">
        <f t="shared" si="51"/>
        <v>29</v>
      </c>
      <c r="J159" s="66">
        <f t="shared" si="55"/>
        <v>2036</v>
      </c>
      <c r="K159" s="70">
        <f t="shared" si="56"/>
        <v>49735</v>
      </c>
    </row>
    <row r="160" spans="2:11" outlineLevel="1">
      <c r="B160" s="70">
        <f t="shared" si="52"/>
        <v>49766</v>
      </c>
      <c r="C160" s="49">
        <v>59639.805661827326</v>
      </c>
      <c r="D160" s="64" t="e">
        <f>IF(F160&lt;&gt;0,VLOOKUP($J160,'Table 1'!$B$13:$C$33,2,FALSE)/12*1000*Study_MW,0)</f>
        <v>#N/A</v>
      </c>
      <c r="E160" s="64" t="e">
        <f t="shared" si="53"/>
        <v>#N/A</v>
      </c>
      <c r="F160" s="49">
        <v>11091.995329672</v>
      </c>
      <c r="G160" s="68" t="e">
        <f t="shared" si="54"/>
        <v>#N/A</v>
      </c>
      <c r="I160" s="69">
        <f t="shared" si="51"/>
        <v>30</v>
      </c>
      <c r="J160" s="66">
        <f t="shared" si="55"/>
        <v>2036</v>
      </c>
      <c r="K160" s="70">
        <f t="shared" si="56"/>
        <v>49766</v>
      </c>
    </row>
    <row r="161" spans="2:11" outlineLevel="1">
      <c r="B161" s="70">
        <f t="shared" si="52"/>
        <v>49796</v>
      </c>
      <c r="C161" s="49">
        <v>53151.065890952945</v>
      </c>
      <c r="D161" s="64" t="e">
        <f>IF(F161&lt;&gt;0,VLOOKUP($J161,'Table 1'!$B$13:$C$33,2,FALSE)/12*1000*Study_MW,0)</f>
        <v>#N/A</v>
      </c>
      <c r="E161" s="64" t="e">
        <f t="shared" si="53"/>
        <v>#N/A</v>
      </c>
      <c r="F161" s="49">
        <v>15079.812106837</v>
      </c>
      <c r="G161" s="68" t="e">
        <f t="shared" si="54"/>
        <v>#N/A</v>
      </c>
      <c r="I161" s="69">
        <f t="shared" si="51"/>
        <v>31</v>
      </c>
      <c r="J161" s="66">
        <f t="shared" si="55"/>
        <v>2036</v>
      </c>
      <c r="K161" s="70">
        <f t="shared" si="56"/>
        <v>49796</v>
      </c>
    </row>
    <row r="162" spans="2:11" outlineLevel="1">
      <c r="B162" s="70">
        <f t="shared" si="52"/>
        <v>49827</v>
      </c>
      <c r="C162" s="49">
        <v>132622.86237220466</v>
      </c>
      <c r="D162" s="64" t="e">
        <f>IF(F162&lt;&gt;0,VLOOKUP($J162,'Table 1'!$B$13:$C$33,2,FALSE)/12*1000*Study_MW,0)</f>
        <v>#N/A</v>
      </c>
      <c r="E162" s="64" t="e">
        <f t="shared" si="53"/>
        <v>#N/A</v>
      </c>
      <c r="F162" s="49">
        <v>16907.388864525001</v>
      </c>
      <c r="G162" s="68" t="e">
        <f t="shared" si="54"/>
        <v>#N/A</v>
      </c>
      <c r="I162" s="69">
        <f t="shared" si="51"/>
        <v>32</v>
      </c>
      <c r="J162" s="66">
        <f t="shared" si="55"/>
        <v>2036</v>
      </c>
      <c r="K162" s="70">
        <f t="shared" si="56"/>
        <v>49827</v>
      </c>
    </row>
    <row r="163" spans="2:11" outlineLevel="1">
      <c r="B163" s="70">
        <f t="shared" si="52"/>
        <v>49857</v>
      </c>
      <c r="C163" s="49">
        <v>193208.23621976376</v>
      </c>
      <c r="D163" s="64" t="e">
        <f>IF(F163&lt;&gt;0,VLOOKUP($J163,'Table 1'!$B$13:$C$33,2,FALSE)/12*1000*Study_MW,0)</f>
        <v>#N/A</v>
      </c>
      <c r="E163" s="64" t="e">
        <f t="shared" si="53"/>
        <v>#N/A</v>
      </c>
      <c r="F163" s="49">
        <v>16256.13767604</v>
      </c>
      <c r="G163" s="68" t="e">
        <f t="shared" si="54"/>
        <v>#N/A</v>
      </c>
      <c r="I163" s="69">
        <f t="shared" si="51"/>
        <v>33</v>
      </c>
      <c r="J163" s="66">
        <f t="shared" si="55"/>
        <v>2036</v>
      </c>
      <c r="K163" s="70">
        <f t="shared" si="56"/>
        <v>49857</v>
      </c>
    </row>
    <row r="164" spans="2:11" outlineLevel="1">
      <c r="B164" s="70">
        <f t="shared" si="52"/>
        <v>49888</v>
      </c>
      <c r="C164" s="49">
        <v>125747.87593401968</v>
      </c>
      <c r="D164" s="64" t="e">
        <f>IF(F164&lt;&gt;0,VLOOKUP($J164,'Table 1'!$B$13:$C$33,2,FALSE)/12*1000*Study_MW,0)</f>
        <v>#N/A</v>
      </c>
      <c r="E164" s="64" t="e">
        <f t="shared" si="53"/>
        <v>#N/A</v>
      </c>
      <c r="F164" s="49">
        <v>13854.723491634</v>
      </c>
      <c r="G164" s="68" t="e">
        <f t="shared" si="54"/>
        <v>#N/A</v>
      </c>
      <c r="I164" s="69">
        <f t="shared" si="51"/>
        <v>34</v>
      </c>
      <c r="J164" s="66">
        <f t="shared" si="55"/>
        <v>2036</v>
      </c>
      <c r="K164" s="70">
        <f t="shared" si="56"/>
        <v>49888</v>
      </c>
    </row>
    <row r="165" spans="2:11" outlineLevel="1">
      <c r="B165" s="70">
        <f t="shared" si="52"/>
        <v>49919</v>
      </c>
      <c r="C165" s="49">
        <v>34643.817709922791</v>
      </c>
      <c r="D165" s="64" t="e">
        <f>IF(F165&lt;&gt;0,VLOOKUP($J165,'Table 1'!$B$13:$C$33,2,FALSE)/12*1000*Study_MW,0)</f>
        <v>#N/A</v>
      </c>
      <c r="E165" s="64" t="e">
        <f t="shared" si="53"/>
        <v>#N/A</v>
      </c>
      <c r="F165" s="49">
        <v>12142.110867682</v>
      </c>
      <c r="G165" s="68" t="e">
        <f t="shared" si="54"/>
        <v>#N/A</v>
      </c>
      <c r="I165" s="69">
        <f t="shared" si="51"/>
        <v>35</v>
      </c>
      <c r="J165" s="66">
        <f t="shared" si="55"/>
        <v>2036</v>
      </c>
      <c r="K165" s="70">
        <f t="shared" si="56"/>
        <v>49919</v>
      </c>
    </row>
    <row r="166" spans="2:11" outlineLevel="1">
      <c r="B166" s="70">
        <f t="shared" si="52"/>
        <v>49949</v>
      </c>
      <c r="C166" s="49">
        <v>57217.328269541264</v>
      </c>
      <c r="D166" s="64" t="e">
        <f>IF(F166&lt;&gt;0,VLOOKUP($J166,'Table 1'!$B$13:$C$33,2,FALSE)/12*1000*Study_MW,0)</f>
        <v>#N/A</v>
      </c>
      <c r="E166" s="64" t="e">
        <f t="shared" si="53"/>
        <v>#N/A</v>
      </c>
      <c r="F166" s="49">
        <v>9603.2964123029997</v>
      </c>
      <c r="G166" s="68" t="e">
        <f t="shared" si="54"/>
        <v>#N/A</v>
      </c>
      <c r="I166" s="69">
        <f t="shared" si="51"/>
        <v>36</v>
      </c>
      <c r="J166" s="66">
        <f t="shared" si="55"/>
        <v>2036</v>
      </c>
      <c r="K166" s="70">
        <f t="shared" si="56"/>
        <v>49949</v>
      </c>
    </row>
    <row r="167" spans="2:11" outlineLevel="1">
      <c r="B167" s="70">
        <f t="shared" si="52"/>
        <v>49980</v>
      </c>
      <c r="C167" s="49">
        <v>6098.6070857048035</v>
      </c>
      <c r="D167" s="64" t="e">
        <f>IF(F167&lt;&gt;0,VLOOKUP($J167,'Table 1'!$B$13:$C$33,2,FALSE)/12*1000*Study_MW,0)</f>
        <v>#N/A</v>
      </c>
      <c r="E167" s="64" t="e">
        <f t="shared" si="53"/>
        <v>#N/A</v>
      </c>
      <c r="F167" s="49">
        <v>6127.4901944359999</v>
      </c>
      <c r="G167" s="68" t="e">
        <f t="shared" si="54"/>
        <v>#N/A</v>
      </c>
      <c r="I167" s="69">
        <f t="shared" si="51"/>
        <v>37</v>
      </c>
      <c r="J167" s="66">
        <f t="shared" si="55"/>
        <v>2036</v>
      </c>
      <c r="K167" s="70">
        <f t="shared" si="56"/>
        <v>49980</v>
      </c>
    </row>
    <row r="168" spans="2:11" outlineLevel="1">
      <c r="B168" s="74">
        <f t="shared" si="52"/>
        <v>50010</v>
      </c>
      <c r="C168" s="71">
        <v>-66540.600716710091</v>
      </c>
      <c r="D168" s="72" t="e">
        <f>IF(F168&lt;&gt;0,VLOOKUP($J168,'Table 1'!$B$13:$C$33,2,FALSE)/12*1000*Study_MW,0)</f>
        <v>#N/A</v>
      </c>
      <c r="E168" s="72" t="e">
        <f t="shared" si="53"/>
        <v>#N/A</v>
      </c>
      <c r="F168" s="71">
        <v>4479.607362705</v>
      </c>
      <c r="G168" s="73" t="e">
        <f t="shared" si="54"/>
        <v>#N/A</v>
      </c>
      <c r="I168" s="57">
        <f t="shared" si="51"/>
        <v>38</v>
      </c>
      <c r="J168" s="66">
        <f t="shared" si="55"/>
        <v>2036</v>
      </c>
      <c r="K168" s="74">
        <f t="shared" si="56"/>
        <v>50010</v>
      </c>
    </row>
    <row r="169" spans="2:11" outlineLevel="1">
      <c r="B169" s="67">
        <f t="shared" si="52"/>
        <v>50041</v>
      </c>
      <c r="C169" s="62">
        <v>87933.441809982061</v>
      </c>
      <c r="D169" s="63" t="e">
        <f>IF(F169&lt;&gt;0,VLOOKUP($J169,'Table 1'!$B$13:$C$33,2,FALSE)/12*1000*Study_MW,0)</f>
        <v>#N/A</v>
      </c>
      <c r="E169" s="63" t="e">
        <f t="shared" si="53"/>
        <v>#N/A</v>
      </c>
      <c r="F169" s="62">
        <v>5553.6274672400004</v>
      </c>
      <c r="G169" s="65" t="e">
        <f t="shared" si="54"/>
        <v>#N/A</v>
      </c>
      <c r="I169" s="53">
        <f>I49</f>
        <v>40</v>
      </c>
      <c r="J169" s="66">
        <f t="shared" si="55"/>
        <v>2037</v>
      </c>
      <c r="K169" s="67">
        <f t="shared" si="56"/>
        <v>50041</v>
      </c>
    </row>
    <row r="170" spans="2:11" outlineLevel="1">
      <c r="B170" s="70">
        <f t="shared" si="52"/>
        <v>50072</v>
      </c>
      <c r="C170" s="49">
        <v>82249.952720627189</v>
      </c>
      <c r="D170" s="64" t="e">
        <f>IF(F170&lt;&gt;0,VLOOKUP($J170,'Table 1'!$B$13:$C$33,2,FALSE)/12*1000*Study_MW,0)</f>
        <v>#N/A</v>
      </c>
      <c r="E170" s="64" t="e">
        <f t="shared" si="53"/>
        <v>#N/A</v>
      </c>
      <c r="F170" s="49">
        <v>6540.8395428920003</v>
      </c>
      <c r="G170" s="68" t="e">
        <f t="shared" si="54"/>
        <v>#N/A</v>
      </c>
      <c r="I170" s="69">
        <f t="shared" si="51"/>
        <v>41</v>
      </c>
      <c r="J170" s="66">
        <f t="shared" si="55"/>
        <v>2037</v>
      </c>
      <c r="K170" s="70">
        <f t="shared" si="56"/>
        <v>50072</v>
      </c>
    </row>
    <row r="171" spans="2:11" outlineLevel="1">
      <c r="B171" s="70">
        <f t="shared" si="52"/>
        <v>50100</v>
      </c>
      <c r="C171" s="49">
        <v>86574.105505906045</v>
      </c>
      <c r="D171" s="64" t="e">
        <f>IF(F171&lt;&gt;0,VLOOKUP($J171,'Table 1'!$B$13:$C$33,2,FALSE)/12*1000*Study_MW,0)</f>
        <v>#N/A</v>
      </c>
      <c r="E171" s="64" t="e">
        <f t="shared" si="53"/>
        <v>#N/A</v>
      </c>
      <c r="F171" s="49">
        <v>9538.7823671309998</v>
      </c>
      <c r="G171" s="68" t="e">
        <f t="shared" si="54"/>
        <v>#N/A</v>
      </c>
      <c r="I171" s="69">
        <f t="shared" si="51"/>
        <v>42</v>
      </c>
      <c r="J171" s="66">
        <f t="shared" si="55"/>
        <v>2037</v>
      </c>
      <c r="K171" s="70">
        <f t="shared" si="56"/>
        <v>50100</v>
      </c>
    </row>
    <row r="172" spans="2:11" outlineLevel="1">
      <c r="B172" s="70">
        <f t="shared" si="52"/>
        <v>50131</v>
      </c>
      <c r="C172" s="49">
        <v>72999.935195222497</v>
      </c>
      <c r="D172" s="64" t="e">
        <f>IF(F172&lt;&gt;0,VLOOKUP($J172,'Table 1'!$B$13:$C$33,2,FALSE)/12*1000*Study_MW,0)</f>
        <v>#N/A</v>
      </c>
      <c r="E172" s="64" t="e">
        <f t="shared" si="53"/>
        <v>#N/A</v>
      </c>
      <c r="F172" s="49">
        <v>11036.535005924001</v>
      </c>
      <c r="G172" s="68" t="e">
        <f t="shared" si="54"/>
        <v>#N/A</v>
      </c>
      <c r="I172" s="69">
        <f t="shared" si="51"/>
        <v>43</v>
      </c>
      <c r="J172" s="66">
        <f t="shared" si="55"/>
        <v>2037</v>
      </c>
      <c r="K172" s="70">
        <f t="shared" si="56"/>
        <v>50131</v>
      </c>
    </row>
    <row r="173" spans="2:11" outlineLevel="1">
      <c r="B173" s="70">
        <f t="shared" si="52"/>
        <v>50161</v>
      </c>
      <c r="C173" s="49">
        <v>86355.035648755729</v>
      </c>
      <c r="D173" s="64" t="e">
        <f>IF(F173&lt;&gt;0,VLOOKUP($J173,'Table 1'!$B$13:$C$33,2,FALSE)/12*1000*Study_MW,0)</f>
        <v>#N/A</v>
      </c>
      <c r="E173" s="64" t="e">
        <f t="shared" si="53"/>
        <v>#N/A</v>
      </c>
      <c r="F173" s="49">
        <v>15004.413390637001</v>
      </c>
      <c r="G173" s="68" t="e">
        <f t="shared" si="54"/>
        <v>#N/A</v>
      </c>
      <c r="I173" s="69">
        <f t="shared" si="51"/>
        <v>44</v>
      </c>
      <c r="J173" s="66">
        <f t="shared" si="55"/>
        <v>2037</v>
      </c>
      <c r="K173" s="70">
        <f t="shared" si="56"/>
        <v>50161</v>
      </c>
    </row>
    <row r="174" spans="2:11" outlineLevel="1">
      <c r="B174" s="70">
        <f t="shared" si="52"/>
        <v>50192</v>
      </c>
      <c r="C174" s="49">
        <v>150814.94004058838</v>
      </c>
      <c r="D174" s="64" t="e">
        <f>IF(F174&lt;&gt;0,VLOOKUP($J174,'Table 1'!$B$13:$C$33,2,FALSE)/12*1000*Study_MW,0)</f>
        <v>#N/A</v>
      </c>
      <c r="E174" s="64" t="e">
        <f t="shared" si="53"/>
        <v>#N/A</v>
      </c>
      <c r="F174" s="49">
        <v>16822.851811788001</v>
      </c>
      <c r="G174" s="68" t="e">
        <f t="shared" si="54"/>
        <v>#N/A</v>
      </c>
      <c r="I174" s="69">
        <f t="shared" si="51"/>
        <v>45</v>
      </c>
      <c r="J174" s="66">
        <f t="shared" si="55"/>
        <v>2037</v>
      </c>
      <c r="K174" s="70">
        <f t="shared" si="56"/>
        <v>50192</v>
      </c>
    </row>
    <row r="175" spans="2:11" outlineLevel="1">
      <c r="B175" s="70">
        <f t="shared" si="52"/>
        <v>50222</v>
      </c>
      <c r="C175" s="49">
        <v>95638.868110507727</v>
      </c>
      <c r="D175" s="64" t="e">
        <f>IF(F175&lt;&gt;0,VLOOKUP($J175,'Table 1'!$B$13:$C$33,2,FALSE)/12*1000*Study_MW,0)</f>
        <v>#N/A</v>
      </c>
      <c r="E175" s="64" t="e">
        <f t="shared" si="53"/>
        <v>#N/A</v>
      </c>
      <c r="F175" s="49">
        <v>16174.857048844</v>
      </c>
      <c r="G175" s="68" t="e">
        <f t="shared" si="54"/>
        <v>#N/A</v>
      </c>
      <c r="I175" s="69">
        <f t="shared" si="51"/>
        <v>46</v>
      </c>
      <c r="J175" s="66">
        <f t="shared" si="55"/>
        <v>2037</v>
      </c>
      <c r="K175" s="70">
        <f t="shared" si="56"/>
        <v>50222</v>
      </c>
    </row>
    <row r="176" spans="2:11" outlineLevel="1">
      <c r="B176" s="70">
        <f t="shared" si="52"/>
        <v>50253</v>
      </c>
      <c r="C176" s="49">
        <v>54926.46556481719</v>
      </c>
      <c r="D176" s="64" t="e">
        <f>IF(F176&lt;&gt;0,VLOOKUP($J176,'Table 1'!$B$13:$C$33,2,FALSE)/12*1000*Study_MW,0)</f>
        <v>#N/A</v>
      </c>
      <c r="E176" s="64" t="e">
        <f t="shared" si="53"/>
        <v>#N/A</v>
      </c>
      <c r="F176" s="49">
        <v>13785.449856675999</v>
      </c>
      <c r="G176" s="68" t="e">
        <f t="shared" si="54"/>
        <v>#N/A</v>
      </c>
      <c r="I176" s="69">
        <f t="shared" si="51"/>
        <v>47</v>
      </c>
      <c r="J176" s="66">
        <f t="shared" si="55"/>
        <v>2037</v>
      </c>
      <c r="K176" s="70">
        <f t="shared" si="56"/>
        <v>50253</v>
      </c>
    </row>
    <row r="177" spans="2:11" outlineLevel="1">
      <c r="B177" s="70">
        <f t="shared" si="52"/>
        <v>50284</v>
      </c>
      <c r="C177" s="49">
        <v>148204.58058714867</v>
      </c>
      <c r="D177" s="64" t="e">
        <f>IF(F177&lt;&gt;0,VLOOKUP($J177,'Table 1'!$B$13:$C$33,2,FALSE)/12*1000*Study_MW,0)</f>
        <v>#N/A</v>
      </c>
      <c r="E177" s="64" t="e">
        <f t="shared" si="53"/>
        <v>#N/A</v>
      </c>
      <c r="F177" s="49">
        <v>12081.400128628</v>
      </c>
      <c r="G177" s="68" t="e">
        <f t="shared" si="54"/>
        <v>#N/A</v>
      </c>
      <c r="I177" s="69">
        <f t="shared" si="51"/>
        <v>48</v>
      </c>
      <c r="J177" s="66">
        <f t="shared" si="55"/>
        <v>2037</v>
      </c>
      <c r="K177" s="70">
        <f t="shared" si="56"/>
        <v>50284</v>
      </c>
    </row>
    <row r="178" spans="2:11" outlineLevel="1">
      <c r="B178" s="70">
        <f t="shared" si="52"/>
        <v>50314</v>
      </c>
      <c r="C178" s="49">
        <v>59531.755804330111</v>
      </c>
      <c r="D178" s="64" t="e">
        <f>IF(F178&lt;&gt;0,VLOOKUP($J178,'Table 1'!$B$13:$C$33,2,FALSE)/12*1000*Study_MW,0)</f>
        <v>#N/A</v>
      </c>
      <c r="E178" s="64" t="e">
        <f t="shared" si="53"/>
        <v>#N/A</v>
      </c>
      <c r="F178" s="49">
        <v>9555.2798879889997</v>
      </c>
      <c r="G178" s="68" t="e">
        <f t="shared" si="54"/>
        <v>#N/A</v>
      </c>
      <c r="I178" s="69">
        <f t="shared" si="51"/>
        <v>49</v>
      </c>
      <c r="J178" s="66">
        <f t="shared" si="55"/>
        <v>2037</v>
      </c>
      <c r="K178" s="70">
        <f t="shared" si="56"/>
        <v>50314</v>
      </c>
    </row>
    <row r="179" spans="2:11" outlineLevel="1">
      <c r="B179" s="70">
        <f t="shared" si="52"/>
        <v>50345</v>
      </c>
      <c r="C179" s="49">
        <v>44871.721093609929</v>
      </c>
      <c r="D179" s="64" t="e">
        <f>IF(F179&lt;&gt;0,VLOOKUP($J179,'Table 1'!$B$13:$C$33,2,FALSE)/12*1000*Study_MW,0)</f>
        <v>#N/A</v>
      </c>
      <c r="E179" s="64" t="e">
        <f t="shared" si="53"/>
        <v>#N/A</v>
      </c>
      <c r="F179" s="49">
        <v>6096.8527410300003</v>
      </c>
      <c r="G179" s="68" t="e">
        <f t="shared" si="54"/>
        <v>#N/A</v>
      </c>
      <c r="I179" s="69">
        <f t="shared" si="51"/>
        <v>50</v>
      </c>
      <c r="J179" s="66">
        <f t="shared" si="55"/>
        <v>2037</v>
      </c>
      <c r="K179" s="70">
        <f t="shared" si="56"/>
        <v>50345</v>
      </c>
    </row>
    <row r="180" spans="2:11" outlineLevel="1">
      <c r="B180" s="74">
        <f t="shared" si="52"/>
        <v>50375</v>
      </c>
      <c r="C180" s="71">
        <v>-52057.400067299604</v>
      </c>
      <c r="D180" s="72" t="e">
        <f>IF(F180&lt;&gt;0,VLOOKUP($J180,'Table 1'!$B$13:$C$33,2,FALSE)/12*1000*Study_MW,0)</f>
        <v>#N/A</v>
      </c>
      <c r="E180" s="72" t="e">
        <f t="shared" si="53"/>
        <v>#N/A</v>
      </c>
      <c r="F180" s="71">
        <v>4457.2093198849998</v>
      </c>
      <c r="G180" s="73" t="e">
        <f t="shared" si="54"/>
        <v>#N/A</v>
      </c>
      <c r="I180" s="57">
        <f t="shared" si="51"/>
        <v>51</v>
      </c>
      <c r="J180" s="66">
        <f t="shared" si="55"/>
        <v>2037</v>
      </c>
      <c r="K180" s="74">
        <f t="shared" si="56"/>
        <v>50375</v>
      </c>
    </row>
    <row r="181" spans="2:11">
      <c r="B181" s="67">
        <f t="shared" si="52"/>
        <v>50406</v>
      </c>
      <c r="C181" s="62">
        <v>51625.976401120424</v>
      </c>
      <c r="D181" s="63" t="e">
        <f>IF(F181&lt;&gt;0,VLOOKUP($J181,'Table 1'!$B$13:$C$33,2,FALSE)/12*1000*Study_MW,0)</f>
        <v>#N/A</v>
      </c>
      <c r="E181" s="63" t="e">
        <f t="shared" si="53"/>
        <v>#N/A</v>
      </c>
      <c r="F181" s="62">
        <v>5525.8593367100002</v>
      </c>
      <c r="G181" s="65" t="e">
        <f t="shared" si="54"/>
        <v>#N/A</v>
      </c>
      <c r="I181" s="53">
        <f>I61</f>
        <v>53</v>
      </c>
      <c r="J181" s="66">
        <f t="shared" si="55"/>
        <v>2038</v>
      </c>
      <c r="K181" s="67">
        <f t="shared" si="56"/>
        <v>50406</v>
      </c>
    </row>
    <row r="182" spans="2:11">
      <c r="B182" s="70">
        <f t="shared" si="52"/>
        <v>50437</v>
      </c>
      <c r="C182" s="49">
        <v>83238.285066083074</v>
      </c>
      <c r="D182" s="64" t="e">
        <f>IF(F182&lt;&gt;0,VLOOKUP($J182,'Table 1'!$B$13:$C$33,2,FALSE)/12*1000*Study_MW,0)</f>
        <v>#N/A</v>
      </c>
      <c r="E182" s="64" t="e">
        <f t="shared" si="53"/>
        <v>#N/A</v>
      </c>
      <c r="F182" s="49">
        <v>6508.1354236070001</v>
      </c>
      <c r="G182" s="68" t="e">
        <f t="shared" si="54"/>
        <v>#N/A</v>
      </c>
      <c r="I182" s="69">
        <f t="shared" si="51"/>
        <v>54</v>
      </c>
      <c r="J182" s="66">
        <f t="shared" si="55"/>
        <v>2038</v>
      </c>
      <c r="K182" s="70">
        <f t="shared" si="56"/>
        <v>50437</v>
      </c>
    </row>
    <row r="183" spans="2:11">
      <c r="B183" s="70">
        <f t="shared" si="52"/>
        <v>50465</v>
      </c>
      <c r="C183" s="49">
        <v>88976.02838024497</v>
      </c>
      <c r="D183" s="64" t="e">
        <f>IF(F183&lt;&gt;0,VLOOKUP($J183,'Table 1'!$B$13:$C$33,2,FALSE)/12*1000*Study_MW,0)</f>
        <v>#N/A</v>
      </c>
      <c r="E183" s="64" t="e">
        <f t="shared" si="53"/>
        <v>#N/A</v>
      </c>
      <c r="F183" s="49">
        <v>9491.08837829</v>
      </c>
      <c r="G183" s="68" t="e">
        <f t="shared" si="54"/>
        <v>#N/A</v>
      </c>
      <c r="I183" s="69">
        <f t="shared" si="51"/>
        <v>55</v>
      </c>
      <c r="J183" s="66">
        <f t="shared" si="55"/>
        <v>2038</v>
      </c>
      <c r="K183" s="70">
        <f t="shared" si="56"/>
        <v>50465</v>
      </c>
    </row>
    <row r="184" spans="2:11">
      <c r="B184" s="70">
        <f t="shared" si="52"/>
        <v>50496</v>
      </c>
      <c r="C184" s="49">
        <v>72882.511669784784</v>
      </c>
      <c r="D184" s="64" t="e">
        <f>IF(F184&lt;&gt;0,VLOOKUP($J184,'Table 1'!$B$13:$C$33,2,FALSE)/12*1000*Study_MW,0)</f>
        <v>#N/A</v>
      </c>
      <c r="E184" s="64" t="e">
        <f t="shared" si="53"/>
        <v>#N/A</v>
      </c>
      <c r="F184" s="49">
        <v>10981.352378194</v>
      </c>
      <c r="G184" s="68" t="e">
        <f t="shared" si="54"/>
        <v>#N/A</v>
      </c>
      <c r="I184" s="69">
        <f t="shared" si="51"/>
        <v>56</v>
      </c>
      <c r="J184" s="66">
        <f t="shared" si="55"/>
        <v>2038</v>
      </c>
      <c r="K184" s="70">
        <f t="shared" si="56"/>
        <v>50496</v>
      </c>
    </row>
    <row r="185" spans="2:11">
      <c r="B185" s="70">
        <f t="shared" si="52"/>
        <v>50526</v>
      </c>
      <c r="C185" s="49">
        <v>79538.486870266497</v>
      </c>
      <c r="D185" s="64" t="e">
        <f>IF(F185&lt;&gt;0,VLOOKUP($J185,'Table 1'!$B$13:$C$33,2,FALSE)/12*1000*Study_MW,0)</f>
        <v>#N/A</v>
      </c>
      <c r="E185" s="64" t="e">
        <f t="shared" si="53"/>
        <v>#N/A</v>
      </c>
      <c r="F185" s="49">
        <v>14929.390834002001</v>
      </c>
      <c r="G185" s="68" t="e">
        <f t="shared" si="54"/>
        <v>#N/A</v>
      </c>
      <c r="I185" s="69">
        <f t="shared" si="51"/>
        <v>57</v>
      </c>
      <c r="J185" s="66">
        <f t="shared" si="55"/>
        <v>2038</v>
      </c>
      <c r="K185" s="70">
        <f t="shared" si="56"/>
        <v>50526</v>
      </c>
    </row>
    <row r="186" spans="2:11">
      <c r="B186" s="70">
        <f t="shared" si="52"/>
        <v>50557</v>
      </c>
      <c r="C186" s="49">
        <v>132543.76614163816</v>
      </c>
      <c r="D186" s="64" t="e">
        <f>IF(F186&lt;&gt;0,VLOOKUP($J186,'Table 1'!$B$13:$C$33,2,FALSE)/12*1000*Study_MW,0)</f>
        <v>#N/A</v>
      </c>
      <c r="E186" s="64" t="e">
        <f t="shared" si="53"/>
        <v>#N/A</v>
      </c>
      <c r="F186" s="49">
        <v>16738.737675797998</v>
      </c>
      <c r="G186" s="68" t="e">
        <f t="shared" si="54"/>
        <v>#N/A</v>
      </c>
      <c r="I186" s="69">
        <f t="shared" si="51"/>
        <v>58</v>
      </c>
      <c r="J186" s="66">
        <f t="shared" si="55"/>
        <v>2038</v>
      </c>
      <c r="K186" s="70">
        <f t="shared" si="56"/>
        <v>50557</v>
      </c>
    </row>
    <row r="187" spans="2:11">
      <c r="B187" s="70">
        <f t="shared" si="52"/>
        <v>50587</v>
      </c>
      <c r="C187" s="49">
        <v>175507.81682394445</v>
      </c>
      <c r="D187" s="64" t="e">
        <f>IF(F187&lt;&gt;0,VLOOKUP($J187,'Table 1'!$B$13:$C$33,2,FALSE)/12*1000*Study_MW,0)</f>
        <v>#N/A</v>
      </c>
      <c r="E187" s="64" t="e">
        <f t="shared" si="53"/>
        <v>#N/A</v>
      </c>
      <c r="F187" s="49">
        <v>16093.983052035001</v>
      </c>
      <c r="G187" s="68" t="e">
        <f t="shared" si="54"/>
        <v>#N/A</v>
      </c>
      <c r="I187" s="69">
        <f t="shared" si="51"/>
        <v>59</v>
      </c>
      <c r="J187" s="66">
        <f t="shared" si="55"/>
        <v>2038</v>
      </c>
      <c r="K187" s="70">
        <f t="shared" si="56"/>
        <v>50587</v>
      </c>
    </row>
    <row r="188" spans="2:11">
      <c r="B188" s="70">
        <f t="shared" si="52"/>
        <v>50618</v>
      </c>
      <c r="C188" s="49">
        <v>207536.05616958439</v>
      </c>
      <c r="D188" s="64" t="e">
        <f>IF(F188&lt;&gt;0,VLOOKUP($J188,'Table 1'!$B$13:$C$33,2,FALSE)/12*1000*Study_MW,0)</f>
        <v>#N/A</v>
      </c>
      <c r="E188" s="64" t="e">
        <f t="shared" si="53"/>
        <v>#N/A</v>
      </c>
      <c r="F188" s="49">
        <v>13716.522656536999</v>
      </c>
      <c r="G188" s="68" t="e">
        <f t="shared" si="54"/>
        <v>#N/A</v>
      </c>
      <c r="I188" s="69">
        <f t="shared" si="51"/>
        <v>60</v>
      </c>
      <c r="J188" s="66">
        <f t="shared" si="55"/>
        <v>2038</v>
      </c>
      <c r="K188" s="70">
        <f t="shared" si="56"/>
        <v>50618</v>
      </c>
    </row>
    <row r="189" spans="2:11">
      <c r="B189" s="70">
        <f t="shared" si="52"/>
        <v>50649</v>
      </c>
      <c r="C189" s="49">
        <v>122334.56633089483</v>
      </c>
      <c r="D189" s="64" t="e">
        <f>IF(F189&lt;&gt;0,VLOOKUP($J189,'Table 1'!$B$13:$C$33,2,FALSE)/12*1000*Study_MW,0)</f>
        <v>#N/A</v>
      </c>
      <c r="E189" s="64" t="e">
        <f t="shared" si="53"/>
        <v>#N/A</v>
      </c>
      <c r="F189" s="49">
        <v>12020.993176071999</v>
      </c>
      <c r="G189" s="68" t="e">
        <f t="shared" si="54"/>
        <v>#N/A</v>
      </c>
      <c r="I189" s="69">
        <f t="shared" si="51"/>
        <v>61</v>
      </c>
      <c r="J189" s="66">
        <f t="shared" si="55"/>
        <v>2038</v>
      </c>
      <c r="K189" s="70">
        <f t="shared" si="56"/>
        <v>50649</v>
      </c>
    </row>
    <row r="190" spans="2:11">
      <c r="B190" s="70">
        <f t="shared" si="52"/>
        <v>50679</v>
      </c>
      <c r="C190" s="49">
        <v>63078.31426897645</v>
      </c>
      <c r="D190" s="64" t="e">
        <f>IF(F190&lt;&gt;0,VLOOKUP($J190,'Table 1'!$B$13:$C$33,2,FALSE)/12*1000*Study_MW,0)</f>
        <v>#N/A</v>
      </c>
      <c r="E190" s="64" t="e">
        <f t="shared" si="53"/>
        <v>#N/A</v>
      </c>
      <c r="F190" s="49">
        <v>9507.5035330650007</v>
      </c>
      <c r="G190" s="68" t="e">
        <f t="shared" si="54"/>
        <v>#N/A</v>
      </c>
      <c r="I190" s="69">
        <f t="shared" si="51"/>
        <v>62</v>
      </c>
      <c r="J190" s="66">
        <f t="shared" si="55"/>
        <v>2038</v>
      </c>
      <c r="K190" s="70">
        <f t="shared" si="56"/>
        <v>50679</v>
      </c>
    </row>
    <row r="191" spans="2:11">
      <c r="B191" s="70">
        <f t="shared" si="52"/>
        <v>50710</v>
      </c>
      <c r="C191" s="49">
        <v>39381.328088775277</v>
      </c>
      <c r="D191" s="64" t="e">
        <f>IF(F191&lt;&gt;0,VLOOKUP($J191,'Table 1'!$B$13:$C$33,2,FALSE)/12*1000*Study_MW,0)</f>
        <v>#N/A</v>
      </c>
      <c r="E191" s="64" t="e">
        <f t="shared" si="53"/>
        <v>#N/A</v>
      </c>
      <c r="F191" s="49">
        <v>6066.3684951499999</v>
      </c>
      <c r="G191" s="68" t="e">
        <f t="shared" si="54"/>
        <v>#N/A</v>
      </c>
      <c r="I191" s="69">
        <f t="shared" si="51"/>
        <v>63</v>
      </c>
      <c r="J191" s="66">
        <f t="shared" si="55"/>
        <v>2038</v>
      </c>
      <c r="K191" s="70">
        <f t="shared" si="56"/>
        <v>50710</v>
      </c>
    </row>
    <row r="192" spans="2:11">
      <c r="B192" s="74">
        <f t="shared" si="52"/>
        <v>50740</v>
      </c>
      <c r="C192" s="71">
        <v>-22070.905052557588</v>
      </c>
      <c r="D192" s="72" t="e">
        <f>IF(F192&lt;&gt;0,VLOOKUP($J192,'Table 1'!$B$13:$C$33,2,FALSE)/12*1000*Study_MW,0)</f>
        <v>#N/A</v>
      </c>
      <c r="E192" s="72" t="e">
        <f t="shared" si="53"/>
        <v>#N/A</v>
      </c>
      <c r="F192" s="71">
        <v>4434.9232851429997</v>
      </c>
      <c r="G192" s="73" t="e">
        <f t="shared" si="54"/>
        <v>#N/A</v>
      </c>
      <c r="I192" s="57">
        <f t="shared" si="51"/>
        <v>64</v>
      </c>
      <c r="J192" s="66">
        <f t="shared" si="55"/>
        <v>2038</v>
      </c>
      <c r="K192" s="74">
        <f t="shared" si="56"/>
        <v>50740</v>
      </c>
    </row>
    <row r="193" spans="2:13" outlineLevel="1">
      <c r="B193" s="67">
        <f t="shared" si="52"/>
        <v>50771</v>
      </c>
      <c r="C193" s="62">
        <v>0</v>
      </c>
      <c r="D193" s="63">
        <f>IF(F193&lt;&gt;0,VLOOKUP($J193,'Table 1'!$B$13:$C$33,2,FALSE)/12*1000*Study_MW,0)</f>
        <v>0</v>
      </c>
      <c r="E193" s="63">
        <f t="shared" ref="E193:E216" si="57">C193+D193</f>
        <v>0</v>
      </c>
      <c r="F193" s="62">
        <v>0</v>
      </c>
      <c r="G193" s="65" t="e">
        <f t="shared" ref="G193:G216" si="58">IF(ISNUMBER($F193),E193/$F193,"")</f>
        <v>#DIV/0!</v>
      </c>
      <c r="I193" s="53">
        <f>I73</f>
        <v>66</v>
      </c>
      <c r="J193" s="66">
        <f t="shared" ref="J193:J240" si="59">YEAR(B193)</f>
        <v>2039</v>
      </c>
      <c r="K193" s="67" t="str">
        <f t="shared" ref="K193:K240" si="60">IF(ISNUMBER(F193),IF(F193&lt;&gt;0,B193,""),"")</f>
        <v/>
      </c>
      <c r="M193" s="37">
        <f t="shared" ref="M193:M224" si="61">IRP23_Infl_Rate</f>
        <v>2.2700000004508992E-2</v>
      </c>
    </row>
    <row r="194" spans="2:13" outlineLevel="1">
      <c r="B194" s="70">
        <f t="shared" si="52"/>
        <v>50802</v>
      </c>
      <c r="C194" s="49">
        <v>0</v>
      </c>
      <c r="D194" s="64">
        <f>IF(F194&lt;&gt;0,VLOOKUP($J194,'Table 1'!$B$13:$C$33,2,FALSE)/12*1000*Study_MW,0)</f>
        <v>0</v>
      </c>
      <c r="E194" s="64">
        <f t="shared" si="57"/>
        <v>0</v>
      </c>
      <c r="F194" s="49">
        <v>0</v>
      </c>
      <c r="G194" s="68" t="e">
        <f t="shared" si="58"/>
        <v>#DIV/0!</v>
      </c>
      <c r="I194" s="69">
        <f t="shared" si="51"/>
        <v>67</v>
      </c>
      <c r="J194" s="66">
        <f t="shared" si="59"/>
        <v>2039</v>
      </c>
      <c r="K194" s="70" t="str">
        <f t="shared" si="60"/>
        <v/>
      </c>
      <c r="M194" s="37">
        <f t="shared" si="61"/>
        <v>2.2700000004508992E-2</v>
      </c>
    </row>
    <row r="195" spans="2:13" outlineLevel="1">
      <c r="B195" s="70">
        <f t="shared" si="52"/>
        <v>50830</v>
      </c>
      <c r="C195" s="49">
        <v>0</v>
      </c>
      <c r="D195" s="64">
        <f>IF(F195&lt;&gt;0,VLOOKUP($J195,'Table 1'!$B$13:$C$33,2,FALSE)/12*1000*Study_MW,0)</f>
        <v>0</v>
      </c>
      <c r="E195" s="64">
        <f t="shared" si="57"/>
        <v>0</v>
      </c>
      <c r="F195" s="49">
        <v>0</v>
      </c>
      <c r="G195" s="68" t="e">
        <f t="shared" si="58"/>
        <v>#DIV/0!</v>
      </c>
      <c r="I195" s="69">
        <f t="shared" si="51"/>
        <v>68</v>
      </c>
      <c r="J195" s="66">
        <f t="shared" si="59"/>
        <v>2039</v>
      </c>
      <c r="K195" s="70" t="str">
        <f t="shared" si="60"/>
        <v/>
      </c>
      <c r="M195" s="37">
        <f t="shared" si="61"/>
        <v>2.2700000004508992E-2</v>
      </c>
    </row>
    <row r="196" spans="2:13" outlineLevel="1">
      <c r="B196" s="70">
        <f t="shared" si="52"/>
        <v>50861</v>
      </c>
      <c r="C196" s="49">
        <v>0</v>
      </c>
      <c r="D196" s="64">
        <f>IF(F196&lt;&gt;0,VLOOKUP($J196,'Table 1'!$B$13:$C$33,2,FALSE)/12*1000*Study_MW,0)</f>
        <v>0</v>
      </c>
      <c r="E196" s="64">
        <f t="shared" si="57"/>
        <v>0</v>
      </c>
      <c r="F196" s="49">
        <v>0</v>
      </c>
      <c r="G196" s="68" t="e">
        <f t="shared" si="58"/>
        <v>#DIV/0!</v>
      </c>
      <c r="I196" s="69">
        <f t="shared" si="51"/>
        <v>69</v>
      </c>
      <c r="J196" s="66">
        <f t="shared" si="59"/>
        <v>2039</v>
      </c>
      <c r="K196" s="70" t="str">
        <f t="shared" si="60"/>
        <v/>
      </c>
      <c r="M196" s="37">
        <f t="shared" si="61"/>
        <v>2.2700000004508992E-2</v>
      </c>
    </row>
    <row r="197" spans="2:13" outlineLevel="1">
      <c r="B197" s="70">
        <f t="shared" si="52"/>
        <v>50891</v>
      </c>
      <c r="C197" s="49">
        <v>0</v>
      </c>
      <c r="D197" s="64">
        <f>IF(F197&lt;&gt;0,VLOOKUP($J197,'Table 1'!$B$13:$C$33,2,FALSE)/12*1000*Study_MW,0)</f>
        <v>0</v>
      </c>
      <c r="E197" s="64">
        <f t="shared" si="57"/>
        <v>0</v>
      </c>
      <c r="F197" s="49">
        <v>0</v>
      </c>
      <c r="G197" s="68" t="e">
        <f t="shared" si="58"/>
        <v>#DIV/0!</v>
      </c>
      <c r="I197" s="69">
        <f t="shared" si="51"/>
        <v>70</v>
      </c>
      <c r="J197" s="66">
        <f t="shared" si="59"/>
        <v>2039</v>
      </c>
      <c r="K197" s="70" t="str">
        <f t="shared" si="60"/>
        <v/>
      </c>
      <c r="M197" s="37">
        <f t="shared" si="61"/>
        <v>2.2700000004508992E-2</v>
      </c>
    </row>
    <row r="198" spans="2:13" outlineLevel="1">
      <c r="B198" s="70">
        <f t="shared" si="52"/>
        <v>50922</v>
      </c>
      <c r="C198" s="49">
        <v>0</v>
      </c>
      <c r="D198" s="64">
        <f>IF(F198&lt;&gt;0,VLOOKUP($J198,'Table 1'!$B$13:$C$33,2,FALSE)/12*1000*Study_MW,0)</f>
        <v>0</v>
      </c>
      <c r="E198" s="64">
        <f t="shared" si="57"/>
        <v>0</v>
      </c>
      <c r="F198" s="49">
        <v>0</v>
      </c>
      <c r="G198" s="68" t="e">
        <f t="shared" si="58"/>
        <v>#DIV/0!</v>
      </c>
      <c r="I198" s="69">
        <f t="shared" ref="I198:I204" si="62">I78</f>
        <v>71</v>
      </c>
      <c r="J198" s="66">
        <f t="shared" si="59"/>
        <v>2039</v>
      </c>
      <c r="K198" s="70" t="str">
        <f t="shared" si="60"/>
        <v/>
      </c>
      <c r="M198" s="37">
        <f t="shared" si="61"/>
        <v>2.2700000004508992E-2</v>
      </c>
    </row>
    <row r="199" spans="2:13" outlineLevel="1">
      <c r="B199" s="70">
        <f t="shared" si="52"/>
        <v>50952</v>
      </c>
      <c r="C199" s="49">
        <v>0</v>
      </c>
      <c r="D199" s="64">
        <f>IF(F199&lt;&gt;0,VLOOKUP($J199,'Table 1'!$B$13:$C$33,2,FALSE)/12*1000*Study_MW,0)</f>
        <v>0</v>
      </c>
      <c r="E199" s="64">
        <f t="shared" si="57"/>
        <v>0</v>
      </c>
      <c r="F199" s="49">
        <v>0</v>
      </c>
      <c r="G199" s="68" t="e">
        <f t="shared" si="58"/>
        <v>#DIV/0!</v>
      </c>
      <c r="I199" s="69">
        <f t="shared" si="62"/>
        <v>72</v>
      </c>
      <c r="J199" s="66">
        <f t="shared" si="59"/>
        <v>2039</v>
      </c>
      <c r="K199" s="70" t="str">
        <f t="shared" si="60"/>
        <v/>
      </c>
      <c r="M199" s="37">
        <f t="shared" si="61"/>
        <v>2.2700000004508992E-2</v>
      </c>
    </row>
    <row r="200" spans="2:13" outlineLevel="1">
      <c r="B200" s="70">
        <f t="shared" si="52"/>
        <v>50983</v>
      </c>
      <c r="C200" s="49">
        <v>0</v>
      </c>
      <c r="D200" s="64">
        <f>IF(F200&lt;&gt;0,VLOOKUP($J200,'Table 1'!$B$13:$C$33,2,FALSE)/12*1000*Study_MW,0)</f>
        <v>0</v>
      </c>
      <c r="E200" s="64">
        <f t="shared" si="57"/>
        <v>0</v>
      </c>
      <c r="F200" s="49">
        <v>0</v>
      </c>
      <c r="G200" s="68" t="e">
        <f t="shared" si="58"/>
        <v>#DIV/0!</v>
      </c>
      <c r="I200" s="69">
        <f t="shared" si="62"/>
        <v>73</v>
      </c>
      <c r="J200" s="66">
        <f t="shared" si="59"/>
        <v>2039</v>
      </c>
      <c r="K200" s="70" t="str">
        <f t="shared" si="60"/>
        <v/>
      </c>
      <c r="M200" s="37">
        <f t="shared" si="61"/>
        <v>2.2700000004508992E-2</v>
      </c>
    </row>
    <row r="201" spans="2:13" outlineLevel="1">
      <c r="B201" s="70">
        <f t="shared" si="52"/>
        <v>51014</v>
      </c>
      <c r="C201" s="49">
        <v>0</v>
      </c>
      <c r="D201" s="64">
        <f>IF(F201&lt;&gt;0,VLOOKUP($J201,'Table 1'!$B$13:$C$33,2,FALSE)/12*1000*Study_MW,0)</f>
        <v>0</v>
      </c>
      <c r="E201" s="64">
        <f t="shared" si="57"/>
        <v>0</v>
      </c>
      <c r="F201" s="49">
        <v>0</v>
      </c>
      <c r="G201" s="68" t="e">
        <f t="shared" si="58"/>
        <v>#DIV/0!</v>
      </c>
      <c r="I201" s="69">
        <f t="shared" si="62"/>
        <v>74</v>
      </c>
      <c r="J201" s="66">
        <f t="shared" si="59"/>
        <v>2039</v>
      </c>
      <c r="K201" s="70" t="str">
        <f t="shared" si="60"/>
        <v/>
      </c>
      <c r="M201" s="37">
        <f t="shared" si="61"/>
        <v>2.2700000004508992E-2</v>
      </c>
    </row>
    <row r="202" spans="2:13" outlineLevel="1">
      <c r="B202" s="70">
        <f t="shared" si="52"/>
        <v>51044</v>
      </c>
      <c r="C202" s="49">
        <v>0</v>
      </c>
      <c r="D202" s="64">
        <f>IF(F202&lt;&gt;0,VLOOKUP($J202,'Table 1'!$B$13:$C$33,2,FALSE)/12*1000*Study_MW,0)</f>
        <v>0</v>
      </c>
      <c r="E202" s="64">
        <f t="shared" si="57"/>
        <v>0</v>
      </c>
      <c r="F202" s="49">
        <v>0</v>
      </c>
      <c r="G202" s="68" t="e">
        <f t="shared" si="58"/>
        <v>#DIV/0!</v>
      </c>
      <c r="I202" s="69">
        <f t="shared" si="62"/>
        <v>75</v>
      </c>
      <c r="J202" s="66">
        <f t="shared" si="59"/>
        <v>2039</v>
      </c>
      <c r="K202" s="70" t="str">
        <f t="shared" si="60"/>
        <v/>
      </c>
      <c r="M202" s="37">
        <f t="shared" si="61"/>
        <v>2.2700000004508992E-2</v>
      </c>
    </row>
    <row r="203" spans="2:13" outlineLevel="1">
      <c r="B203" s="70">
        <f t="shared" si="52"/>
        <v>51075</v>
      </c>
      <c r="C203" s="49">
        <v>0</v>
      </c>
      <c r="D203" s="64">
        <f>IF(F203&lt;&gt;0,VLOOKUP($J203,'Table 1'!$B$13:$C$33,2,FALSE)/12*1000*Study_MW,0)</f>
        <v>0</v>
      </c>
      <c r="E203" s="64">
        <f t="shared" si="57"/>
        <v>0</v>
      </c>
      <c r="F203" s="49">
        <v>0</v>
      </c>
      <c r="G203" s="68" t="e">
        <f t="shared" si="58"/>
        <v>#DIV/0!</v>
      </c>
      <c r="I203" s="69">
        <f t="shared" si="62"/>
        <v>76</v>
      </c>
      <c r="J203" s="66">
        <f t="shared" si="59"/>
        <v>2039</v>
      </c>
      <c r="K203" s="70" t="str">
        <f t="shared" si="60"/>
        <v/>
      </c>
      <c r="M203" s="37">
        <f t="shared" si="61"/>
        <v>2.2700000004508992E-2</v>
      </c>
    </row>
    <row r="204" spans="2:13" outlineLevel="1">
      <c r="B204" s="74">
        <f t="shared" si="52"/>
        <v>51105</v>
      </c>
      <c r="C204" s="71">
        <v>0</v>
      </c>
      <c r="D204" s="72">
        <f>IF(F204&lt;&gt;0,VLOOKUP($J204,'Table 1'!$B$13:$C$33,2,FALSE)/12*1000*Study_MW,0)</f>
        <v>0</v>
      </c>
      <c r="E204" s="72">
        <f t="shared" si="57"/>
        <v>0</v>
      </c>
      <c r="F204" s="71">
        <v>0</v>
      </c>
      <c r="G204" s="73" t="e">
        <f t="shared" si="58"/>
        <v>#DIV/0!</v>
      </c>
      <c r="I204" s="57">
        <f t="shared" si="62"/>
        <v>77</v>
      </c>
      <c r="J204" s="66">
        <f t="shared" si="59"/>
        <v>2039</v>
      </c>
      <c r="K204" s="74" t="str">
        <f t="shared" si="60"/>
        <v/>
      </c>
      <c r="M204" s="37">
        <f t="shared" si="61"/>
        <v>2.2700000004508992E-2</v>
      </c>
    </row>
    <row r="205" spans="2:13" outlineLevel="1">
      <c r="B205" s="67">
        <f t="shared" si="52"/>
        <v>51136</v>
      </c>
      <c r="C205" s="62">
        <v>0</v>
      </c>
      <c r="D205" s="63">
        <f>IF(F205&lt;&gt;0,VLOOKUP($J205,'Table 1'!$B$13:$C$33,2,FALSE)/12*1000*Study_MW,0)</f>
        <v>0</v>
      </c>
      <c r="E205" s="63">
        <f t="shared" si="57"/>
        <v>0</v>
      </c>
      <c r="F205" s="62">
        <v>0</v>
      </c>
      <c r="G205" s="65" t="e">
        <f t="shared" si="58"/>
        <v>#DIV/0!</v>
      </c>
      <c r="I205" s="53">
        <f>I85</f>
        <v>79</v>
      </c>
      <c r="J205" s="66">
        <f t="shared" si="59"/>
        <v>2040</v>
      </c>
      <c r="K205" s="67" t="str">
        <f t="shared" si="60"/>
        <v/>
      </c>
      <c r="M205" s="37">
        <f t="shared" si="61"/>
        <v>2.2700000004508992E-2</v>
      </c>
    </row>
    <row r="206" spans="2:13" outlineLevel="1">
      <c r="B206" s="70">
        <f t="shared" ref="B206:B240" si="63">EDATE(B205,1)</f>
        <v>51167</v>
      </c>
      <c r="C206" s="49">
        <v>0</v>
      </c>
      <c r="D206" s="64">
        <f>IF(F206&lt;&gt;0,VLOOKUP($J206,'Table 1'!$B$13:$C$33,2,FALSE)/12*1000*Study_MW,0)</f>
        <v>0</v>
      </c>
      <c r="E206" s="64">
        <f t="shared" si="57"/>
        <v>0</v>
      </c>
      <c r="F206" s="49">
        <v>0</v>
      </c>
      <c r="G206" s="68" t="e">
        <f t="shared" si="58"/>
        <v>#DIV/0!</v>
      </c>
      <c r="I206" s="69">
        <f t="shared" ref="I206:I216" si="64">I86</f>
        <v>80</v>
      </c>
      <c r="J206" s="66">
        <f t="shared" si="59"/>
        <v>2040</v>
      </c>
      <c r="K206" s="70" t="str">
        <f t="shared" si="60"/>
        <v/>
      </c>
      <c r="M206" s="37">
        <f t="shared" si="61"/>
        <v>2.2700000004508992E-2</v>
      </c>
    </row>
    <row r="207" spans="2:13" outlineLevel="1">
      <c r="B207" s="70">
        <f t="shared" si="63"/>
        <v>51196</v>
      </c>
      <c r="C207" s="49">
        <v>0</v>
      </c>
      <c r="D207" s="64">
        <f>IF(F207&lt;&gt;0,VLOOKUP($J207,'Table 1'!$B$13:$C$33,2,FALSE)/12*1000*Study_MW,0)</f>
        <v>0</v>
      </c>
      <c r="E207" s="64">
        <f t="shared" si="57"/>
        <v>0</v>
      </c>
      <c r="F207" s="49">
        <v>0</v>
      </c>
      <c r="G207" s="68" t="e">
        <f t="shared" si="58"/>
        <v>#DIV/0!</v>
      </c>
      <c r="I207" s="69">
        <f t="shared" si="64"/>
        <v>81</v>
      </c>
      <c r="J207" s="66">
        <f t="shared" si="59"/>
        <v>2040</v>
      </c>
      <c r="K207" s="70" t="str">
        <f t="shared" si="60"/>
        <v/>
      </c>
      <c r="M207" s="37">
        <f t="shared" si="61"/>
        <v>2.2700000004508992E-2</v>
      </c>
    </row>
    <row r="208" spans="2:13" outlineLevel="1">
      <c r="B208" s="70">
        <f t="shared" si="63"/>
        <v>51227</v>
      </c>
      <c r="C208" s="49">
        <v>0</v>
      </c>
      <c r="D208" s="64">
        <f>IF(F208&lt;&gt;0,VLOOKUP($J208,'Table 1'!$B$13:$C$33,2,FALSE)/12*1000*Study_MW,0)</f>
        <v>0</v>
      </c>
      <c r="E208" s="64">
        <f t="shared" si="57"/>
        <v>0</v>
      </c>
      <c r="F208" s="49">
        <v>0</v>
      </c>
      <c r="G208" s="68" t="e">
        <f t="shared" si="58"/>
        <v>#DIV/0!</v>
      </c>
      <c r="I208" s="69">
        <f t="shared" si="64"/>
        <v>82</v>
      </c>
      <c r="J208" s="66">
        <f t="shared" si="59"/>
        <v>2040</v>
      </c>
      <c r="K208" s="70" t="str">
        <f t="shared" si="60"/>
        <v/>
      </c>
      <c r="M208" s="37">
        <f t="shared" si="61"/>
        <v>2.2700000004508992E-2</v>
      </c>
    </row>
    <row r="209" spans="2:13" outlineLevel="1">
      <c r="B209" s="70">
        <f t="shared" si="63"/>
        <v>51257</v>
      </c>
      <c r="C209" s="49">
        <v>0</v>
      </c>
      <c r="D209" s="64">
        <f>IF(F209&lt;&gt;0,VLOOKUP($J209,'Table 1'!$B$13:$C$33,2,FALSE)/12*1000*Study_MW,0)</f>
        <v>0</v>
      </c>
      <c r="E209" s="64">
        <f t="shared" si="57"/>
        <v>0</v>
      </c>
      <c r="F209" s="49">
        <v>0</v>
      </c>
      <c r="G209" s="68" t="e">
        <f t="shared" si="58"/>
        <v>#DIV/0!</v>
      </c>
      <c r="I209" s="69">
        <f t="shared" si="64"/>
        <v>83</v>
      </c>
      <c r="J209" s="66">
        <f t="shared" si="59"/>
        <v>2040</v>
      </c>
      <c r="K209" s="70" t="str">
        <f t="shared" si="60"/>
        <v/>
      </c>
      <c r="M209" s="37">
        <f t="shared" si="61"/>
        <v>2.2700000004508992E-2</v>
      </c>
    </row>
    <row r="210" spans="2:13" outlineLevel="1">
      <c r="B210" s="70">
        <f t="shared" si="63"/>
        <v>51288</v>
      </c>
      <c r="C210" s="49">
        <v>0</v>
      </c>
      <c r="D210" s="64">
        <f>IF(F210&lt;&gt;0,VLOOKUP($J210,'Table 1'!$B$13:$C$33,2,FALSE)/12*1000*Study_MW,0)</f>
        <v>0</v>
      </c>
      <c r="E210" s="64">
        <f t="shared" si="57"/>
        <v>0</v>
      </c>
      <c r="F210" s="49">
        <v>0</v>
      </c>
      <c r="G210" s="68" t="e">
        <f t="shared" si="58"/>
        <v>#DIV/0!</v>
      </c>
      <c r="I210" s="69">
        <f t="shared" si="64"/>
        <v>84</v>
      </c>
      <c r="J210" s="66">
        <f t="shared" si="59"/>
        <v>2040</v>
      </c>
      <c r="K210" s="70" t="str">
        <f t="shared" si="60"/>
        <v/>
      </c>
      <c r="M210" s="37">
        <f t="shared" si="61"/>
        <v>2.2700000004508992E-2</v>
      </c>
    </row>
    <row r="211" spans="2:13" outlineLevel="1">
      <c r="B211" s="70">
        <f t="shared" si="63"/>
        <v>51318</v>
      </c>
      <c r="C211" s="49">
        <v>0</v>
      </c>
      <c r="D211" s="64">
        <f>IF(F211&lt;&gt;0,VLOOKUP($J211,'Table 1'!$B$13:$C$33,2,FALSE)/12*1000*Study_MW,0)</f>
        <v>0</v>
      </c>
      <c r="E211" s="64">
        <f t="shared" si="57"/>
        <v>0</v>
      </c>
      <c r="F211" s="49">
        <v>0</v>
      </c>
      <c r="G211" s="68" t="e">
        <f t="shared" si="58"/>
        <v>#DIV/0!</v>
      </c>
      <c r="I211" s="69">
        <f t="shared" si="64"/>
        <v>85</v>
      </c>
      <c r="J211" s="66">
        <f t="shared" si="59"/>
        <v>2040</v>
      </c>
      <c r="K211" s="70" t="str">
        <f t="shared" si="60"/>
        <v/>
      </c>
      <c r="M211" s="37">
        <f t="shared" si="61"/>
        <v>2.2700000004508992E-2</v>
      </c>
    </row>
    <row r="212" spans="2:13" outlineLevel="1">
      <c r="B212" s="70">
        <f t="shared" si="63"/>
        <v>51349</v>
      </c>
      <c r="C212" s="49">
        <v>0</v>
      </c>
      <c r="D212" s="64">
        <f>IF(F212&lt;&gt;0,VLOOKUP($J212,'Table 1'!$B$13:$C$33,2,FALSE)/12*1000*Study_MW,0)</f>
        <v>0</v>
      </c>
      <c r="E212" s="64">
        <f t="shared" si="57"/>
        <v>0</v>
      </c>
      <c r="F212" s="49">
        <v>0</v>
      </c>
      <c r="G212" s="68" t="e">
        <f t="shared" si="58"/>
        <v>#DIV/0!</v>
      </c>
      <c r="I212" s="69">
        <f t="shared" si="64"/>
        <v>86</v>
      </c>
      <c r="J212" s="66">
        <f t="shared" si="59"/>
        <v>2040</v>
      </c>
      <c r="K212" s="70" t="str">
        <f t="shared" si="60"/>
        <v/>
      </c>
      <c r="M212" s="37">
        <f t="shared" si="61"/>
        <v>2.2700000004508992E-2</v>
      </c>
    </row>
    <row r="213" spans="2:13" outlineLevel="1">
      <c r="B213" s="70">
        <f t="shared" si="63"/>
        <v>51380</v>
      </c>
      <c r="C213" s="49">
        <v>0</v>
      </c>
      <c r="D213" s="64">
        <f>IF(F213&lt;&gt;0,VLOOKUP($J213,'Table 1'!$B$13:$C$33,2,FALSE)/12*1000*Study_MW,0)</f>
        <v>0</v>
      </c>
      <c r="E213" s="64">
        <f t="shared" si="57"/>
        <v>0</v>
      </c>
      <c r="F213" s="49">
        <v>0</v>
      </c>
      <c r="G213" s="68" t="e">
        <f t="shared" si="58"/>
        <v>#DIV/0!</v>
      </c>
      <c r="I213" s="69">
        <f t="shared" si="64"/>
        <v>87</v>
      </c>
      <c r="J213" s="66">
        <f t="shared" si="59"/>
        <v>2040</v>
      </c>
      <c r="K213" s="70" t="str">
        <f t="shared" si="60"/>
        <v/>
      </c>
      <c r="M213" s="37">
        <f t="shared" si="61"/>
        <v>2.2700000004508992E-2</v>
      </c>
    </row>
    <row r="214" spans="2:13" outlineLevel="1">
      <c r="B214" s="70">
        <f t="shared" si="63"/>
        <v>51410</v>
      </c>
      <c r="C214" s="49">
        <v>0</v>
      </c>
      <c r="D214" s="64">
        <f>IF(F214&lt;&gt;0,VLOOKUP($J214,'Table 1'!$B$13:$C$33,2,FALSE)/12*1000*Study_MW,0)</f>
        <v>0</v>
      </c>
      <c r="E214" s="64">
        <f t="shared" si="57"/>
        <v>0</v>
      </c>
      <c r="F214" s="49">
        <v>0</v>
      </c>
      <c r="G214" s="68" t="e">
        <f t="shared" si="58"/>
        <v>#DIV/0!</v>
      </c>
      <c r="I214" s="69">
        <f t="shared" si="64"/>
        <v>88</v>
      </c>
      <c r="J214" s="66">
        <f t="shared" si="59"/>
        <v>2040</v>
      </c>
      <c r="K214" s="70" t="str">
        <f t="shared" si="60"/>
        <v/>
      </c>
      <c r="M214" s="37">
        <f t="shared" si="61"/>
        <v>2.2700000004508992E-2</v>
      </c>
    </row>
    <row r="215" spans="2:13" outlineLevel="1">
      <c r="B215" s="70">
        <f t="shared" si="63"/>
        <v>51441</v>
      </c>
      <c r="C215" s="49">
        <v>0</v>
      </c>
      <c r="D215" s="64">
        <f>IF(F215&lt;&gt;0,VLOOKUP($J215,'Table 1'!$B$13:$C$33,2,FALSE)/12*1000*Study_MW,0)</f>
        <v>0</v>
      </c>
      <c r="E215" s="64">
        <f t="shared" si="57"/>
        <v>0</v>
      </c>
      <c r="F215" s="49">
        <v>0</v>
      </c>
      <c r="G215" s="68" t="e">
        <f t="shared" si="58"/>
        <v>#DIV/0!</v>
      </c>
      <c r="I215" s="69">
        <f t="shared" si="64"/>
        <v>89</v>
      </c>
      <c r="J215" s="66">
        <f t="shared" si="59"/>
        <v>2040</v>
      </c>
      <c r="K215" s="70" t="str">
        <f t="shared" si="60"/>
        <v/>
      </c>
      <c r="M215" s="37">
        <f t="shared" si="61"/>
        <v>2.2700000004508992E-2</v>
      </c>
    </row>
    <row r="216" spans="2:13" outlineLevel="1">
      <c r="B216" s="74">
        <f t="shared" si="63"/>
        <v>51471</v>
      </c>
      <c r="C216" s="71">
        <v>0</v>
      </c>
      <c r="D216" s="72">
        <f>IF(F216&lt;&gt;0,VLOOKUP($J216,'Table 1'!$B$13:$C$33,2,FALSE)/12*1000*Study_MW,0)</f>
        <v>0</v>
      </c>
      <c r="E216" s="72">
        <f t="shared" si="57"/>
        <v>0</v>
      </c>
      <c r="F216" s="71">
        <v>0</v>
      </c>
      <c r="G216" s="73" t="e">
        <f t="shared" si="58"/>
        <v>#DIV/0!</v>
      </c>
      <c r="I216" s="57">
        <f t="shared" si="64"/>
        <v>90</v>
      </c>
      <c r="J216" s="66">
        <f t="shared" si="59"/>
        <v>2040</v>
      </c>
      <c r="K216" s="74" t="str">
        <f t="shared" si="60"/>
        <v/>
      </c>
      <c r="M216" s="37">
        <f t="shared" si="61"/>
        <v>2.2700000004508992E-2</v>
      </c>
    </row>
    <row r="217" spans="2:13" outlineLevel="1">
      <c r="B217" s="67">
        <f t="shared" si="63"/>
        <v>51502</v>
      </c>
      <c r="C217" s="62">
        <v>0</v>
      </c>
      <c r="D217" s="63">
        <f>IF(F217&lt;&gt;0,VLOOKUP($J217,'Table 1'!$B$13:$C$33,2,FALSE)/12*1000*Study_MW,0)</f>
        <v>0</v>
      </c>
      <c r="E217" s="63">
        <f t="shared" ref="E217:E240" si="65">C217+D217</f>
        <v>0</v>
      </c>
      <c r="F217" s="62">
        <v>0</v>
      </c>
      <c r="G217" s="65" t="e">
        <f t="shared" ref="G217:G240" si="66">IF(ISNUMBER($F217),E217/$F217,"")</f>
        <v>#DIV/0!</v>
      </c>
      <c r="I217" s="53">
        <f>I97</f>
        <v>92</v>
      </c>
      <c r="J217" s="66">
        <f t="shared" si="59"/>
        <v>2041</v>
      </c>
      <c r="K217" s="67" t="str">
        <f t="shared" si="60"/>
        <v/>
      </c>
      <c r="M217" s="37">
        <f t="shared" si="61"/>
        <v>2.2700000004508992E-2</v>
      </c>
    </row>
    <row r="218" spans="2:13" outlineLevel="1">
      <c r="B218" s="70">
        <f t="shared" si="63"/>
        <v>51533</v>
      </c>
      <c r="C218" s="49">
        <v>0</v>
      </c>
      <c r="D218" s="64">
        <f>IF(F218&lt;&gt;0,VLOOKUP($J218,'Table 1'!$B$13:$C$33,2,FALSE)/12*1000*Study_MW,0)</f>
        <v>0</v>
      </c>
      <c r="E218" s="64">
        <f t="shared" si="65"/>
        <v>0</v>
      </c>
      <c r="F218" s="49">
        <v>0</v>
      </c>
      <c r="G218" s="68" t="e">
        <f t="shared" si="66"/>
        <v>#DIV/0!</v>
      </c>
      <c r="I218" s="69">
        <f t="shared" ref="I218:I228" si="67">I98</f>
        <v>93</v>
      </c>
      <c r="J218" s="66">
        <f t="shared" si="59"/>
        <v>2041</v>
      </c>
      <c r="K218" s="70" t="str">
        <f t="shared" si="60"/>
        <v/>
      </c>
      <c r="M218" s="37">
        <f t="shared" si="61"/>
        <v>2.2700000004508992E-2</v>
      </c>
    </row>
    <row r="219" spans="2:13" outlineLevel="1">
      <c r="B219" s="70">
        <f t="shared" si="63"/>
        <v>51561</v>
      </c>
      <c r="C219" s="49">
        <v>0</v>
      </c>
      <c r="D219" s="64">
        <f>IF(F219&lt;&gt;0,VLOOKUP($J219,'Table 1'!$B$13:$C$33,2,FALSE)/12*1000*Study_MW,0)</f>
        <v>0</v>
      </c>
      <c r="E219" s="64">
        <f t="shared" si="65"/>
        <v>0</v>
      </c>
      <c r="F219" s="49">
        <v>0</v>
      </c>
      <c r="G219" s="68" t="e">
        <f t="shared" si="66"/>
        <v>#DIV/0!</v>
      </c>
      <c r="I219" s="69">
        <f t="shared" si="67"/>
        <v>94</v>
      </c>
      <c r="J219" s="66">
        <f t="shared" si="59"/>
        <v>2041</v>
      </c>
      <c r="K219" s="70" t="str">
        <f t="shared" si="60"/>
        <v/>
      </c>
      <c r="M219" s="37">
        <f t="shared" si="61"/>
        <v>2.2700000004508992E-2</v>
      </c>
    </row>
    <row r="220" spans="2:13" outlineLevel="1">
      <c r="B220" s="70">
        <f t="shared" si="63"/>
        <v>51592</v>
      </c>
      <c r="C220" s="49">
        <v>0</v>
      </c>
      <c r="D220" s="64">
        <f>IF(F220&lt;&gt;0,VLOOKUP($J220,'Table 1'!$B$13:$C$33,2,FALSE)/12*1000*Study_MW,0)</f>
        <v>0</v>
      </c>
      <c r="E220" s="64">
        <f t="shared" si="65"/>
        <v>0</v>
      </c>
      <c r="F220" s="49">
        <v>0</v>
      </c>
      <c r="G220" s="68" t="e">
        <f t="shared" si="66"/>
        <v>#DIV/0!</v>
      </c>
      <c r="I220" s="69">
        <f t="shared" si="67"/>
        <v>95</v>
      </c>
      <c r="J220" s="66">
        <f t="shared" si="59"/>
        <v>2041</v>
      </c>
      <c r="K220" s="70" t="str">
        <f t="shared" si="60"/>
        <v/>
      </c>
      <c r="M220" s="37">
        <f t="shared" si="61"/>
        <v>2.2700000004508992E-2</v>
      </c>
    </row>
    <row r="221" spans="2:13" outlineLevel="1">
      <c r="B221" s="70">
        <f t="shared" si="63"/>
        <v>51622</v>
      </c>
      <c r="C221" s="49">
        <v>0</v>
      </c>
      <c r="D221" s="64">
        <f>IF(F221&lt;&gt;0,VLOOKUP($J221,'Table 1'!$B$13:$C$33,2,FALSE)/12*1000*Study_MW,0)</f>
        <v>0</v>
      </c>
      <c r="E221" s="64">
        <f t="shared" si="65"/>
        <v>0</v>
      </c>
      <c r="F221" s="49">
        <v>0</v>
      </c>
      <c r="G221" s="68" t="e">
        <f t="shared" si="66"/>
        <v>#DIV/0!</v>
      </c>
      <c r="I221" s="69">
        <f t="shared" si="67"/>
        <v>96</v>
      </c>
      <c r="J221" s="66">
        <f t="shared" si="59"/>
        <v>2041</v>
      </c>
      <c r="K221" s="70" t="str">
        <f t="shared" si="60"/>
        <v/>
      </c>
      <c r="M221" s="37">
        <f t="shared" si="61"/>
        <v>2.2700000004508992E-2</v>
      </c>
    </row>
    <row r="222" spans="2:13" outlineLevel="1">
      <c r="B222" s="70">
        <f t="shared" si="63"/>
        <v>51653</v>
      </c>
      <c r="C222" s="49">
        <v>0</v>
      </c>
      <c r="D222" s="64">
        <f>IF(F222&lt;&gt;0,VLOOKUP($J222,'Table 1'!$B$13:$C$33,2,FALSE)/12*1000*Study_MW,0)</f>
        <v>0</v>
      </c>
      <c r="E222" s="64">
        <f t="shared" si="65"/>
        <v>0</v>
      </c>
      <c r="F222" s="49">
        <v>0</v>
      </c>
      <c r="G222" s="68" t="e">
        <f t="shared" si="66"/>
        <v>#DIV/0!</v>
      </c>
      <c r="I222" s="69">
        <f t="shared" si="67"/>
        <v>97</v>
      </c>
      <c r="J222" s="66">
        <f t="shared" si="59"/>
        <v>2041</v>
      </c>
      <c r="K222" s="70" t="str">
        <f t="shared" si="60"/>
        <v/>
      </c>
      <c r="M222" s="37">
        <f t="shared" si="61"/>
        <v>2.2700000004508992E-2</v>
      </c>
    </row>
    <row r="223" spans="2:13" outlineLevel="1">
      <c r="B223" s="70">
        <f t="shared" si="63"/>
        <v>51683</v>
      </c>
      <c r="C223" s="49">
        <v>0</v>
      </c>
      <c r="D223" s="64">
        <f>IF(F223&lt;&gt;0,VLOOKUP($J223,'Table 1'!$B$13:$C$33,2,FALSE)/12*1000*Study_MW,0)</f>
        <v>0</v>
      </c>
      <c r="E223" s="64">
        <f t="shared" si="65"/>
        <v>0</v>
      </c>
      <c r="F223" s="49">
        <v>0</v>
      </c>
      <c r="G223" s="68" t="e">
        <f t="shared" si="66"/>
        <v>#DIV/0!</v>
      </c>
      <c r="I223" s="69">
        <f t="shared" si="67"/>
        <v>98</v>
      </c>
      <c r="J223" s="66">
        <f t="shared" si="59"/>
        <v>2041</v>
      </c>
      <c r="K223" s="70" t="str">
        <f t="shared" si="60"/>
        <v/>
      </c>
      <c r="M223" s="37">
        <f t="shared" si="61"/>
        <v>2.2700000004508992E-2</v>
      </c>
    </row>
    <row r="224" spans="2:13" outlineLevel="1">
      <c r="B224" s="70">
        <f t="shared" si="63"/>
        <v>51714</v>
      </c>
      <c r="C224" s="49">
        <v>0</v>
      </c>
      <c r="D224" s="64">
        <f>IF(F224&lt;&gt;0,VLOOKUP($J224,'Table 1'!$B$13:$C$33,2,FALSE)/12*1000*Study_MW,0)</f>
        <v>0</v>
      </c>
      <c r="E224" s="64">
        <f t="shared" si="65"/>
        <v>0</v>
      </c>
      <c r="F224" s="49">
        <v>0</v>
      </c>
      <c r="G224" s="68" t="e">
        <f t="shared" si="66"/>
        <v>#DIV/0!</v>
      </c>
      <c r="I224" s="69">
        <f t="shared" si="67"/>
        <v>99</v>
      </c>
      <c r="J224" s="66">
        <f t="shared" si="59"/>
        <v>2041</v>
      </c>
      <c r="K224" s="70" t="str">
        <f t="shared" si="60"/>
        <v/>
      </c>
      <c r="M224" s="37">
        <f t="shared" si="61"/>
        <v>2.2700000004508992E-2</v>
      </c>
    </row>
    <row r="225" spans="2:13" outlineLevel="1">
      <c r="B225" s="70">
        <f t="shared" si="63"/>
        <v>51745</v>
      </c>
      <c r="C225" s="49">
        <v>0</v>
      </c>
      <c r="D225" s="64">
        <f>IF(F225&lt;&gt;0,VLOOKUP($J225,'Table 1'!$B$13:$C$33,2,FALSE)/12*1000*Study_MW,0)</f>
        <v>0</v>
      </c>
      <c r="E225" s="64">
        <f t="shared" si="65"/>
        <v>0</v>
      </c>
      <c r="F225" s="49">
        <v>0</v>
      </c>
      <c r="G225" s="68" t="e">
        <f t="shared" si="66"/>
        <v>#DIV/0!</v>
      </c>
      <c r="I225" s="69">
        <f t="shared" si="67"/>
        <v>100</v>
      </c>
      <c r="J225" s="66">
        <f t="shared" si="59"/>
        <v>2041</v>
      </c>
      <c r="K225" s="70" t="str">
        <f t="shared" si="60"/>
        <v/>
      </c>
      <c r="M225" s="37">
        <f t="shared" ref="M225:M256" si="68">IRP23_Infl_Rate</f>
        <v>2.2700000004508992E-2</v>
      </c>
    </row>
    <row r="226" spans="2:13" outlineLevel="1">
      <c r="B226" s="70">
        <f t="shared" si="63"/>
        <v>51775</v>
      </c>
      <c r="C226" s="49">
        <v>0</v>
      </c>
      <c r="D226" s="64">
        <f>IF(F226&lt;&gt;0,VLOOKUP($J226,'Table 1'!$B$13:$C$33,2,FALSE)/12*1000*Study_MW,0)</f>
        <v>0</v>
      </c>
      <c r="E226" s="64">
        <f t="shared" si="65"/>
        <v>0</v>
      </c>
      <c r="F226" s="49">
        <v>0</v>
      </c>
      <c r="G226" s="68" t="e">
        <f t="shared" si="66"/>
        <v>#DIV/0!</v>
      </c>
      <c r="I226" s="69">
        <f t="shared" si="67"/>
        <v>101</v>
      </c>
      <c r="J226" s="66">
        <f t="shared" si="59"/>
        <v>2041</v>
      </c>
      <c r="K226" s="70" t="str">
        <f t="shared" si="60"/>
        <v/>
      </c>
      <c r="M226" s="37">
        <f t="shared" si="68"/>
        <v>2.2700000004508992E-2</v>
      </c>
    </row>
    <row r="227" spans="2:13" outlineLevel="1">
      <c r="B227" s="70">
        <f t="shared" si="63"/>
        <v>51806</v>
      </c>
      <c r="C227" s="49">
        <v>0</v>
      </c>
      <c r="D227" s="64">
        <f>IF(F227&lt;&gt;0,VLOOKUP($J227,'Table 1'!$B$13:$C$33,2,FALSE)/12*1000*Study_MW,0)</f>
        <v>0</v>
      </c>
      <c r="E227" s="64">
        <f t="shared" si="65"/>
        <v>0</v>
      </c>
      <c r="F227" s="49">
        <v>0</v>
      </c>
      <c r="G227" s="68" t="e">
        <f t="shared" si="66"/>
        <v>#DIV/0!</v>
      </c>
      <c r="I227" s="69">
        <f t="shared" si="67"/>
        <v>102</v>
      </c>
      <c r="J227" s="66">
        <f t="shared" si="59"/>
        <v>2041</v>
      </c>
      <c r="K227" s="70" t="str">
        <f t="shared" si="60"/>
        <v/>
      </c>
      <c r="M227" s="37">
        <f t="shared" si="68"/>
        <v>2.2700000004508992E-2</v>
      </c>
    </row>
    <row r="228" spans="2:13" outlineLevel="1">
      <c r="B228" s="74">
        <f t="shared" si="63"/>
        <v>51836</v>
      </c>
      <c r="C228" s="71">
        <v>0</v>
      </c>
      <c r="D228" s="72">
        <f>IF(F228&lt;&gt;0,VLOOKUP($J228,'Table 1'!$B$13:$C$33,2,FALSE)/12*1000*Study_MW,0)</f>
        <v>0</v>
      </c>
      <c r="E228" s="72">
        <f t="shared" si="65"/>
        <v>0</v>
      </c>
      <c r="F228" s="71">
        <v>0</v>
      </c>
      <c r="G228" s="73" t="e">
        <f t="shared" si="66"/>
        <v>#DIV/0!</v>
      </c>
      <c r="I228" s="57">
        <f t="shared" si="67"/>
        <v>103</v>
      </c>
      <c r="J228" s="66">
        <f t="shared" si="59"/>
        <v>2041</v>
      </c>
      <c r="K228" s="74" t="str">
        <f t="shared" si="60"/>
        <v/>
      </c>
      <c r="M228" s="37">
        <f t="shared" si="68"/>
        <v>2.2700000004508992E-2</v>
      </c>
    </row>
    <row r="229" spans="2:13" outlineLevel="1">
      <c r="B229" s="67">
        <f t="shared" si="63"/>
        <v>51867</v>
      </c>
      <c r="C229" s="62">
        <v>0</v>
      </c>
      <c r="D229" s="63">
        <f>IF(F229&lt;&gt;0,VLOOKUP($J229,'Table 1'!$B$13:$C$33,2,FALSE)/12*1000*Study_MW,0)</f>
        <v>0</v>
      </c>
      <c r="E229" s="63">
        <f t="shared" si="65"/>
        <v>0</v>
      </c>
      <c r="F229" s="62">
        <v>0</v>
      </c>
      <c r="G229" s="65" t="e">
        <f t="shared" si="66"/>
        <v>#DIV/0!</v>
      </c>
      <c r="I229" s="53">
        <f>I109</f>
        <v>105</v>
      </c>
      <c r="J229" s="66">
        <f t="shared" si="59"/>
        <v>2042</v>
      </c>
      <c r="K229" s="67" t="str">
        <f t="shared" si="60"/>
        <v/>
      </c>
      <c r="M229" s="37">
        <f t="shared" si="68"/>
        <v>2.2700000004508992E-2</v>
      </c>
    </row>
    <row r="230" spans="2:13" outlineLevel="1">
      <c r="B230" s="70">
        <f t="shared" si="63"/>
        <v>51898</v>
      </c>
      <c r="C230" s="49">
        <v>0</v>
      </c>
      <c r="D230" s="64">
        <f>IF(F230&lt;&gt;0,VLOOKUP($J230,'Table 1'!$B$13:$C$33,2,FALSE)/12*1000*Study_MW,0)</f>
        <v>0</v>
      </c>
      <c r="E230" s="64">
        <f t="shared" si="65"/>
        <v>0</v>
      </c>
      <c r="F230" s="49">
        <v>0</v>
      </c>
      <c r="G230" s="68" t="e">
        <f t="shared" si="66"/>
        <v>#DIV/0!</v>
      </c>
      <c r="I230" s="69">
        <f t="shared" ref="I230:I240" si="69">I110</f>
        <v>106</v>
      </c>
      <c r="J230" s="66">
        <f t="shared" si="59"/>
        <v>2042</v>
      </c>
      <c r="K230" s="70" t="str">
        <f t="shared" si="60"/>
        <v/>
      </c>
      <c r="M230" s="37">
        <f t="shared" si="68"/>
        <v>2.2700000004508992E-2</v>
      </c>
    </row>
    <row r="231" spans="2:13" outlineLevel="1">
      <c r="B231" s="70">
        <f t="shared" si="63"/>
        <v>51926</v>
      </c>
      <c r="C231" s="49">
        <v>0</v>
      </c>
      <c r="D231" s="64">
        <f>IF(F231&lt;&gt;0,VLOOKUP($J231,'Table 1'!$B$13:$C$33,2,FALSE)/12*1000*Study_MW,0)</f>
        <v>0</v>
      </c>
      <c r="E231" s="64">
        <f t="shared" si="65"/>
        <v>0</v>
      </c>
      <c r="F231" s="49">
        <v>0</v>
      </c>
      <c r="G231" s="68" t="e">
        <f t="shared" si="66"/>
        <v>#DIV/0!</v>
      </c>
      <c r="I231" s="69">
        <f t="shared" si="69"/>
        <v>107</v>
      </c>
      <c r="J231" s="66">
        <f t="shared" si="59"/>
        <v>2042</v>
      </c>
      <c r="K231" s="70" t="str">
        <f t="shared" si="60"/>
        <v/>
      </c>
      <c r="M231" s="37">
        <f t="shared" si="68"/>
        <v>2.2700000004508992E-2</v>
      </c>
    </row>
    <row r="232" spans="2:13" outlineLevel="1">
      <c r="B232" s="70">
        <f t="shared" si="63"/>
        <v>51957</v>
      </c>
      <c r="C232" s="49">
        <v>0</v>
      </c>
      <c r="D232" s="64">
        <f>IF(F232&lt;&gt;0,VLOOKUP($J232,'Table 1'!$B$13:$C$33,2,FALSE)/12*1000*Study_MW,0)</f>
        <v>0</v>
      </c>
      <c r="E232" s="64">
        <f t="shared" si="65"/>
        <v>0</v>
      </c>
      <c r="F232" s="49">
        <v>0</v>
      </c>
      <c r="G232" s="68" t="e">
        <f t="shared" si="66"/>
        <v>#DIV/0!</v>
      </c>
      <c r="I232" s="69">
        <f t="shared" si="69"/>
        <v>108</v>
      </c>
      <c r="J232" s="66">
        <f t="shared" si="59"/>
        <v>2042</v>
      </c>
      <c r="K232" s="70" t="str">
        <f t="shared" si="60"/>
        <v/>
      </c>
      <c r="M232" s="37">
        <f t="shared" si="68"/>
        <v>2.2700000004508992E-2</v>
      </c>
    </row>
    <row r="233" spans="2:13" outlineLevel="1">
      <c r="B233" s="70">
        <f t="shared" si="63"/>
        <v>51987</v>
      </c>
      <c r="C233" s="49">
        <v>0</v>
      </c>
      <c r="D233" s="64">
        <f>IF(F233&lt;&gt;0,VLOOKUP($J233,'Table 1'!$B$13:$C$33,2,FALSE)/12*1000*Study_MW,0)</f>
        <v>0</v>
      </c>
      <c r="E233" s="64">
        <f t="shared" si="65"/>
        <v>0</v>
      </c>
      <c r="F233" s="49">
        <v>0</v>
      </c>
      <c r="G233" s="68" t="e">
        <f t="shared" si="66"/>
        <v>#DIV/0!</v>
      </c>
      <c r="I233" s="69">
        <f t="shared" si="69"/>
        <v>109</v>
      </c>
      <c r="J233" s="66">
        <f t="shared" si="59"/>
        <v>2042</v>
      </c>
      <c r="K233" s="70" t="str">
        <f t="shared" si="60"/>
        <v/>
      </c>
      <c r="M233" s="37">
        <f t="shared" si="68"/>
        <v>2.2700000004508992E-2</v>
      </c>
    </row>
    <row r="234" spans="2:13" outlineLevel="1">
      <c r="B234" s="70">
        <f t="shared" si="63"/>
        <v>52018</v>
      </c>
      <c r="C234" s="49">
        <v>0</v>
      </c>
      <c r="D234" s="64">
        <f>IF(F234&lt;&gt;0,VLOOKUP($J234,'Table 1'!$B$13:$C$33,2,FALSE)/12*1000*Study_MW,0)</f>
        <v>0</v>
      </c>
      <c r="E234" s="64">
        <f t="shared" si="65"/>
        <v>0</v>
      </c>
      <c r="F234" s="49">
        <v>0</v>
      </c>
      <c r="G234" s="68" t="e">
        <f t="shared" si="66"/>
        <v>#DIV/0!</v>
      </c>
      <c r="I234" s="69">
        <f t="shared" si="69"/>
        <v>110</v>
      </c>
      <c r="J234" s="66">
        <f t="shared" si="59"/>
        <v>2042</v>
      </c>
      <c r="K234" s="70" t="str">
        <f t="shared" si="60"/>
        <v/>
      </c>
      <c r="M234" s="37">
        <f t="shared" si="68"/>
        <v>2.2700000004508992E-2</v>
      </c>
    </row>
    <row r="235" spans="2:13" outlineLevel="1">
      <c r="B235" s="70">
        <f t="shared" si="63"/>
        <v>52048</v>
      </c>
      <c r="C235" s="49">
        <v>0</v>
      </c>
      <c r="D235" s="64">
        <f>IF(F235&lt;&gt;0,VLOOKUP($J235,'Table 1'!$B$13:$C$33,2,FALSE)/12*1000*Study_MW,0)</f>
        <v>0</v>
      </c>
      <c r="E235" s="64">
        <f t="shared" si="65"/>
        <v>0</v>
      </c>
      <c r="F235" s="49">
        <v>0</v>
      </c>
      <c r="G235" s="68" t="e">
        <f t="shared" si="66"/>
        <v>#DIV/0!</v>
      </c>
      <c r="I235" s="69">
        <f t="shared" si="69"/>
        <v>111</v>
      </c>
      <c r="J235" s="66">
        <f t="shared" si="59"/>
        <v>2042</v>
      </c>
      <c r="K235" s="70" t="str">
        <f t="shared" si="60"/>
        <v/>
      </c>
      <c r="M235" s="37">
        <f t="shared" si="68"/>
        <v>2.2700000004508992E-2</v>
      </c>
    </row>
    <row r="236" spans="2:13" outlineLevel="1">
      <c r="B236" s="70">
        <f t="shared" si="63"/>
        <v>52079</v>
      </c>
      <c r="C236" s="49">
        <v>0</v>
      </c>
      <c r="D236" s="64">
        <f>IF(F236&lt;&gt;0,VLOOKUP($J236,'Table 1'!$B$13:$C$33,2,FALSE)/12*1000*Study_MW,0)</f>
        <v>0</v>
      </c>
      <c r="E236" s="64">
        <f t="shared" si="65"/>
        <v>0</v>
      </c>
      <c r="F236" s="49">
        <v>0</v>
      </c>
      <c r="G236" s="68" t="e">
        <f t="shared" si="66"/>
        <v>#DIV/0!</v>
      </c>
      <c r="I236" s="69">
        <f t="shared" si="69"/>
        <v>112</v>
      </c>
      <c r="J236" s="66">
        <f t="shared" si="59"/>
        <v>2042</v>
      </c>
      <c r="K236" s="70" t="str">
        <f t="shared" si="60"/>
        <v/>
      </c>
      <c r="M236" s="37">
        <f t="shared" si="68"/>
        <v>2.2700000004508992E-2</v>
      </c>
    </row>
    <row r="237" spans="2:13" outlineLevel="1">
      <c r="B237" s="70">
        <f t="shared" si="63"/>
        <v>52110</v>
      </c>
      <c r="C237" s="49">
        <v>0</v>
      </c>
      <c r="D237" s="64">
        <f>IF(F237&lt;&gt;0,VLOOKUP($J237,'Table 1'!$B$13:$C$33,2,FALSE)/12*1000*Study_MW,0)</f>
        <v>0</v>
      </c>
      <c r="E237" s="64">
        <f t="shared" si="65"/>
        <v>0</v>
      </c>
      <c r="F237" s="49">
        <v>0</v>
      </c>
      <c r="G237" s="68" t="e">
        <f t="shared" si="66"/>
        <v>#DIV/0!</v>
      </c>
      <c r="I237" s="69">
        <f t="shared" si="69"/>
        <v>113</v>
      </c>
      <c r="J237" s="66">
        <f t="shared" si="59"/>
        <v>2042</v>
      </c>
      <c r="K237" s="70" t="str">
        <f t="shared" si="60"/>
        <v/>
      </c>
      <c r="M237" s="37">
        <f t="shared" si="68"/>
        <v>2.2700000004508992E-2</v>
      </c>
    </row>
    <row r="238" spans="2:13" outlineLevel="1">
      <c r="B238" s="70">
        <f t="shared" si="63"/>
        <v>52140</v>
      </c>
      <c r="C238" s="49">
        <v>0</v>
      </c>
      <c r="D238" s="64">
        <f>IF(F238&lt;&gt;0,VLOOKUP($J238,'Table 1'!$B$13:$C$33,2,FALSE)/12*1000*Study_MW,0)</f>
        <v>0</v>
      </c>
      <c r="E238" s="64">
        <f t="shared" si="65"/>
        <v>0</v>
      </c>
      <c r="F238" s="49">
        <v>0</v>
      </c>
      <c r="G238" s="68" t="e">
        <f t="shared" si="66"/>
        <v>#DIV/0!</v>
      </c>
      <c r="I238" s="69">
        <f t="shared" si="69"/>
        <v>114</v>
      </c>
      <c r="J238" s="66">
        <f t="shared" si="59"/>
        <v>2042</v>
      </c>
      <c r="K238" s="70" t="str">
        <f t="shared" si="60"/>
        <v/>
      </c>
      <c r="M238" s="37">
        <f t="shared" si="68"/>
        <v>2.2700000004508992E-2</v>
      </c>
    </row>
    <row r="239" spans="2:13" outlineLevel="1">
      <c r="B239" s="70">
        <f t="shared" si="63"/>
        <v>52171</v>
      </c>
      <c r="C239" s="49">
        <v>0</v>
      </c>
      <c r="D239" s="64">
        <f>IF(F239&lt;&gt;0,VLOOKUP($J239,'Table 1'!$B$13:$C$33,2,FALSE)/12*1000*Study_MW,0)</f>
        <v>0</v>
      </c>
      <c r="E239" s="64">
        <f t="shared" si="65"/>
        <v>0</v>
      </c>
      <c r="F239" s="49">
        <v>0</v>
      </c>
      <c r="G239" s="68" t="e">
        <f t="shared" si="66"/>
        <v>#DIV/0!</v>
      </c>
      <c r="I239" s="69">
        <f t="shared" si="69"/>
        <v>115</v>
      </c>
      <c r="J239" s="66">
        <f t="shared" si="59"/>
        <v>2042</v>
      </c>
      <c r="K239" s="70" t="str">
        <f t="shared" si="60"/>
        <v/>
      </c>
      <c r="M239" s="37">
        <f t="shared" si="68"/>
        <v>2.2700000004508992E-2</v>
      </c>
    </row>
    <row r="240" spans="2:13" outlineLevel="1">
      <c r="B240" s="74">
        <f t="shared" si="63"/>
        <v>52201</v>
      </c>
      <c r="C240" s="71">
        <v>0</v>
      </c>
      <c r="D240" s="72">
        <f>IF(F240&lt;&gt;0,VLOOKUP($J240,'Table 1'!$B$13:$C$33,2,FALSE)/12*1000*Study_MW,0)</f>
        <v>0</v>
      </c>
      <c r="E240" s="72">
        <f t="shared" si="65"/>
        <v>0</v>
      </c>
      <c r="F240" s="71">
        <v>0</v>
      </c>
      <c r="G240" s="73" t="e">
        <f t="shared" si="66"/>
        <v>#DIV/0!</v>
      </c>
      <c r="I240" s="57">
        <f t="shared" si="69"/>
        <v>116</v>
      </c>
      <c r="J240" s="66">
        <f t="shared" si="59"/>
        <v>2042</v>
      </c>
      <c r="K240" s="74" t="str">
        <f t="shared" si="60"/>
        <v/>
      </c>
      <c r="M240" s="37">
        <f t="shared" si="68"/>
        <v>2.2700000004508992E-2</v>
      </c>
    </row>
    <row r="241" spans="2:13" outlineLevel="1">
      <c r="B241" s="158">
        <f t="shared" ref="B241:B276" si="70">EDATE(B240,1)</f>
        <v>52232</v>
      </c>
      <c r="C241" s="150" t="e">
        <f>(C229*(1+M241))*IF(AND(MONTH(K241)=2,OR(J229=2036,J229=2040)),28/29,1)</f>
        <v>#VALUE!</v>
      </c>
      <c r="D241" s="151">
        <f>IF(ISNUMBER($F241)*SUM(F241:F252)&lt;&gt;0,VLOOKUP($J241,'Table 1'!$B$13:$C$33,2,FALSE)/12*1000*Study_MW,0)</f>
        <v>0</v>
      </c>
      <c r="E241" s="151" t="e">
        <f t="shared" ref="E241:E264" si="71">C241+D241</f>
        <v>#VALUE!</v>
      </c>
      <c r="F241" s="150">
        <v>0</v>
      </c>
      <c r="G241" s="152">
        <f t="shared" ref="G241:G264" si="72">IFERROR(E241/$F241,0)</f>
        <v>0</v>
      </c>
      <c r="I241" s="53">
        <f>I121</f>
        <v>118</v>
      </c>
      <c r="J241" s="66">
        <f t="shared" ref="J241:J252" si="73">YEAR(B241)</f>
        <v>2043</v>
      </c>
      <c r="K241" s="67" t="str">
        <f t="shared" ref="K241:K252" si="74">IF(ISNUMBER(F241),IF(F241&lt;&gt;0,B241,""),"")</f>
        <v/>
      </c>
      <c r="M241" s="37">
        <f t="shared" si="68"/>
        <v>2.2700000004508992E-2</v>
      </c>
    </row>
    <row r="242" spans="2:13" outlineLevel="1">
      <c r="B242" s="159">
        <f t="shared" si="70"/>
        <v>52263</v>
      </c>
      <c r="C242" s="144" t="e">
        <f t="shared" ref="C242:C252" si="75">(C230*(1+M242))*IF(AND(MONTH(K242)=2,OR(J230=2036,J230=2040)),28/29,1)</f>
        <v>#VALUE!</v>
      </c>
      <c r="D242" s="145">
        <f>IF(ISNUMBER($F242)*SUM(F242:F253)&lt;&gt;0,VLOOKUP($J242,'Table 1'!$B$13:$C$33,2,FALSE)/12*1000*Study_MW,0)</f>
        <v>0</v>
      </c>
      <c r="E242" s="145" t="e">
        <f t="shared" si="71"/>
        <v>#VALUE!</v>
      </c>
      <c r="F242" s="144">
        <v>0</v>
      </c>
      <c r="G242" s="146">
        <f t="shared" si="72"/>
        <v>0</v>
      </c>
      <c r="I242" s="69">
        <f t="shared" ref="I242:I276" si="76">I122</f>
        <v>119</v>
      </c>
      <c r="J242" s="66">
        <f t="shared" si="73"/>
        <v>2043</v>
      </c>
      <c r="K242" s="70" t="str">
        <f t="shared" si="74"/>
        <v/>
      </c>
      <c r="M242" s="37">
        <f t="shared" si="68"/>
        <v>2.2700000004508992E-2</v>
      </c>
    </row>
    <row r="243" spans="2:13" outlineLevel="1">
      <c r="B243" s="159">
        <f t="shared" si="70"/>
        <v>52291</v>
      </c>
      <c r="C243" s="144" t="e">
        <f t="shared" si="75"/>
        <v>#VALUE!</v>
      </c>
      <c r="D243" s="145">
        <f>IF(ISNUMBER($F243)*SUM(F243:F254)&lt;&gt;0,VLOOKUP($J243,'Table 1'!$B$13:$C$33,2,FALSE)/12*1000*Study_MW,0)</f>
        <v>0</v>
      </c>
      <c r="E243" s="145" t="e">
        <f t="shared" si="71"/>
        <v>#VALUE!</v>
      </c>
      <c r="F243" s="144">
        <v>0</v>
      </c>
      <c r="G243" s="146">
        <f t="shared" si="72"/>
        <v>0</v>
      </c>
      <c r="I243" s="69">
        <f t="shared" si="76"/>
        <v>120</v>
      </c>
      <c r="J243" s="66">
        <f t="shared" si="73"/>
        <v>2043</v>
      </c>
      <c r="K243" s="70" t="str">
        <f t="shared" si="74"/>
        <v/>
      </c>
      <c r="M243" s="37">
        <f t="shared" si="68"/>
        <v>2.2700000004508992E-2</v>
      </c>
    </row>
    <row r="244" spans="2:13" outlineLevel="1">
      <c r="B244" s="159">
        <f t="shared" si="70"/>
        <v>52322</v>
      </c>
      <c r="C244" s="144" t="e">
        <f t="shared" si="75"/>
        <v>#VALUE!</v>
      </c>
      <c r="D244" s="145">
        <f>IF(ISNUMBER($F244)*SUM(F244:F255)&lt;&gt;0,VLOOKUP($J244,'Table 1'!$B$13:$C$33,2,FALSE)/12*1000*Study_MW,0)</f>
        <v>0</v>
      </c>
      <c r="E244" s="145" t="e">
        <f t="shared" si="71"/>
        <v>#VALUE!</v>
      </c>
      <c r="F244" s="144">
        <v>0</v>
      </c>
      <c r="G244" s="146">
        <f t="shared" si="72"/>
        <v>0</v>
      </c>
      <c r="I244" s="69">
        <f t="shared" si="76"/>
        <v>121</v>
      </c>
      <c r="J244" s="66">
        <f t="shared" si="73"/>
        <v>2043</v>
      </c>
      <c r="K244" s="70" t="str">
        <f t="shared" si="74"/>
        <v/>
      </c>
      <c r="M244" s="37">
        <f t="shared" si="68"/>
        <v>2.2700000004508992E-2</v>
      </c>
    </row>
    <row r="245" spans="2:13" outlineLevel="1">
      <c r="B245" s="159">
        <f t="shared" si="70"/>
        <v>52352</v>
      </c>
      <c r="C245" s="144" t="e">
        <f t="shared" si="75"/>
        <v>#VALUE!</v>
      </c>
      <c r="D245" s="145">
        <f>IF(ISNUMBER($F245)*SUM(F245:F256)&lt;&gt;0,VLOOKUP($J245,'Table 1'!$B$13:$C$33,2,FALSE)/12*1000*Study_MW,0)</f>
        <v>0</v>
      </c>
      <c r="E245" s="145" t="e">
        <f t="shared" si="71"/>
        <v>#VALUE!</v>
      </c>
      <c r="F245" s="144">
        <v>0</v>
      </c>
      <c r="G245" s="146">
        <f t="shared" si="72"/>
        <v>0</v>
      </c>
      <c r="I245" s="69">
        <f t="shared" si="76"/>
        <v>122</v>
      </c>
      <c r="J245" s="66">
        <f t="shared" si="73"/>
        <v>2043</v>
      </c>
      <c r="K245" s="70" t="str">
        <f t="shared" si="74"/>
        <v/>
      </c>
      <c r="M245" s="37">
        <f t="shared" si="68"/>
        <v>2.2700000004508992E-2</v>
      </c>
    </row>
    <row r="246" spans="2:13" outlineLevel="1">
      <c r="B246" s="159">
        <f t="shared" si="70"/>
        <v>52383</v>
      </c>
      <c r="C246" s="144" t="e">
        <f t="shared" si="75"/>
        <v>#VALUE!</v>
      </c>
      <c r="D246" s="145">
        <f>IF(ISNUMBER($F246)*SUM(F246:F257)&lt;&gt;0,VLOOKUP($J246,'Table 1'!$B$13:$C$33,2,FALSE)/12*1000*Study_MW,0)</f>
        <v>0</v>
      </c>
      <c r="E246" s="145" t="e">
        <f t="shared" si="71"/>
        <v>#VALUE!</v>
      </c>
      <c r="F246" s="144">
        <v>0</v>
      </c>
      <c r="G246" s="146">
        <f t="shared" si="72"/>
        <v>0</v>
      </c>
      <c r="I246" s="69">
        <f t="shared" si="76"/>
        <v>123</v>
      </c>
      <c r="J246" s="66">
        <f t="shared" si="73"/>
        <v>2043</v>
      </c>
      <c r="K246" s="70" t="str">
        <f t="shared" si="74"/>
        <v/>
      </c>
      <c r="M246" s="37">
        <f t="shared" si="68"/>
        <v>2.2700000004508992E-2</v>
      </c>
    </row>
    <row r="247" spans="2:13" outlineLevel="1">
      <c r="B247" s="159">
        <f t="shared" si="70"/>
        <v>52413</v>
      </c>
      <c r="C247" s="144" t="e">
        <f t="shared" si="75"/>
        <v>#VALUE!</v>
      </c>
      <c r="D247" s="145">
        <f>IF(ISNUMBER($F247)*SUM(F247:F258)&lt;&gt;0,VLOOKUP($J247,'Table 1'!$B$13:$C$33,2,FALSE)/12*1000*Study_MW,0)</f>
        <v>0</v>
      </c>
      <c r="E247" s="145" t="e">
        <f t="shared" si="71"/>
        <v>#VALUE!</v>
      </c>
      <c r="F247" s="144">
        <v>0</v>
      </c>
      <c r="G247" s="146">
        <f t="shared" si="72"/>
        <v>0</v>
      </c>
      <c r="I247" s="69">
        <f t="shared" si="76"/>
        <v>124</v>
      </c>
      <c r="J247" s="66">
        <f t="shared" si="73"/>
        <v>2043</v>
      </c>
      <c r="K247" s="70" t="str">
        <f t="shared" si="74"/>
        <v/>
      </c>
      <c r="M247" s="37">
        <f t="shared" si="68"/>
        <v>2.2700000004508992E-2</v>
      </c>
    </row>
    <row r="248" spans="2:13" outlineLevel="1">
      <c r="B248" s="159">
        <f t="shared" si="70"/>
        <v>52444</v>
      </c>
      <c r="C248" s="144" t="e">
        <f t="shared" si="75"/>
        <v>#VALUE!</v>
      </c>
      <c r="D248" s="145">
        <f>IF(ISNUMBER($F248)*SUM(F248:F259)&lt;&gt;0,VLOOKUP($J248,'Table 1'!$B$13:$C$33,2,FALSE)/12*1000*Study_MW,0)</f>
        <v>0</v>
      </c>
      <c r="E248" s="145" t="e">
        <f t="shared" si="71"/>
        <v>#VALUE!</v>
      </c>
      <c r="F248" s="144">
        <v>0</v>
      </c>
      <c r="G248" s="146">
        <f t="shared" si="72"/>
        <v>0</v>
      </c>
      <c r="I248" s="69">
        <f t="shared" si="76"/>
        <v>125</v>
      </c>
      <c r="J248" s="66">
        <f t="shared" si="73"/>
        <v>2043</v>
      </c>
      <c r="K248" s="70" t="str">
        <f t="shared" si="74"/>
        <v/>
      </c>
      <c r="M248" s="37">
        <f t="shared" si="68"/>
        <v>2.2700000004508992E-2</v>
      </c>
    </row>
    <row r="249" spans="2:13" outlineLevel="1">
      <c r="B249" s="159">
        <f t="shared" si="70"/>
        <v>52475</v>
      </c>
      <c r="C249" s="144" t="e">
        <f t="shared" si="75"/>
        <v>#VALUE!</v>
      </c>
      <c r="D249" s="145">
        <f>IF(ISNUMBER($F249)*SUM(F249:F260)&lt;&gt;0,VLOOKUP($J249,'Table 1'!$B$13:$C$33,2,FALSE)/12*1000*Study_MW,0)</f>
        <v>0</v>
      </c>
      <c r="E249" s="145" t="e">
        <f t="shared" si="71"/>
        <v>#VALUE!</v>
      </c>
      <c r="F249" s="144">
        <v>0</v>
      </c>
      <c r="G249" s="146">
        <f t="shared" si="72"/>
        <v>0</v>
      </c>
      <c r="I249" s="69">
        <f t="shared" si="76"/>
        <v>126</v>
      </c>
      <c r="J249" s="66">
        <f t="shared" si="73"/>
        <v>2043</v>
      </c>
      <c r="K249" s="70" t="str">
        <f t="shared" si="74"/>
        <v/>
      </c>
      <c r="M249" s="37">
        <f t="shared" si="68"/>
        <v>2.2700000004508992E-2</v>
      </c>
    </row>
    <row r="250" spans="2:13" outlineLevel="1">
      <c r="B250" s="159">
        <f t="shared" si="70"/>
        <v>52505</v>
      </c>
      <c r="C250" s="144" t="e">
        <f t="shared" si="75"/>
        <v>#VALUE!</v>
      </c>
      <c r="D250" s="145">
        <f>IF(ISNUMBER($F250)*SUM(F250:F261)&lt;&gt;0,VLOOKUP($J250,'Table 1'!$B$13:$C$33,2,FALSE)/12*1000*Study_MW,0)</f>
        <v>0</v>
      </c>
      <c r="E250" s="145" t="e">
        <f t="shared" si="71"/>
        <v>#VALUE!</v>
      </c>
      <c r="F250" s="144">
        <v>0</v>
      </c>
      <c r="G250" s="146">
        <f t="shared" si="72"/>
        <v>0</v>
      </c>
      <c r="I250" s="69">
        <f t="shared" si="76"/>
        <v>127</v>
      </c>
      <c r="J250" s="66">
        <f t="shared" si="73"/>
        <v>2043</v>
      </c>
      <c r="K250" s="70" t="str">
        <f t="shared" si="74"/>
        <v/>
      </c>
      <c r="M250" s="37">
        <f t="shared" si="68"/>
        <v>2.2700000004508992E-2</v>
      </c>
    </row>
    <row r="251" spans="2:13" outlineLevel="1">
      <c r="B251" s="159">
        <f t="shared" si="70"/>
        <v>52536</v>
      </c>
      <c r="C251" s="144" t="e">
        <f t="shared" si="75"/>
        <v>#VALUE!</v>
      </c>
      <c r="D251" s="145">
        <f>IF(ISNUMBER($F251)*SUM(F251:F262)&lt;&gt;0,VLOOKUP($J251,'Table 1'!$B$13:$C$33,2,FALSE)/12*1000*Study_MW,0)</f>
        <v>0</v>
      </c>
      <c r="E251" s="145" t="e">
        <f t="shared" si="71"/>
        <v>#VALUE!</v>
      </c>
      <c r="F251" s="144">
        <v>0</v>
      </c>
      <c r="G251" s="146">
        <f t="shared" si="72"/>
        <v>0</v>
      </c>
      <c r="I251" s="69">
        <f t="shared" si="76"/>
        <v>128</v>
      </c>
      <c r="J251" s="66">
        <f t="shared" si="73"/>
        <v>2043</v>
      </c>
      <c r="K251" s="70" t="str">
        <f t="shared" si="74"/>
        <v/>
      </c>
      <c r="M251" s="37">
        <f t="shared" si="68"/>
        <v>2.2700000004508992E-2</v>
      </c>
    </row>
    <row r="252" spans="2:13" outlineLevel="1" collapsed="1">
      <c r="B252" s="160">
        <f t="shared" si="70"/>
        <v>52566</v>
      </c>
      <c r="C252" s="147" t="e">
        <f t="shared" si="75"/>
        <v>#VALUE!</v>
      </c>
      <c r="D252" s="148">
        <f>IF(ISNUMBER($F252)*SUM(F252:F263)&lt;&gt;0,VLOOKUP($J252,'Table 1'!$B$13:$C$33,2,FALSE)/12*1000*Study_MW,0)</f>
        <v>0</v>
      </c>
      <c r="E252" s="148" t="e">
        <f t="shared" si="71"/>
        <v>#VALUE!</v>
      </c>
      <c r="F252" s="147">
        <v>0</v>
      </c>
      <c r="G252" s="149">
        <f t="shared" si="72"/>
        <v>0</v>
      </c>
      <c r="I252" s="57">
        <f t="shared" si="76"/>
        <v>129</v>
      </c>
      <c r="J252" s="66">
        <f t="shared" si="73"/>
        <v>2043</v>
      </c>
      <c r="K252" s="74" t="str">
        <f t="shared" si="74"/>
        <v/>
      </c>
      <c r="M252" s="37">
        <f t="shared" si="68"/>
        <v>2.2700000004508992E-2</v>
      </c>
    </row>
    <row r="253" spans="2:13" outlineLevel="1">
      <c r="B253" s="158">
        <f t="shared" si="70"/>
        <v>52597</v>
      </c>
      <c r="C253" s="150" t="e">
        <f>(C241*(1+M253))*IF(AND(MONTH(K253)=2,OR(J241=2036,J241=2040)),28/29,1)</f>
        <v>#VALUE!</v>
      </c>
      <c r="D253" s="151">
        <f>IF(ISNUMBER($F253)*SUM(F253:F264)&lt;&gt;0,VLOOKUP($J253,'Table 1'!$B$13:$C$33,2,FALSE)/12*1000*Study_MW,0)</f>
        <v>0</v>
      </c>
      <c r="E253" s="151" t="e">
        <f t="shared" si="71"/>
        <v>#VALUE!</v>
      </c>
      <c r="F253" s="150">
        <v>0</v>
      </c>
      <c r="G253" s="152">
        <f t="shared" si="72"/>
        <v>0</v>
      </c>
      <c r="I253" s="53">
        <f>I133</f>
        <v>1</v>
      </c>
      <c r="J253" s="66">
        <f t="shared" ref="J253:J276" si="77">YEAR(B253)</f>
        <v>2044</v>
      </c>
      <c r="K253" s="67" t="str">
        <f t="shared" ref="K253:K276" si="78">IF(ISNUMBER(F253),IF(F253&lt;&gt;0,B253,""),"")</f>
        <v/>
      </c>
      <c r="M253" s="37">
        <f t="shared" si="68"/>
        <v>2.2700000004508992E-2</v>
      </c>
    </row>
    <row r="254" spans="2:13" outlineLevel="1">
      <c r="B254" s="159">
        <f t="shared" si="70"/>
        <v>52628</v>
      </c>
      <c r="C254" s="144" t="e">
        <f t="shared" ref="C254:C264" si="79">(C242*(1+M254))*IF(AND(MONTH(K254)=2,OR(J242=2036,J242=2040)),28/29,1)</f>
        <v>#VALUE!</v>
      </c>
      <c r="D254" s="145">
        <f>IF(ISNUMBER($F254)*SUM(F254:F265)&lt;&gt;0,VLOOKUP($J254,'Table 1'!$B$13:$C$33,2,FALSE)/12*1000*Study_MW,0)</f>
        <v>0</v>
      </c>
      <c r="E254" s="145" t="e">
        <f t="shared" si="71"/>
        <v>#VALUE!</v>
      </c>
      <c r="F254" s="144">
        <v>0</v>
      </c>
      <c r="G254" s="146">
        <f t="shared" si="72"/>
        <v>0</v>
      </c>
      <c r="I254" s="69">
        <f t="shared" si="76"/>
        <v>2</v>
      </c>
      <c r="J254" s="66">
        <f t="shared" si="77"/>
        <v>2044</v>
      </c>
      <c r="K254" s="70" t="str">
        <f t="shared" si="78"/>
        <v/>
      </c>
      <c r="M254" s="37">
        <f t="shared" si="68"/>
        <v>2.2700000004508992E-2</v>
      </c>
    </row>
    <row r="255" spans="2:13" outlineLevel="1">
      <c r="B255" s="159">
        <f t="shared" si="70"/>
        <v>52657</v>
      </c>
      <c r="C255" s="144" t="e">
        <f t="shared" si="79"/>
        <v>#VALUE!</v>
      </c>
      <c r="D255" s="145">
        <f>IF(ISNUMBER($F255)*SUM(F255:F266)&lt;&gt;0,VLOOKUP($J255,'Table 1'!$B$13:$C$33,2,FALSE)/12*1000*Study_MW,0)</f>
        <v>0</v>
      </c>
      <c r="E255" s="145" t="e">
        <f t="shared" si="71"/>
        <v>#VALUE!</v>
      </c>
      <c r="F255" s="144">
        <v>0</v>
      </c>
      <c r="G255" s="146">
        <f t="shared" si="72"/>
        <v>0</v>
      </c>
      <c r="I255" s="69">
        <f t="shared" si="76"/>
        <v>3</v>
      </c>
      <c r="J255" s="66">
        <f t="shared" si="77"/>
        <v>2044</v>
      </c>
      <c r="K255" s="70" t="str">
        <f t="shared" si="78"/>
        <v/>
      </c>
      <c r="M255" s="37">
        <f t="shared" si="68"/>
        <v>2.2700000004508992E-2</v>
      </c>
    </row>
    <row r="256" spans="2:13" outlineLevel="1">
      <c r="B256" s="159">
        <f t="shared" si="70"/>
        <v>52688</v>
      </c>
      <c r="C256" s="144" t="e">
        <f t="shared" si="79"/>
        <v>#VALUE!</v>
      </c>
      <c r="D256" s="145">
        <f>IF(ISNUMBER($F256)*SUM(F256:F267)&lt;&gt;0,VLOOKUP($J256,'Table 1'!$B$13:$C$33,2,FALSE)/12*1000*Study_MW,0)</f>
        <v>0</v>
      </c>
      <c r="E256" s="145" t="e">
        <f t="shared" si="71"/>
        <v>#VALUE!</v>
      </c>
      <c r="F256" s="144">
        <v>0</v>
      </c>
      <c r="G256" s="146">
        <f t="shared" si="72"/>
        <v>0</v>
      </c>
      <c r="I256" s="69">
        <f t="shared" si="76"/>
        <v>4</v>
      </c>
      <c r="J256" s="66">
        <f t="shared" si="77"/>
        <v>2044</v>
      </c>
      <c r="K256" s="70" t="str">
        <f t="shared" si="78"/>
        <v/>
      </c>
      <c r="M256" s="37">
        <f t="shared" si="68"/>
        <v>2.2700000004508992E-2</v>
      </c>
    </row>
    <row r="257" spans="2:13" outlineLevel="1">
      <c r="B257" s="159">
        <f t="shared" si="70"/>
        <v>52718</v>
      </c>
      <c r="C257" s="144" t="e">
        <f t="shared" si="79"/>
        <v>#VALUE!</v>
      </c>
      <c r="D257" s="145">
        <f>IF(ISNUMBER($F257)*SUM(F257:F268)&lt;&gt;0,VLOOKUP($J257,'Table 1'!$B$13:$C$33,2,FALSE)/12*1000*Study_MW,0)</f>
        <v>0</v>
      </c>
      <c r="E257" s="145" t="e">
        <f t="shared" si="71"/>
        <v>#VALUE!</v>
      </c>
      <c r="F257" s="144">
        <v>0</v>
      </c>
      <c r="G257" s="146">
        <f t="shared" si="72"/>
        <v>0</v>
      </c>
      <c r="I257" s="69">
        <f t="shared" si="76"/>
        <v>5</v>
      </c>
      <c r="J257" s="66">
        <f t="shared" si="77"/>
        <v>2044</v>
      </c>
      <c r="K257" s="70" t="str">
        <f t="shared" si="78"/>
        <v/>
      </c>
      <c r="M257" s="37">
        <f t="shared" ref="M257:M276" si="80">IRP23_Infl_Rate</f>
        <v>2.2700000004508992E-2</v>
      </c>
    </row>
    <row r="258" spans="2:13" outlineLevel="1">
      <c r="B258" s="159">
        <f t="shared" si="70"/>
        <v>52749</v>
      </c>
      <c r="C258" s="144" t="e">
        <f t="shared" si="79"/>
        <v>#VALUE!</v>
      </c>
      <c r="D258" s="145">
        <f>IF(ISNUMBER($F258)*SUM(F258:F269)&lt;&gt;0,VLOOKUP($J258,'Table 1'!$B$13:$C$33,2,FALSE)/12*1000*Study_MW,0)</f>
        <v>0</v>
      </c>
      <c r="E258" s="145" t="e">
        <f t="shared" si="71"/>
        <v>#VALUE!</v>
      </c>
      <c r="F258" s="144">
        <v>0</v>
      </c>
      <c r="G258" s="146">
        <f t="shared" si="72"/>
        <v>0</v>
      </c>
      <c r="I258" s="69">
        <f t="shared" si="76"/>
        <v>6</v>
      </c>
      <c r="J258" s="66">
        <f t="shared" si="77"/>
        <v>2044</v>
      </c>
      <c r="K258" s="70" t="str">
        <f t="shared" si="78"/>
        <v/>
      </c>
      <c r="M258" s="37">
        <f t="shared" si="80"/>
        <v>2.2700000004508992E-2</v>
      </c>
    </row>
    <row r="259" spans="2:13" outlineLevel="1">
      <c r="B259" s="159">
        <f t="shared" si="70"/>
        <v>52779</v>
      </c>
      <c r="C259" s="144" t="e">
        <f t="shared" si="79"/>
        <v>#VALUE!</v>
      </c>
      <c r="D259" s="145">
        <f>IF(ISNUMBER($F259)*SUM(F259:F270)&lt;&gt;0,VLOOKUP($J259,'Table 1'!$B$13:$C$33,2,FALSE)/12*1000*Study_MW,0)</f>
        <v>0</v>
      </c>
      <c r="E259" s="145" t="e">
        <f t="shared" si="71"/>
        <v>#VALUE!</v>
      </c>
      <c r="F259" s="144">
        <v>0</v>
      </c>
      <c r="G259" s="146">
        <f t="shared" si="72"/>
        <v>0</v>
      </c>
      <c r="I259" s="69">
        <f t="shared" si="76"/>
        <v>7</v>
      </c>
      <c r="J259" s="66">
        <f t="shared" si="77"/>
        <v>2044</v>
      </c>
      <c r="K259" s="70" t="str">
        <f t="shared" si="78"/>
        <v/>
      </c>
      <c r="M259" s="37">
        <f t="shared" si="80"/>
        <v>2.2700000004508992E-2</v>
      </c>
    </row>
    <row r="260" spans="2:13" outlineLevel="1">
      <c r="B260" s="159">
        <f t="shared" si="70"/>
        <v>52810</v>
      </c>
      <c r="C260" s="144" t="e">
        <f t="shared" si="79"/>
        <v>#VALUE!</v>
      </c>
      <c r="D260" s="145">
        <f>IF(ISNUMBER($F260)*SUM(F260:F271)&lt;&gt;0,VLOOKUP($J260,'Table 1'!$B$13:$C$33,2,FALSE)/12*1000*Study_MW,0)</f>
        <v>0</v>
      </c>
      <c r="E260" s="145" t="e">
        <f t="shared" si="71"/>
        <v>#VALUE!</v>
      </c>
      <c r="F260" s="144">
        <v>0</v>
      </c>
      <c r="G260" s="146">
        <f t="shared" si="72"/>
        <v>0</v>
      </c>
      <c r="I260" s="69">
        <f t="shared" si="76"/>
        <v>8</v>
      </c>
      <c r="J260" s="66">
        <f t="shared" si="77"/>
        <v>2044</v>
      </c>
      <c r="K260" s="70" t="str">
        <f t="shared" si="78"/>
        <v/>
      </c>
      <c r="M260" s="37">
        <f t="shared" si="80"/>
        <v>2.2700000004508992E-2</v>
      </c>
    </row>
    <row r="261" spans="2:13" outlineLevel="1">
      <c r="B261" s="159">
        <f t="shared" si="70"/>
        <v>52841</v>
      </c>
      <c r="C261" s="144" t="e">
        <f t="shared" si="79"/>
        <v>#VALUE!</v>
      </c>
      <c r="D261" s="145">
        <f>IF(ISNUMBER($F261)*SUM(F261:F272)&lt;&gt;0,VLOOKUP($J261,'Table 1'!$B$13:$C$33,2,FALSE)/12*1000*Study_MW,0)</f>
        <v>0</v>
      </c>
      <c r="E261" s="145" t="e">
        <f t="shared" si="71"/>
        <v>#VALUE!</v>
      </c>
      <c r="F261" s="144">
        <v>0</v>
      </c>
      <c r="G261" s="146">
        <f t="shared" si="72"/>
        <v>0</v>
      </c>
      <c r="I261" s="69">
        <f t="shared" si="76"/>
        <v>9</v>
      </c>
      <c r="J261" s="66">
        <f t="shared" si="77"/>
        <v>2044</v>
      </c>
      <c r="K261" s="70" t="str">
        <f t="shared" si="78"/>
        <v/>
      </c>
      <c r="M261" s="37">
        <f t="shared" si="80"/>
        <v>2.2700000004508992E-2</v>
      </c>
    </row>
    <row r="262" spans="2:13" outlineLevel="1">
      <c r="B262" s="159">
        <f t="shared" si="70"/>
        <v>52871</v>
      </c>
      <c r="C262" s="144" t="e">
        <f t="shared" si="79"/>
        <v>#VALUE!</v>
      </c>
      <c r="D262" s="145">
        <f>IF(ISNUMBER($F262)*SUM(F262:F273)&lt;&gt;0,VLOOKUP($J262,'Table 1'!$B$13:$C$33,2,FALSE)/12*1000*Study_MW,0)</f>
        <v>0</v>
      </c>
      <c r="E262" s="145" t="e">
        <f t="shared" si="71"/>
        <v>#VALUE!</v>
      </c>
      <c r="F262" s="144">
        <v>0</v>
      </c>
      <c r="G262" s="146">
        <f t="shared" si="72"/>
        <v>0</v>
      </c>
      <c r="I262" s="69">
        <f t="shared" si="76"/>
        <v>10</v>
      </c>
      <c r="J262" s="66">
        <f t="shared" si="77"/>
        <v>2044</v>
      </c>
      <c r="K262" s="70" t="str">
        <f t="shared" si="78"/>
        <v/>
      </c>
      <c r="M262" s="37">
        <f t="shared" si="80"/>
        <v>2.2700000004508992E-2</v>
      </c>
    </row>
    <row r="263" spans="2:13" outlineLevel="1">
      <c r="B263" s="159">
        <f t="shared" si="70"/>
        <v>52902</v>
      </c>
      <c r="C263" s="144" t="e">
        <f t="shared" si="79"/>
        <v>#VALUE!</v>
      </c>
      <c r="D263" s="145">
        <f>IF(ISNUMBER($F263)*SUM(F263:F274)&lt;&gt;0,VLOOKUP($J263,'Table 1'!$B$13:$C$33,2,FALSE)/12*1000*Study_MW,0)</f>
        <v>0</v>
      </c>
      <c r="E263" s="145" t="e">
        <f t="shared" si="71"/>
        <v>#VALUE!</v>
      </c>
      <c r="F263" s="144">
        <v>0</v>
      </c>
      <c r="G263" s="146">
        <f t="shared" si="72"/>
        <v>0</v>
      </c>
      <c r="I263" s="69">
        <f t="shared" si="76"/>
        <v>11</v>
      </c>
      <c r="J263" s="66">
        <f t="shared" si="77"/>
        <v>2044</v>
      </c>
      <c r="K263" s="70" t="str">
        <f t="shared" si="78"/>
        <v/>
      </c>
      <c r="M263" s="37">
        <f t="shared" si="80"/>
        <v>2.2700000004508992E-2</v>
      </c>
    </row>
    <row r="264" spans="2:13" outlineLevel="1">
      <c r="B264" s="160">
        <f t="shared" si="70"/>
        <v>52932</v>
      </c>
      <c r="C264" s="147" t="e">
        <f t="shared" si="79"/>
        <v>#VALUE!</v>
      </c>
      <c r="D264" s="148">
        <f>IF(ISNUMBER($F264)*SUM(F264:F275)&lt;&gt;0,VLOOKUP($J264,'Table 1'!$B$13:$C$33,2,FALSE)/12*1000*Study_MW,0)</f>
        <v>0</v>
      </c>
      <c r="E264" s="148" t="e">
        <f t="shared" si="71"/>
        <v>#VALUE!</v>
      </c>
      <c r="F264" s="147">
        <v>0</v>
      </c>
      <c r="G264" s="149">
        <f t="shared" si="72"/>
        <v>0</v>
      </c>
      <c r="I264" s="57">
        <f t="shared" si="76"/>
        <v>12</v>
      </c>
      <c r="J264" s="66">
        <f t="shared" si="77"/>
        <v>2044</v>
      </c>
      <c r="K264" s="74" t="str">
        <f t="shared" si="78"/>
        <v/>
      </c>
      <c r="M264" s="37">
        <f t="shared" si="80"/>
        <v>2.2700000004508992E-2</v>
      </c>
    </row>
    <row r="265" spans="2:13" outlineLevel="1">
      <c r="B265" s="158">
        <f t="shared" si="70"/>
        <v>52963</v>
      </c>
      <c r="C265" s="150" t="e">
        <f>(C253*(1+M265))*IF(AND(MONTH(K265)=2,OR(J253=2036,J253=2040)),28/29,1)</f>
        <v>#VALUE!</v>
      </c>
      <c r="D265" s="151">
        <f>IF(ISNUMBER($F265)*SUM(F265:F276)&lt;&gt;0,VLOOKUP($J265,'Table 1'!$B$13:$C$38,2,FALSE)/12*1000*Study_MW,0)</f>
        <v>0</v>
      </c>
      <c r="E265" s="151" t="e">
        <f t="shared" ref="E265:E276" si="81">C265+D265</f>
        <v>#VALUE!</v>
      </c>
      <c r="F265" s="150">
        <v>0</v>
      </c>
      <c r="G265" s="152">
        <f t="shared" ref="G265:G276" si="82">IFERROR(E265/$F265,0)</f>
        <v>0</v>
      </c>
      <c r="I265" s="53">
        <f>I145</f>
        <v>14</v>
      </c>
      <c r="J265" s="66">
        <f t="shared" si="77"/>
        <v>2045</v>
      </c>
      <c r="K265" s="67" t="str">
        <f t="shared" si="78"/>
        <v/>
      </c>
      <c r="M265" s="37">
        <f t="shared" si="80"/>
        <v>2.2700000004508992E-2</v>
      </c>
    </row>
    <row r="266" spans="2:13" outlineLevel="1">
      <c r="B266" s="159">
        <f t="shared" si="70"/>
        <v>52994</v>
      </c>
      <c r="C266" s="144" t="e">
        <f t="shared" ref="C266:C276" si="83">(C254*(1+M266))*IF(AND(MONTH(K266)=2,OR(J254=2036,J254=2040)),28/29,1)</f>
        <v>#VALUE!</v>
      </c>
      <c r="D266" s="145">
        <f>IF(ISNUMBER($F266)*SUM(F266:F276)&lt;&gt;0,VLOOKUP($J266,'Table 1'!$B$13:$C$38,2,FALSE)/12*1000*Study_MW,0)</f>
        <v>0</v>
      </c>
      <c r="E266" s="145" t="e">
        <f t="shared" si="81"/>
        <v>#VALUE!</v>
      </c>
      <c r="F266" s="144">
        <v>0</v>
      </c>
      <c r="G266" s="146">
        <f t="shared" si="82"/>
        <v>0</v>
      </c>
      <c r="I266" s="69">
        <f t="shared" si="76"/>
        <v>15</v>
      </c>
      <c r="J266" s="66">
        <f t="shared" si="77"/>
        <v>2045</v>
      </c>
      <c r="K266" s="70" t="str">
        <f t="shared" si="78"/>
        <v/>
      </c>
      <c r="M266" s="37">
        <f t="shared" si="80"/>
        <v>2.2700000004508992E-2</v>
      </c>
    </row>
    <row r="267" spans="2:13" outlineLevel="1">
      <c r="B267" s="159">
        <f t="shared" si="70"/>
        <v>53022</v>
      </c>
      <c r="C267" s="144" t="e">
        <f t="shared" si="83"/>
        <v>#VALUE!</v>
      </c>
      <c r="D267" s="145">
        <f>IF(ISNUMBER($F267)*SUM(F267:F276)&lt;&gt;0,VLOOKUP($J267,'Table 1'!$B$13:$C$38,2,FALSE)/12*1000*Study_MW,0)</f>
        <v>0</v>
      </c>
      <c r="E267" s="145" t="e">
        <f t="shared" si="81"/>
        <v>#VALUE!</v>
      </c>
      <c r="F267" s="144">
        <v>0</v>
      </c>
      <c r="G267" s="146">
        <f t="shared" si="82"/>
        <v>0</v>
      </c>
      <c r="I267" s="69">
        <f t="shared" si="76"/>
        <v>16</v>
      </c>
      <c r="J267" s="66">
        <f t="shared" si="77"/>
        <v>2045</v>
      </c>
      <c r="K267" s="70" t="str">
        <f t="shared" si="78"/>
        <v/>
      </c>
      <c r="M267" s="37">
        <f t="shared" si="80"/>
        <v>2.2700000004508992E-2</v>
      </c>
    </row>
    <row r="268" spans="2:13" outlineLevel="1">
      <c r="B268" s="159">
        <f t="shared" si="70"/>
        <v>53053</v>
      </c>
      <c r="C268" s="144" t="e">
        <f t="shared" si="83"/>
        <v>#VALUE!</v>
      </c>
      <c r="D268" s="145">
        <f>IF(ISNUMBER($F268)*SUM(F268:F276)&lt;&gt;0,VLOOKUP($J268,'Table 1'!$B$13:$C$38,2,FALSE)/12*1000*Study_MW,0)</f>
        <v>0</v>
      </c>
      <c r="E268" s="145" t="e">
        <f t="shared" si="81"/>
        <v>#VALUE!</v>
      </c>
      <c r="F268" s="144">
        <v>0</v>
      </c>
      <c r="G268" s="146">
        <f t="shared" si="82"/>
        <v>0</v>
      </c>
      <c r="I268" s="69">
        <f t="shared" si="76"/>
        <v>17</v>
      </c>
      <c r="J268" s="66">
        <f t="shared" si="77"/>
        <v>2045</v>
      </c>
      <c r="K268" s="70" t="str">
        <f t="shared" si="78"/>
        <v/>
      </c>
      <c r="M268" s="37">
        <f t="shared" si="80"/>
        <v>2.2700000004508992E-2</v>
      </c>
    </row>
    <row r="269" spans="2:13" outlineLevel="1">
      <c r="B269" s="159">
        <f t="shared" si="70"/>
        <v>53083</v>
      </c>
      <c r="C269" s="144" t="e">
        <f t="shared" si="83"/>
        <v>#VALUE!</v>
      </c>
      <c r="D269" s="145">
        <f>IF(ISNUMBER($F269)*SUM(F269:F276)&lt;&gt;0,VLOOKUP($J269,'Table 1'!$B$13:$C$38,2,FALSE)/12*1000*Study_MW,0)</f>
        <v>0</v>
      </c>
      <c r="E269" s="145" t="e">
        <f t="shared" si="81"/>
        <v>#VALUE!</v>
      </c>
      <c r="F269" s="144">
        <v>0</v>
      </c>
      <c r="G269" s="146">
        <f t="shared" si="82"/>
        <v>0</v>
      </c>
      <c r="I269" s="69">
        <f t="shared" si="76"/>
        <v>18</v>
      </c>
      <c r="J269" s="66">
        <f t="shared" si="77"/>
        <v>2045</v>
      </c>
      <c r="K269" s="70" t="str">
        <f t="shared" si="78"/>
        <v/>
      </c>
      <c r="M269" s="37">
        <f t="shared" si="80"/>
        <v>2.2700000004508992E-2</v>
      </c>
    </row>
    <row r="270" spans="2:13" outlineLevel="1">
      <c r="B270" s="159">
        <f t="shared" si="70"/>
        <v>53114</v>
      </c>
      <c r="C270" s="144" t="e">
        <f t="shared" si="83"/>
        <v>#VALUE!</v>
      </c>
      <c r="D270" s="145">
        <f>IF(ISNUMBER($F270)*SUM(F270:F276)&lt;&gt;0,VLOOKUP($J270,'Table 1'!$B$13:$C$38,2,FALSE)/12*1000*Study_MW,0)</f>
        <v>0</v>
      </c>
      <c r="E270" s="145" t="e">
        <f t="shared" si="81"/>
        <v>#VALUE!</v>
      </c>
      <c r="F270" s="144">
        <v>0</v>
      </c>
      <c r="G270" s="146">
        <f t="shared" si="82"/>
        <v>0</v>
      </c>
      <c r="I270" s="69">
        <f t="shared" si="76"/>
        <v>19</v>
      </c>
      <c r="J270" s="66">
        <f t="shared" si="77"/>
        <v>2045</v>
      </c>
      <c r="K270" s="70" t="str">
        <f t="shared" si="78"/>
        <v/>
      </c>
      <c r="M270" s="37">
        <f t="shared" si="80"/>
        <v>2.2700000004508992E-2</v>
      </c>
    </row>
    <row r="271" spans="2:13" outlineLevel="1">
      <c r="B271" s="159">
        <f t="shared" si="70"/>
        <v>53144</v>
      </c>
      <c r="C271" s="144" t="e">
        <f t="shared" si="83"/>
        <v>#VALUE!</v>
      </c>
      <c r="D271" s="145">
        <f>IF(ISNUMBER($F271)*SUM(F271:F276)&lt;&gt;0,VLOOKUP($J271,'Table 1'!$B$13:$C$38,2,FALSE)/12*1000*Study_MW,0)</f>
        <v>0</v>
      </c>
      <c r="E271" s="145" t="e">
        <f t="shared" si="81"/>
        <v>#VALUE!</v>
      </c>
      <c r="F271" s="144">
        <v>0</v>
      </c>
      <c r="G271" s="146">
        <f t="shared" si="82"/>
        <v>0</v>
      </c>
      <c r="I271" s="69">
        <f t="shared" si="76"/>
        <v>20</v>
      </c>
      <c r="J271" s="66">
        <f t="shared" si="77"/>
        <v>2045</v>
      </c>
      <c r="K271" s="70" t="str">
        <f t="shared" si="78"/>
        <v/>
      </c>
      <c r="M271" s="37">
        <f t="shared" si="80"/>
        <v>2.2700000004508992E-2</v>
      </c>
    </row>
    <row r="272" spans="2:13" outlineLevel="1">
      <c r="B272" s="159">
        <f t="shared" si="70"/>
        <v>53175</v>
      </c>
      <c r="C272" s="144" t="e">
        <f t="shared" si="83"/>
        <v>#VALUE!</v>
      </c>
      <c r="D272" s="145">
        <f>IF(ISNUMBER($F272)*SUM(F272:F276)&lt;&gt;0,VLOOKUP($J272,'Table 1'!$B$13:$C$38,2,FALSE)/12*1000*Study_MW,0)</f>
        <v>0</v>
      </c>
      <c r="E272" s="145" t="e">
        <f t="shared" si="81"/>
        <v>#VALUE!</v>
      </c>
      <c r="F272" s="144">
        <v>0</v>
      </c>
      <c r="G272" s="146">
        <f t="shared" si="82"/>
        <v>0</v>
      </c>
      <c r="I272" s="69">
        <f t="shared" si="76"/>
        <v>21</v>
      </c>
      <c r="J272" s="66">
        <f t="shared" si="77"/>
        <v>2045</v>
      </c>
      <c r="K272" s="70" t="str">
        <f t="shared" si="78"/>
        <v/>
      </c>
      <c r="M272" s="37">
        <f t="shared" si="80"/>
        <v>2.2700000004508992E-2</v>
      </c>
    </row>
    <row r="273" spans="2:13" outlineLevel="1">
      <c r="B273" s="159">
        <f t="shared" si="70"/>
        <v>53206</v>
      </c>
      <c r="C273" s="144" t="e">
        <f t="shared" si="83"/>
        <v>#VALUE!</v>
      </c>
      <c r="D273" s="145">
        <f>IF(ISNUMBER($F273)*SUM(F273:F276)&lt;&gt;0,VLOOKUP($J273,'Table 1'!$B$13:$C$38,2,FALSE)/12*1000*Study_MW,0)</f>
        <v>0</v>
      </c>
      <c r="E273" s="145" t="e">
        <f t="shared" si="81"/>
        <v>#VALUE!</v>
      </c>
      <c r="F273" s="144">
        <v>0</v>
      </c>
      <c r="G273" s="146">
        <f t="shared" si="82"/>
        <v>0</v>
      </c>
      <c r="I273" s="69">
        <f t="shared" si="76"/>
        <v>22</v>
      </c>
      <c r="J273" s="66">
        <f t="shared" si="77"/>
        <v>2045</v>
      </c>
      <c r="K273" s="70" t="str">
        <f t="shared" si="78"/>
        <v/>
      </c>
      <c r="M273" s="37">
        <f t="shared" si="80"/>
        <v>2.2700000004508992E-2</v>
      </c>
    </row>
    <row r="274" spans="2:13" outlineLevel="1">
      <c r="B274" s="159">
        <f t="shared" si="70"/>
        <v>53236</v>
      </c>
      <c r="C274" s="144" t="e">
        <f t="shared" si="83"/>
        <v>#VALUE!</v>
      </c>
      <c r="D274" s="145">
        <f>IF(ISNUMBER($F274)*SUM(F274:F276)&lt;&gt;0,VLOOKUP($J274,'Table 1'!$B$13:$C$38,2,FALSE)/12*1000*Study_MW,0)</f>
        <v>0</v>
      </c>
      <c r="E274" s="145" t="e">
        <f t="shared" si="81"/>
        <v>#VALUE!</v>
      </c>
      <c r="F274" s="144">
        <v>0</v>
      </c>
      <c r="G274" s="146">
        <f t="shared" si="82"/>
        <v>0</v>
      </c>
      <c r="I274" s="69">
        <f t="shared" si="76"/>
        <v>23</v>
      </c>
      <c r="J274" s="66">
        <f t="shared" si="77"/>
        <v>2045</v>
      </c>
      <c r="K274" s="70" t="str">
        <f t="shared" si="78"/>
        <v/>
      </c>
      <c r="M274" s="37">
        <f t="shared" si="80"/>
        <v>2.2700000004508992E-2</v>
      </c>
    </row>
    <row r="275" spans="2:13" outlineLevel="1">
      <c r="B275" s="159">
        <f t="shared" si="70"/>
        <v>53267</v>
      </c>
      <c r="C275" s="144" t="e">
        <f t="shared" si="83"/>
        <v>#VALUE!</v>
      </c>
      <c r="D275" s="145">
        <f>IF(ISNUMBER($F275)*SUM(F275:F276)&lt;&gt;0,VLOOKUP($J275,'Table 1'!$B$13:$C$38,2,FALSE)/12*1000*Study_MW,0)</f>
        <v>0</v>
      </c>
      <c r="E275" s="145" t="e">
        <f t="shared" si="81"/>
        <v>#VALUE!</v>
      </c>
      <c r="F275" s="144">
        <v>0</v>
      </c>
      <c r="G275" s="146">
        <f t="shared" si="82"/>
        <v>0</v>
      </c>
      <c r="I275" s="69">
        <f t="shared" si="76"/>
        <v>24</v>
      </c>
      <c r="J275" s="66">
        <f t="shared" si="77"/>
        <v>2045</v>
      </c>
      <c r="K275" s="70" t="str">
        <f t="shared" si="78"/>
        <v/>
      </c>
      <c r="M275" s="37">
        <f t="shared" si="80"/>
        <v>2.2700000004508992E-2</v>
      </c>
    </row>
    <row r="276" spans="2:13" outlineLevel="1">
      <c r="B276" s="160">
        <f t="shared" si="70"/>
        <v>53297</v>
      </c>
      <c r="C276" s="147" t="e">
        <f t="shared" si="83"/>
        <v>#VALUE!</v>
      </c>
      <c r="D276" s="148">
        <f>IF(ISNUMBER($F276)*SUM(F276:F276)&lt;&gt;0,VLOOKUP($J276,'Table 1'!$B$13:$C$38,2,FALSE)/12*1000*Study_MW,0)</f>
        <v>0</v>
      </c>
      <c r="E276" s="148" t="e">
        <f t="shared" si="81"/>
        <v>#VALUE!</v>
      </c>
      <c r="F276" s="147">
        <v>0</v>
      </c>
      <c r="G276" s="149">
        <f t="shared" si="82"/>
        <v>0</v>
      </c>
      <c r="I276" s="57">
        <f t="shared" si="76"/>
        <v>25</v>
      </c>
      <c r="J276" s="66">
        <f t="shared" si="77"/>
        <v>2045</v>
      </c>
      <c r="K276" s="74" t="str">
        <f t="shared" si="78"/>
        <v/>
      </c>
      <c r="M276" s="37">
        <f t="shared" si="80"/>
        <v>2.2700000004508992E-2</v>
      </c>
    </row>
  </sheetData>
  <printOptions horizontalCentered="1"/>
  <pageMargins left="0.25" right="0.25" top="0.75" bottom="0.75" header="0.3" footer="0.3"/>
  <pageSetup scale="19" orientation="portrait" r:id="rId1"/>
  <headerFooter alignWithMargins="0">
    <oddFooter>&amp;L&amp;8NPC Group - &amp;F   ( &amp;A )&amp;C &amp;R &amp;8&amp;D  &amp;T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7DD06-B03C-4E3A-945B-5B1D83EC0848}">
  <sheetPr>
    <tabColor rgb="FFFFC000"/>
    <pageSetUpPr fitToPage="1"/>
  </sheetPr>
  <dimension ref="B1:AB91"/>
  <sheetViews>
    <sheetView topLeftCell="A6" zoomScale="70" zoomScaleNormal="70" workbookViewId="0">
      <selection activeCell="O20" sqref="O20:O37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1.83203125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23.5" style="102" customWidth="1"/>
    <col min="19" max="19" width="18.1640625" style="102" customWidth="1"/>
    <col min="20" max="20" width="13.33203125" style="102" customWidth="1"/>
    <col min="21" max="21" width="18.1640625" style="102" customWidth="1"/>
    <col min="22" max="22" width="12.83203125" style="102" customWidth="1"/>
    <col min="23" max="23" width="15.33203125" style="102" customWidth="1"/>
    <col min="24" max="25" width="9.33203125" style="102"/>
    <col min="26" max="26" width="13.33203125" style="102" customWidth="1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S54</f>
        <v>PVS.PX.WMV._.223.BAT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10%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S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Q6" s="102" t="s">
        <v>277</v>
      </c>
      <c r="S6" s="102" t="s">
        <v>265</v>
      </c>
      <c r="V6" s="129"/>
      <c r="W6" s="129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  <c r="Q7" s="115" t="s">
        <v>232</v>
      </c>
      <c r="R7" s="129" t="s">
        <v>275</v>
      </c>
      <c r="S7" s="102" t="s">
        <v>238</v>
      </c>
      <c r="T7" s="129" t="s">
        <v>276</v>
      </c>
      <c r="W7" s="102" t="s">
        <v>247</v>
      </c>
    </row>
    <row r="8" spans="2:26" ht="21.75" customHeight="1">
      <c r="Q8" s="115"/>
      <c r="S8" s="102" t="s">
        <v>273</v>
      </c>
      <c r="W8" s="115" t="s">
        <v>232</v>
      </c>
    </row>
    <row r="9" spans="2:26" ht="15.75">
      <c r="B9" s="39" t="str">
        <f>C52</f>
        <v>PVS.PX.WMV._.223.BAT - 10%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>
        <f>(D12+E12+F12)</f>
        <v>0</v>
      </c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>
        <f t="shared" ref="K13:K37" si="1">(D13+E13+F13)</f>
        <v>0</v>
      </c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>
        <f t="shared" si="1"/>
        <v>0</v>
      </c>
      <c r="O14" s="114"/>
      <c r="P14" s="265"/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>
        <f t="shared" si="1"/>
        <v>0</v>
      </c>
      <c r="O15" s="266"/>
      <c r="P15" s="265"/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>
        <f t="shared" si="1"/>
        <v>0</v>
      </c>
      <c r="Q16" s="274">
        <v>1728.6589634669394</v>
      </c>
      <c r="R16" s="129">
        <f>S16-Q16</f>
        <v>-6.1889634669394127</v>
      </c>
      <c r="S16" s="102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>
        <f t="shared" si="1"/>
        <v>0</v>
      </c>
      <c r="O17" s="114"/>
      <c r="Q17" s="277"/>
      <c r="R17" s="277"/>
      <c r="S17" s="102">
        <f>S16*IRP_PTC_ESC!$AJ3</f>
        <v>1809.626982</v>
      </c>
      <c r="T17" s="129"/>
      <c r="W17" s="277">
        <f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>
        <f t="shared" si="1"/>
        <v>0</v>
      </c>
      <c r="P18" s="263"/>
      <c r="Q18" s="277"/>
      <c r="R18" s="277"/>
      <c r="S18" s="102">
        <f>S17*IRP_PTC_ESC!$AJ4</f>
        <v>1809.626982</v>
      </c>
      <c r="T18" s="129"/>
      <c r="W18" s="277">
        <f>W17*(1+IRP23_Infl_Rate)</f>
        <v>42.159134777192428</v>
      </c>
      <c r="AB18" s="227"/>
    </row>
    <row r="19" spans="2:28">
      <c r="B19" s="109">
        <f t="shared" si="0"/>
        <v>2025</v>
      </c>
      <c r="C19" s="113"/>
      <c r="D19" s="111"/>
      <c r="E19" s="111"/>
      <c r="F19" s="111"/>
      <c r="G19" s="112"/>
      <c r="H19" s="111"/>
      <c r="I19" s="112"/>
      <c r="J19" s="112"/>
      <c r="K19" s="111">
        <f t="shared" si="1"/>
        <v>0</v>
      </c>
      <c r="P19" s="263"/>
      <c r="Q19" s="277"/>
      <c r="R19" s="277"/>
      <c r="S19" s="102">
        <f>S18*IRP_PTC_ESC!$AJ5</f>
        <v>1809.626982</v>
      </c>
      <c r="U19" s="129"/>
      <c r="W19" s="277">
        <f>W18*(1+IRP23_Infl_Rate)</f>
        <v>43.116147136824793</v>
      </c>
      <c r="X19" s="129"/>
      <c r="Y19" s="273"/>
    </row>
    <row r="20" spans="2:28">
      <c r="B20" s="109">
        <f t="shared" si="0"/>
        <v>2026</v>
      </c>
      <c r="C20" s="274">
        <f>IRP_LTReport!R44</f>
        <v>1809.6270713615402</v>
      </c>
      <c r="D20" s="111">
        <f>C20*$C$62</f>
        <v>152.09915534793745</v>
      </c>
      <c r="E20" s="281">
        <f>IRP_LTReport!L44</f>
        <v>70.310000000002603</v>
      </c>
      <c r="F20" s="165">
        <f>$C$60</f>
        <v>0</v>
      </c>
      <c r="G20" s="112">
        <f t="shared" ref="G20:G37" si="2">(D20+E20+F20)/(8.76*$C$63)</f>
        <v>262.9927350957318</v>
      </c>
      <c r="H20" s="111"/>
      <c r="I20" s="112">
        <f t="shared" ref="I20:I37" si="3">(G20+H20)</f>
        <v>262.9927350957318</v>
      </c>
      <c r="J20" s="112">
        <f t="shared" ref="J20:J37" si="4">ROUND(I20*$C$63*8.76,2)</f>
        <v>222.41</v>
      </c>
      <c r="K20" s="111">
        <f t="shared" si="1"/>
        <v>222.40915534794004</v>
      </c>
      <c r="P20" s="112"/>
      <c r="R20" s="129"/>
      <c r="S20" s="102">
        <f>S19*IRP_PTC_ESC!$AJ6</f>
        <v>1809.626982</v>
      </c>
      <c r="U20" s="129">
        <f>S20-C20</f>
        <v>-8.9361540176469134E-5</v>
      </c>
      <c r="V20" s="129"/>
      <c r="W20" s="277">
        <f>W19*(1+IRP23_Infl_Rate)</f>
        <v>44.094883677025123</v>
      </c>
      <c r="X20" s="129">
        <f>W20-E20</f>
        <v>-26.21511632297748</v>
      </c>
      <c r="Y20" s="273" t="s">
        <v>278</v>
      </c>
    </row>
    <row r="21" spans="2:28">
      <c r="B21" s="109">
        <f t="shared" si="0"/>
        <v>2027</v>
      </c>
      <c r="C21" s="113"/>
      <c r="D21" s="111">
        <f t="shared" ref="D21:E36" si="5">ROUND(D20*(1+IRP23_Infl_Rate),2)</f>
        <v>155.55000000000001</v>
      </c>
      <c r="E21" s="111">
        <f t="shared" si="5"/>
        <v>71.91</v>
      </c>
      <c r="F21" s="165">
        <f t="shared" ref="F21:F37" si="6">$C$60</f>
        <v>0</v>
      </c>
      <c r="G21" s="112">
        <f t="shared" si="2"/>
        <v>268.96522056968104</v>
      </c>
      <c r="H21" s="111"/>
      <c r="I21" s="112">
        <f t="shared" si="3"/>
        <v>268.96522056968104</v>
      </c>
      <c r="J21" s="112">
        <f t="shared" si="4"/>
        <v>227.46</v>
      </c>
      <c r="K21" s="111">
        <f t="shared" si="1"/>
        <v>227.46</v>
      </c>
      <c r="P21" s="112"/>
      <c r="U21" s="129"/>
      <c r="V21" s="129"/>
      <c r="W21" s="129"/>
      <c r="X21" s="129"/>
      <c r="Y21" s="129"/>
    </row>
    <row r="22" spans="2:28">
      <c r="B22" s="109">
        <f t="shared" si="0"/>
        <v>2028</v>
      </c>
      <c r="C22" s="113"/>
      <c r="D22" s="111">
        <f t="shared" si="5"/>
        <v>159.08000000000001</v>
      </c>
      <c r="E22" s="111">
        <f t="shared" si="5"/>
        <v>73.540000000000006</v>
      </c>
      <c r="F22" s="165">
        <f t="shared" si="6"/>
        <v>0</v>
      </c>
      <c r="G22" s="112">
        <f t="shared" si="2"/>
        <v>275.06677925313994</v>
      </c>
      <c r="H22" s="111"/>
      <c r="I22" s="112">
        <f t="shared" si="3"/>
        <v>275.06677925313994</v>
      </c>
      <c r="J22" s="112">
        <f t="shared" si="4"/>
        <v>232.62</v>
      </c>
      <c r="K22" s="111">
        <f t="shared" si="1"/>
        <v>232.62</v>
      </c>
      <c r="P22" s="112"/>
      <c r="S22" s="129"/>
      <c r="U22" s="129"/>
      <c r="V22" s="129"/>
      <c r="X22" s="129"/>
      <c r="Y22" s="129"/>
      <c r="Z22" s="129"/>
    </row>
    <row r="23" spans="2:28">
      <c r="B23" s="109">
        <f t="shared" si="0"/>
        <v>2029</v>
      </c>
      <c r="C23" s="113"/>
      <c r="D23" s="111">
        <f t="shared" si="5"/>
        <v>162.69</v>
      </c>
      <c r="E23" s="111">
        <f t="shared" si="5"/>
        <v>75.209999999999994</v>
      </c>
      <c r="F23" s="165">
        <f t="shared" si="6"/>
        <v>0</v>
      </c>
      <c r="G23" s="112">
        <f t="shared" si="2"/>
        <v>281.31023465016756</v>
      </c>
      <c r="H23" s="111"/>
      <c r="I23" s="112">
        <f t="shared" si="3"/>
        <v>281.31023465016756</v>
      </c>
      <c r="J23" s="112">
        <f t="shared" si="4"/>
        <v>237.9</v>
      </c>
      <c r="K23" s="111">
        <f t="shared" si="1"/>
        <v>237.89999999999998</v>
      </c>
      <c r="P23" s="112"/>
      <c r="S23" s="129"/>
      <c r="U23" s="129"/>
      <c r="V23" s="129"/>
      <c r="X23" s="129"/>
      <c r="Y23" s="129"/>
      <c r="Z23" s="129"/>
    </row>
    <row r="24" spans="2:28">
      <c r="B24" s="109">
        <f t="shared" si="0"/>
        <v>2030</v>
      </c>
      <c r="C24" s="113"/>
      <c r="D24" s="111">
        <f t="shared" si="5"/>
        <v>166.38</v>
      </c>
      <c r="E24" s="111">
        <f t="shared" si="5"/>
        <v>76.92</v>
      </c>
      <c r="F24" s="165">
        <f t="shared" si="6"/>
        <v>0</v>
      </c>
      <c r="G24" s="112">
        <f t="shared" si="2"/>
        <v>287.69558676076412</v>
      </c>
      <c r="H24" s="111"/>
      <c r="I24" s="112">
        <f t="shared" si="3"/>
        <v>287.69558676076412</v>
      </c>
      <c r="J24" s="112">
        <f t="shared" si="4"/>
        <v>243.3</v>
      </c>
      <c r="K24" s="111">
        <f t="shared" si="1"/>
        <v>243.3</v>
      </c>
      <c r="P24" s="112"/>
      <c r="S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si="5"/>
        <v>170.16</v>
      </c>
      <c r="E25" s="111">
        <f t="shared" si="5"/>
        <v>78.67</v>
      </c>
      <c r="F25" s="165">
        <f t="shared" si="6"/>
        <v>0</v>
      </c>
      <c r="G25" s="112">
        <f t="shared" si="2"/>
        <v>294.23466031106011</v>
      </c>
      <c r="H25" s="111"/>
      <c r="I25" s="112">
        <f t="shared" si="3"/>
        <v>294.23466031106011</v>
      </c>
      <c r="J25" s="112">
        <f t="shared" si="4"/>
        <v>248.83</v>
      </c>
      <c r="K25" s="111">
        <f t="shared" si="1"/>
        <v>248.82999999999998</v>
      </c>
      <c r="P25" s="112"/>
      <c r="S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si="5"/>
        <v>174.02</v>
      </c>
      <c r="E26" s="111">
        <f t="shared" si="5"/>
        <v>80.459999999999994</v>
      </c>
      <c r="F26" s="165">
        <f t="shared" si="6"/>
        <v>0</v>
      </c>
      <c r="G26" s="112">
        <f t="shared" si="2"/>
        <v>300.91563057492499</v>
      </c>
      <c r="H26" s="111"/>
      <c r="I26" s="112">
        <f t="shared" si="3"/>
        <v>300.91563057492499</v>
      </c>
      <c r="J26" s="112">
        <f t="shared" si="4"/>
        <v>254.48</v>
      </c>
      <c r="K26" s="111">
        <f t="shared" si="1"/>
        <v>254.48000000000002</v>
      </c>
      <c r="P26" s="112"/>
      <c r="S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si="5"/>
        <v>177.97</v>
      </c>
      <c r="E27" s="111">
        <f t="shared" si="5"/>
        <v>82.29</v>
      </c>
      <c r="F27" s="165">
        <f t="shared" si="6"/>
        <v>0</v>
      </c>
      <c r="G27" s="112">
        <f t="shared" si="2"/>
        <v>307.75032227848936</v>
      </c>
      <c r="H27" s="111"/>
      <c r="I27" s="112">
        <f t="shared" si="3"/>
        <v>307.75032227848936</v>
      </c>
      <c r="J27" s="112">
        <f t="shared" si="4"/>
        <v>260.26</v>
      </c>
      <c r="K27" s="111">
        <f t="shared" si="1"/>
        <v>260.26</v>
      </c>
      <c r="P27" s="112"/>
      <c r="S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si="5"/>
        <v>182.01</v>
      </c>
      <c r="E28" s="111">
        <f t="shared" si="5"/>
        <v>84.16</v>
      </c>
      <c r="F28" s="165">
        <f t="shared" si="6"/>
        <v>0</v>
      </c>
      <c r="G28" s="112">
        <f t="shared" si="2"/>
        <v>314.73873542175323</v>
      </c>
      <c r="H28" s="111"/>
      <c r="I28" s="112">
        <f t="shared" si="3"/>
        <v>314.73873542175323</v>
      </c>
      <c r="J28" s="112">
        <f t="shared" si="4"/>
        <v>266.17</v>
      </c>
      <c r="K28" s="111">
        <f t="shared" si="1"/>
        <v>266.16999999999996</v>
      </c>
      <c r="P28" s="112"/>
      <c r="S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si="5"/>
        <v>186.14</v>
      </c>
      <c r="E29" s="111">
        <f t="shared" si="5"/>
        <v>86.07</v>
      </c>
      <c r="F29" s="165">
        <f t="shared" si="6"/>
        <v>0</v>
      </c>
      <c r="G29" s="112">
        <f t="shared" si="2"/>
        <v>321.88087000471677</v>
      </c>
      <c r="H29" s="111"/>
      <c r="I29" s="112">
        <f t="shared" si="3"/>
        <v>321.88087000471677</v>
      </c>
      <c r="J29" s="112">
        <f t="shared" si="4"/>
        <v>272.20999999999998</v>
      </c>
      <c r="K29" s="111">
        <f t="shared" si="1"/>
        <v>272.20999999999998</v>
      </c>
      <c r="P29" s="112"/>
      <c r="S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si="5"/>
        <v>190.37</v>
      </c>
      <c r="E30" s="111">
        <f t="shared" si="5"/>
        <v>88.02</v>
      </c>
      <c r="F30" s="165">
        <f t="shared" si="6"/>
        <v>0</v>
      </c>
      <c r="G30" s="112">
        <f t="shared" si="2"/>
        <v>329.18855075351053</v>
      </c>
      <c r="H30" s="111"/>
      <c r="I30" s="112">
        <f t="shared" si="3"/>
        <v>329.18855075351053</v>
      </c>
      <c r="J30" s="112">
        <f t="shared" si="4"/>
        <v>278.39</v>
      </c>
      <c r="K30" s="111">
        <f t="shared" si="1"/>
        <v>278.39</v>
      </c>
      <c r="P30" s="112"/>
      <c r="S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si="5"/>
        <v>194.69</v>
      </c>
      <c r="E31" s="111">
        <f t="shared" si="5"/>
        <v>90.02</v>
      </c>
      <c r="F31" s="165">
        <f t="shared" si="6"/>
        <v>0</v>
      </c>
      <c r="G31" s="112">
        <f t="shared" si="2"/>
        <v>336.66177766813456</v>
      </c>
      <c r="H31" s="111"/>
      <c r="I31" s="112">
        <f t="shared" si="3"/>
        <v>336.66177766813456</v>
      </c>
      <c r="J31" s="112">
        <f t="shared" si="4"/>
        <v>284.70999999999998</v>
      </c>
      <c r="K31" s="111">
        <f t="shared" si="1"/>
        <v>284.70999999999998</v>
      </c>
      <c r="P31" s="112"/>
      <c r="S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si="5"/>
        <v>199.11</v>
      </c>
      <c r="E32" s="111">
        <f t="shared" si="5"/>
        <v>92.06</v>
      </c>
      <c r="F32" s="165">
        <f t="shared" si="6"/>
        <v>0</v>
      </c>
      <c r="G32" s="112">
        <f t="shared" si="2"/>
        <v>344.30055074858893</v>
      </c>
      <c r="H32" s="111"/>
      <c r="I32" s="112">
        <f t="shared" si="3"/>
        <v>344.30055074858893</v>
      </c>
      <c r="J32" s="112">
        <f t="shared" si="4"/>
        <v>291.17</v>
      </c>
      <c r="K32" s="111">
        <f t="shared" si="1"/>
        <v>291.17</v>
      </c>
      <c r="P32" s="112"/>
      <c r="S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si="5"/>
        <v>203.63</v>
      </c>
      <c r="E33" s="111">
        <f t="shared" si="5"/>
        <v>94.15</v>
      </c>
      <c r="F33" s="165">
        <f t="shared" si="6"/>
        <v>0</v>
      </c>
      <c r="G33" s="112">
        <f t="shared" si="2"/>
        <v>352.11669472100419</v>
      </c>
      <c r="H33" s="111"/>
      <c r="I33" s="112">
        <f t="shared" si="3"/>
        <v>352.11669472100419</v>
      </c>
      <c r="J33" s="112">
        <f t="shared" si="4"/>
        <v>297.77999999999997</v>
      </c>
      <c r="K33" s="111">
        <f t="shared" si="1"/>
        <v>297.77999999999997</v>
      </c>
      <c r="P33" s="112"/>
    </row>
    <row r="34" spans="2:16">
      <c r="B34" s="109">
        <f t="shared" si="0"/>
        <v>2040</v>
      </c>
      <c r="C34" s="113"/>
      <c r="D34" s="111">
        <f t="shared" si="5"/>
        <v>208.25</v>
      </c>
      <c r="E34" s="111">
        <f t="shared" si="5"/>
        <v>96.29</v>
      </c>
      <c r="F34" s="165">
        <f t="shared" si="6"/>
        <v>0</v>
      </c>
      <c r="G34" s="112">
        <f t="shared" si="2"/>
        <v>360.11020958538063</v>
      </c>
      <c r="H34" s="111"/>
      <c r="I34" s="112">
        <f t="shared" si="3"/>
        <v>360.11020958538063</v>
      </c>
      <c r="J34" s="112">
        <f t="shared" si="4"/>
        <v>304.54000000000002</v>
      </c>
      <c r="K34" s="111">
        <f t="shared" si="1"/>
        <v>304.54000000000002</v>
      </c>
      <c r="P34" s="112"/>
    </row>
    <row r="35" spans="2:16">
      <c r="B35" s="109">
        <f t="shared" si="0"/>
        <v>2041</v>
      </c>
      <c r="C35" s="113"/>
      <c r="D35" s="111">
        <f t="shared" si="5"/>
        <v>212.98</v>
      </c>
      <c r="E35" s="111">
        <f t="shared" si="5"/>
        <v>98.48</v>
      </c>
      <c r="F35" s="165">
        <f t="shared" si="6"/>
        <v>0</v>
      </c>
      <c r="G35" s="112">
        <f t="shared" si="2"/>
        <v>368.29292006784863</v>
      </c>
      <c r="H35" s="111"/>
      <c r="I35" s="112">
        <f t="shared" si="3"/>
        <v>368.29292006784863</v>
      </c>
      <c r="J35" s="112">
        <f t="shared" si="4"/>
        <v>311.45999999999998</v>
      </c>
      <c r="K35" s="111">
        <f t="shared" si="1"/>
        <v>311.45999999999998</v>
      </c>
      <c r="P35" s="112"/>
    </row>
    <row r="36" spans="2:16">
      <c r="B36" s="109">
        <f t="shared" si="0"/>
        <v>2042</v>
      </c>
      <c r="C36" s="113"/>
      <c r="D36" s="111">
        <f t="shared" si="5"/>
        <v>217.81</v>
      </c>
      <c r="E36" s="111">
        <f t="shared" si="5"/>
        <v>100.72</v>
      </c>
      <c r="F36" s="165">
        <f t="shared" si="6"/>
        <v>0</v>
      </c>
      <c r="G36" s="112">
        <f t="shared" si="2"/>
        <v>376.65300144227774</v>
      </c>
      <c r="H36" s="111"/>
      <c r="I36" s="112">
        <f t="shared" si="3"/>
        <v>376.65300144227774</v>
      </c>
      <c r="J36" s="112">
        <f t="shared" si="4"/>
        <v>318.52999999999997</v>
      </c>
      <c r="K36" s="111">
        <f t="shared" si="1"/>
        <v>318.52999999999997</v>
      </c>
      <c r="P36" s="112"/>
    </row>
    <row r="37" spans="2:16">
      <c r="B37" s="109">
        <f t="shared" si="0"/>
        <v>2043</v>
      </c>
      <c r="C37" s="113"/>
      <c r="D37" s="111">
        <f t="shared" ref="D37:E37" si="7">ROUND(D36*(1+IRP23_Infl_Rate),2)</f>
        <v>222.75</v>
      </c>
      <c r="E37" s="111">
        <f t="shared" si="7"/>
        <v>103.01</v>
      </c>
      <c r="F37" s="165">
        <f t="shared" si="6"/>
        <v>0</v>
      </c>
      <c r="G37" s="112">
        <f t="shared" si="2"/>
        <v>385.20227843479864</v>
      </c>
      <c r="H37" s="111"/>
      <c r="I37" s="112">
        <f t="shared" si="3"/>
        <v>385.20227843479864</v>
      </c>
      <c r="J37" s="112">
        <f t="shared" si="4"/>
        <v>325.76</v>
      </c>
      <c r="K37" s="111">
        <f t="shared" si="1"/>
        <v>325.76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-PMT(Discount_Rate,COUNT(I20:I37),NPV(Discount_Rate,I20:I37))</f>
        <v>308.17870186282528</v>
      </c>
      <c r="J39" s="287">
        <f>-PMT(Discount_Rate,COUNT(J20:J37),NPV(Discount_Rate,J20:J37))</f>
        <v>260.62235176783992</v>
      </c>
      <c r="K39" s="287">
        <f>-PMT(Discount_Rate,COUNT(K20:K37),NPV(Discount_Rate,K20:K37))</f>
        <v>260.62227442361012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9.7%)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9">
      <c r="C49" s="119" t="str">
        <f>J7</f>
        <v>(h)</v>
      </c>
      <c r="D49" t="str">
        <f>D44</f>
        <v>Plant Costs  - 2023 IRP - Table 7.1 &amp; 7.2</v>
      </c>
    </row>
    <row r="50" spans="2:19">
      <c r="C50" s="119"/>
      <c r="D50" s="112"/>
    </row>
    <row r="51" spans="2:19" ht="13.5" thickBot="1"/>
    <row r="52" spans="2:19" ht="13.5" thickBot="1">
      <c r="C52" s="38" t="str">
        <f>B2&amp;" - "&amp;B3</f>
        <v>PVS.PX.WMV._.223.BAT - 10%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9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9">
      <c r="P54" s="102" t="s">
        <v>98</v>
      </c>
      <c r="Q54" s="102">
        <v>2026</v>
      </c>
      <c r="S54" s="273" t="s">
        <v>298</v>
      </c>
    </row>
    <row r="55" spans="2:19">
      <c r="B55" t="s">
        <v>152</v>
      </c>
      <c r="C55" s="267"/>
      <c r="D55" s="102" t="s">
        <v>65</v>
      </c>
      <c r="O55" s="226">
        <v>474</v>
      </c>
      <c r="P55" s="102" t="s">
        <v>32</v>
      </c>
      <c r="S55" s="273"/>
    </row>
    <row r="56" spans="2:19">
      <c r="B56" t="s">
        <v>152</v>
      </c>
      <c r="C56" s="126"/>
      <c r="D56" s="102" t="s">
        <v>68</v>
      </c>
    </row>
    <row r="57" spans="2:19" ht="24" customHeight="1">
      <c r="B57"/>
      <c r="C57" s="129"/>
      <c r="D57" s="102" t="s">
        <v>99</v>
      </c>
      <c r="Q57" s="175"/>
      <c r="R57" s="175"/>
    </row>
    <row r="58" spans="2:19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9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9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K60" s="270"/>
      <c r="L60" s="270"/>
      <c r="M60" s="270"/>
      <c r="O60" s="127"/>
    </row>
    <row r="61" spans="2:19">
      <c r="B61"/>
      <c r="C61" s="166"/>
      <c r="K61" s="270"/>
      <c r="L61" s="270"/>
      <c r="M61" s="270"/>
      <c r="O61" s="270"/>
    </row>
    <row r="62" spans="2:19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9">
      <c r="C63" s="272">
        <f>IRP_LTReport!F43*1000/(O55*8760)</f>
        <v>9.6539446139767962E-2</v>
      </c>
      <c r="D63" s="102" t="s">
        <v>37</v>
      </c>
    </row>
    <row r="64" spans="2:19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D762-8582-4472-9574-20861B9850DB}">
  <sheetPr>
    <tabColor rgb="FFFFC000"/>
    <pageSetUpPr fitToPage="1"/>
  </sheetPr>
  <dimension ref="B1:AB91"/>
  <sheetViews>
    <sheetView topLeftCell="A6" zoomScale="70" zoomScaleNormal="70" workbookViewId="0">
      <selection activeCell="O22" sqref="O22:O38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1.83203125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23.5" style="102" customWidth="1"/>
    <col min="19" max="19" width="18.1640625" style="102" customWidth="1"/>
    <col min="20" max="20" width="13.33203125" style="102" customWidth="1"/>
    <col min="21" max="21" width="18.1640625" style="102" customWidth="1"/>
    <col min="22" max="22" width="12.83203125" style="102" customWidth="1"/>
    <col min="23" max="23" width="15.33203125" style="102" customWidth="1"/>
    <col min="24" max="25" width="9.33203125" style="102"/>
    <col min="26" max="26" width="13.33203125" style="102" customWidth="1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S54</f>
        <v>PVS.PX.YAK._.110.BAT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10%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S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Q6" s="102" t="s">
        <v>277</v>
      </c>
      <c r="S6" s="102" t="s">
        <v>265</v>
      </c>
      <c r="V6" s="129"/>
      <c r="W6" s="129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  <c r="Q7" s="115" t="s">
        <v>232</v>
      </c>
      <c r="R7" s="129" t="s">
        <v>275</v>
      </c>
      <c r="S7" s="102" t="s">
        <v>238</v>
      </c>
      <c r="T7" s="129" t="s">
        <v>276</v>
      </c>
      <c r="W7" s="102" t="s">
        <v>247</v>
      </c>
    </row>
    <row r="8" spans="2:26" ht="21.75" customHeight="1">
      <c r="Q8" s="115"/>
      <c r="S8" s="102" t="s">
        <v>273</v>
      </c>
      <c r="W8" s="115" t="s">
        <v>232</v>
      </c>
    </row>
    <row r="9" spans="2:26" ht="15.75">
      <c r="B9" s="39" t="str">
        <f>C52</f>
        <v>PVS.PX.YAK._.110.BAT - 10%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>
        <f>(D12+E12+F12)</f>
        <v>0</v>
      </c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>
        <f t="shared" ref="K13:K37" si="1">(D13+E13+F13)</f>
        <v>0</v>
      </c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>
        <f t="shared" si="1"/>
        <v>0</v>
      </c>
      <c r="O14" s="114"/>
      <c r="P14" s="265"/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>
        <f t="shared" si="1"/>
        <v>0</v>
      </c>
      <c r="O15" s="266"/>
      <c r="P15" s="265"/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>
        <f t="shared" si="1"/>
        <v>0</v>
      </c>
      <c r="Q16" s="274">
        <v>1728.6589634669394</v>
      </c>
      <c r="R16" s="129">
        <f>S16-Q16</f>
        <v>-6.1889634669394127</v>
      </c>
      <c r="S16" s="102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>
        <f t="shared" si="1"/>
        <v>0</v>
      </c>
      <c r="O17" s="114"/>
      <c r="Q17" s="277"/>
      <c r="R17" s="277"/>
      <c r="S17" s="102">
        <f>S16*IRP_PTC_ESC!$AJ3</f>
        <v>1809.626982</v>
      </c>
      <c r="T17" s="129"/>
      <c r="W17" s="277">
        <f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>
        <f t="shared" si="1"/>
        <v>0</v>
      </c>
      <c r="P18" s="263"/>
      <c r="Q18" s="277"/>
      <c r="R18" s="277"/>
      <c r="S18" s="102">
        <f>S17*IRP_PTC_ESC!$AJ4</f>
        <v>1809.626982</v>
      </c>
      <c r="T18" s="129"/>
      <c r="W18" s="277">
        <f>W17*(1+IRP23_Infl_Rate)</f>
        <v>42.159134777192428</v>
      </c>
      <c r="AB18" s="227"/>
    </row>
    <row r="19" spans="2:28">
      <c r="B19" s="109">
        <f t="shared" si="0"/>
        <v>2025</v>
      </c>
      <c r="C19" s="113"/>
      <c r="D19" s="111"/>
      <c r="E19" s="111"/>
      <c r="F19" s="111"/>
      <c r="G19" s="112"/>
      <c r="H19" s="111"/>
      <c r="I19" s="112"/>
      <c r="J19" s="112"/>
      <c r="K19" s="111">
        <f t="shared" si="1"/>
        <v>0</v>
      </c>
      <c r="P19" s="263"/>
      <c r="Q19" s="277"/>
      <c r="R19" s="277"/>
      <c r="S19" s="102">
        <f>S18*IRP_PTC_ESC!$AJ5</f>
        <v>1809.626982</v>
      </c>
      <c r="U19" s="129"/>
      <c r="W19" s="277">
        <f>W18*(1+IRP23_Infl_Rate)</f>
        <v>43.116147136824793</v>
      </c>
      <c r="X19" s="129"/>
      <c r="Y19" s="273"/>
    </row>
    <row r="20" spans="2:28">
      <c r="B20" s="109">
        <f t="shared" si="0"/>
        <v>2026</v>
      </c>
      <c r="C20" s="274">
        <f>IRP_LTReport!R48</f>
        <v>1809.6270713615413</v>
      </c>
      <c r="D20" s="111">
        <f>C20*$C$62</f>
        <v>152.09915534793754</v>
      </c>
      <c r="E20" s="281">
        <f>IRP_LTReport!L48</f>
        <v>47.390000000003553</v>
      </c>
      <c r="F20" s="165">
        <f>$C$60</f>
        <v>0</v>
      </c>
      <c r="G20" s="112">
        <f t="shared" ref="G20:G37" si="2">(D20+E20+F20)/(8.76*$C$63)</f>
        <v>225.99046388678229</v>
      </c>
      <c r="H20" s="111"/>
      <c r="I20" s="112">
        <f t="shared" ref="I20:I37" si="3">(G20+H20)</f>
        <v>225.99046388678229</v>
      </c>
      <c r="J20" s="112">
        <f t="shared" ref="J20:J37" si="4">ROUND(I20*$C$63*8.76,2)</f>
        <v>199.49</v>
      </c>
      <c r="K20" s="111">
        <f t="shared" si="1"/>
        <v>199.48915534794111</v>
      </c>
      <c r="P20" s="112"/>
      <c r="R20" s="129"/>
      <c r="S20" s="102">
        <f>S19*IRP_PTC_ESC!$AJ6</f>
        <v>1809.626982</v>
      </c>
      <c r="U20" s="129">
        <f>S20-C20</f>
        <v>-8.9361541313337511E-5</v>
      </c>
      <c r="V20" s="129"/>
      <c r="W20" s="277">
        <f>W19*(1+IRP23_Infl_Rate)</f>
        <v>44.094883677025123</v>
      </c>
      <c r="X20" s="129">
        <f>W20-E20</f>
        <v>-3.2951163229784299</v>
      </c>
      <c r="Y20" s="273" t="s">
        <v>278</v>
      </c>
    </row>
    <row r="21" spans="2:28">
      <c r="B21" s="109">
        <f t="shared" si="0"/>
        <v>2027</v>
      </c>
      <c r="C21" s="113"/>
      <c r="D21" s="111">
        <f t="shared" ref="D21:E36" si="5">ROUND(D20*(1+IRP23_Infl_Rate),2)</f>
        <v>155.55000000000001</v>
      </c>
      <c r="E21" s="111">
        <f t="shared" si="5"/>
        <v>48.47</v>
      </c>
      <c r="F21" s="165">
        <f t="shared" ref="F21:F37" si="6">$C$60</f>
        <v>0</v>
      </c>
      <c r="G21" s="112">
        <f t="shared" si="2"/>
        <v>231.12321249625853</v>
      </c>
      <c r="H21" s="111"/>
      <c r="I21" s="112">
        <f t="shared" si="3"/>
        <v>231.12321249625853</v>
      </c>
      <c r="J21" s="112">
        <f t="shared" si="4"/>
        <v>204.02</v>
      </c>
      <c r="K21" s="111">
        <f t="shared" si="1"/>
        <v>204.02</v>
      </c>
      <c r="P21" s="112"/>
      <c r="U21" s="129"/>
      <c r="V21" s="129"/>
      <c r="W21" s="129"/>
      <c r="X21" s="129"/>
      <c r="Y21" s="129"/>
    </row>
    <row r="22" spans="2:28">
      <c r="B22" s="109">
        <f t="shared" si="0"/>
        <v>2028</v>
      </c>
      <c r="C22" s="113"/>
      <c r="D22" s="111">
        <f t="shared" si="5"/>
        <v>159.08000000000001</v>
      </c>
      <c r="E22" s="111">
        <f t="shared" si="5"/>
        <v>49.57</v>
      </c>
      <c r="F22" s="165">
        <f t="shared" si="6"/>
        <v>0</v>
      </c>
      <c r="G22" s="112">
        <f t="shared" si="2"/>
        <v>236.3682888312143</v>
      </c>
      <c r="H22" s="111"/>
      <c r="I22" s="112">
        <f t="shared" si="3"/>
        <v>236.3682888312143</v>
      </c>
      <c r="J22" s="112">
        <f t="shared" si="4"/>
        <v>208.65</v>
      </c>
      <c r="K22" s="111">
        <f t="shared" si="1"/>
        <v>208.65</v>
      </c>
      <c r="P22" s="112"/>
      <c r="S22" s="129"/>
      <c r="U22" s="129"/>
      <c r="V22" s="129"/>
      <c r="X22" s="129"/>
      <c r="Y22" s="129"/>
      <c r="Z22" s="129"/>
    </row>
    <row r="23" spans="2:28">
      <c r="B23" s="109">
        <f t="shared" si="0"/>
        <v>2029</v>
      </c>
      <c r="C23" s="113"/>
      <c r="D23" s="111">
        <f t="shared" si="5"/>
        <v>162.69</v>
      </c>
      <c r="E23" s="111">
        <f t="shared" si="5"/>
        <v>50.7</v>
      </c>
      <c r="F23" s="165">
        <f t="shared" si="6"/>
        <v>0</v>
      </c>
      <c r="G23" s="112">
        <f t="shared" si="2"/>
        <v>241.73797821084503</v>
      </c>
      <c r="H23" s="111"/>
      <c r="I23" s="112">
        <f t="shared" si="3"/>
        <v>241.73797821084503</v>
      </c>
      <c r="J23" s="112">
        <f t="shared" si="4"/>
        <v>213.39</v>
      </c>
      <c r="K23" s="111">
        <f t="shared" si="1"/>
        <v>213.39</v>
      </c>
      <c r="P23" s="112"/>
      <c r="S23" s="129"/>
      <c r="U23" s="129"/>
      <c r="V23" s="129"/>
      <c r="X23" s="129"/>
      <c r="Y23" s="129"/>
      <c r="Z23" s="129"/>
    </row>
    <row r="24" spans="2:28">
      <c r="B24" s="109">
        <f t="shared" si="0"/>
        <v>2030</v>
      </c>
      <c r="C24" s="113"/>
      <c r="D24" s="111">
        <f t="shared" si="5"/>
        <v>166.38</v>
      </c>
      <c r="E24" s="111">
        <f t="shared" si="5"/>
        <v>51.85</v>
      </c>
      <c r="F24" s="165">
        <f t="shared" si="6"/>
        <v>0</v>
      </c>
      <c r="G24" s="112">
        <f t="shared" si="2"/>
        <v>247.22095217654396</v>
      </c>
      <c r="H24" s="111"/>
      <c r="I24" s="112">
        <f t="shared" si="3"/>
        <v>247.22095217654396</v>
      </c>
      <c r="J24" s="112">
        <f t="shared" si="4"/>
        <v>218.23</v>
      </c>
      <c r="K24" s="111">
        <f t="shared" si="1"/>
        <v>218.23</v>
      </c>
      <c r="P24" s="112"/>
      <c r="S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si="5"/>
        <v>170.16</v>
      </c>
      <c r="E25" s="111">
        <f t="shared" si="5"/>
        <v>53.03</v>
      </c>
      <c r="F25" s="165">
        <f t="shared" si="6"/>
        <v>0</v>
      </c>
      <c r="G25" s="112">
        <f t="shared" si="2"/>
        <v>252.83986764552466</v>
      </c>
      <c r="H25" s="111"/>
      <c r="I25" s="112">
        <f t="shared" si="3"/>
        <v>252.83986764552466</v>
      </c>
      <c r="J25" s="112">
        <f t="shared" si="4"/>
        <v>223.19</v>
      </c>
      <c r="K25" s="111">
        <f t="shared" si="1"/>
        <v>223.19</v>
      </c>
      <c r="P25" s="112"/>
      <c r="S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si="5"/>
        <v>174.02</v>
      </c>
      <c r="E26" s="111">
        <f t="shared" si="5"/>
        <v>54.23</v>
      </c>
      <c r="F26" s="165">
        <f t="shared" si="6"/>
        <v>0</v>
      </c>
      <c r="G26" s="112">
        <f t="shared" si="2"/>
        <v>258.57206770057354</v>
      </c>
      <c r="H26" s="111"/>
      <c r="I26" s="112">
        <f t="shared" si="3"/>
        <v>258.57206770057354</v>
      </c>
      <c r="J26" s="112">
        <f t="shared" si="4"/>
        <v>228.25</v>
      </c>
      <c r="K26" s="111">
        <f t="shared" si="1"/>
        <v>228.25</v>
      </c>
      <c r="P26" s="112"/>
      <c r="S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si="5"/>
        <v>177.97</v>
      </c>
      <c r="E27" s="111">
        <f t="shared" si="5"/>
        <v>55.46</v>
      </c>
      <c r="F27" s="165">
        <f t="shared" si="6"/>
        <v>0</v>
      </c>
      <c r="G27" s="112">
        <f t="shared" si="2"/>
        <v>264.44020925890419</v>
      </c>
      <c r="H27" s="111"/>
      <c r="I27" s="112">
        <f t="shared" si="3"/>
        <v>264.44020925890419</v>
      </c>
      <c r="J27" s="112">
        <f t="shared" si="4"/>
        <v>233.43</v>
      </c>
      <c r="K27" s="111">
        <f t="shared" si="1"/>
        <v>233.43</v>
      </c>
      <c r="P27" s="112"/>
      <c r="S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si="5"/>
        <v>182.01</v>
      </c>
      <c r="E28" s="111">
        <f t="shared" si="5"/>
        <v>56.72</v>
      </c>
      <c r="F28" s="165">
        <f t="shared" si="6"/>
        <v>0</v>
      </c>
      <c r="G28" s="112">
        <f t="shared" si="2"/>
        <v>270.44429232051658</v>
      </c>
      <c r="H28" s="111"/>
      <c r="I28" s="112">
        <f t="shared" si="3"/>
        <v>270.44429232051658</v>
      </c>
      <c r="J28" s="112">
        <f t="shared" si="4"/>
        <v>238.73</v>
      </c>
      <c r="K28" s="111">
        <f t="shared" si="1"/>
        <v>238.73</v>
      </c>
      <c r="P28" s="112"/>
      <c r="S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si="5"/>
        <v>186.14</v>
      </c>
      <c r="E29" s="111">
        <f t="shared" si="5"/>
        <v>58.01</v>
      </c>
      <c r="F29" s="165">
        <f t="shared" si="6"/>
        <v>0</v>
      </c>
      <c r="G29" s="112">
        <f t="shared" si="2"/>
        <v>276.58431688541083</v>
      </c>
      <c r="H29" s="111"/>
      <c r="I29" s="112">
        <f t="shared" si="3"/>
        <v>276.58431688541083</v>
      </c>
      <c r="J29" s="112">
        <f t="shared" si="4"/>
        <v>244.15</v>
      </c>
      <c r="K29" s="111">
        <f t="shared" si="1"/>
        <v>244.14999999999998</v>
      </c>
      <c r="P29" s="112"/>
      <c r="S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si="5"/>
        <v>190.37</v>
      </c>
      <c r="E30" s="111">
        <f t="shared" si="5"/>
        <v>59.33</v>
      </c>
      <c r="F30" s="165">
        <f t="shared" si="6"/>
        <v>0</v>
      </c>
      <c r="G30" s="112">
        <f t="shared" si="2"/>
        <v>282.87161141219366</v>
      </c>
      <c r="H30" s="111"/>
      <c r="I30" s="112">
        <f t="shared" si="3"/>
        <v>282.87161141219366</v>
      </c>
      <c r="J30" s="112">
        <f t="shared" si="4"/>
        <v>249.7</v>
      </c>
      <c r="K30" s="111">
        <f t="shared" si="1"/>
        <v>249.7</v>
      </c>
      <c r="P30" s="112"/>
      <c r="S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si="5"/>
        <v>194.69</v>
      </c>
      <c r="E31" s="111">
        <f t="shared" si="5"/>
        <v>60.68</v>
      </c>
      <c r="F31" s="165">
        <f t="shared" si="6"/>
        <v>0</v>
      </c>
      <c r="G31" s="112">
        <f t="shared" si="2"/>
        <v>289.29484744225834</v>
      </c>
      <c r="H31" s="111"/>
      <c r="I31" s="112">
        <f t="shared" si="3"/>
        <v>289.29484744225834</v>
      </c>
      <c r="J31" s="112">
        <f t="shared" si="4"/>
        <v>255.37</v>
      </c>
      <c r="K31" s="111">
        <f t="shared" si="1"/>
        <v>255.37</v>
      </c>
      <c r="P31" s="112"/>
      <c r="S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si="5"/>
        <v>199.11</v>
      </c>
      <c r="E32" s="111">
        <f t="shared" si="5"/>
        <v>62.06</v>
      </c>
      <c r="F32" s="165">
        <f t="shared" si="6"/>
        <v>0</v>
      </c>
      <c r="G32" s="112">
        <f t="shared" si="2"/>
        <v>295.86535343421156</v>
      </c>
      <c r="H32" s="111"/>
      <c r="I32" s="112">
        <f t="shared" si="3"/>
        <v>295.86535343421156</v>
      </c>
      <c r="J32" s="112">
        <f t="shared" si="4"/>
        <v>261.17</v>
      </c>
      <c r="K32" s="111">
        <f t="shared" si="1"/>
        <v>261.17</v>
      </c>
      <c r="P32" s="112"/>
      <c r="S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si="5"/>
        <v>203.63</v>
      </c>
      <c r="E33" s="111">
        <f t="shared" si="5"/>
        <v>63.47</v>
      </c>
      <c r="F33" s="165">
        <f t="shared" si="6"/>
        <v>0</v>
      </c>
      <c r="G33" s="112">
        <f t="shared" si="2"/>
        <v>302.58312938805341</v>
      </c>
      <c r="H33" s="111"/>
      <c r="I33" s="112">
        <f t="shared" si="3"/>
        <v>302.58312938805341</v>
      </c>
      <c r="J33" s="112">
        <f t="shared" si="4"/>
        <v>267.10000000000002</v>
      </c>
      <c r="K33" s="111">
        <f t="shared" si="1"/>
        <v>267.10000000000002</v>
      </c>
      <c r="P33" s="112"/>
    </row>
    <row r="34" spans="2:16">
      <c r="B34" s="109">
        <f t="shared" si="0"/>
        <v>2040</v>
      </c>
      <c r="C34" s="113"/>
      <c r="D34" s="111">
        <f t="shared" si="5"/>
        <v>208.25</v>
      </c>
      <c r="E34" s="111">
        <f t="shared" si="5"/>
        <v>64.91</v>
      </c>
      <c r="F34" s="165">
        <f t="shared" si="6"/>
        <v>0</v>
      </c>
      <c r="G34" s="112">
        <f t="shared" si="2"/>
        <v>309.44817530378378</v>
      </c>
      <c r="H34" s="111"/>
      <c r="I34" s="112">
        <f t="shared" si="3"/>
        <v>309.44817530378378</v>
      </c>
      <c r="J34" s="112">
        <f t="shared" si="4"/>
        <v>273.16000000000003</v>
      </c>
      <c r="K34" s="111">
        <f t="shared" si="1"/>
        <v>273.15999999999997</v>
      </c>
      <c r="P34" s="112"/>
    </row>
    <row r="35" spans="2:16">
      <c r="B35" s="109">
        <f t="shared" si="0"/>
        <v>2041</v>
      </c>
      <c r="C35" s="113"/>
      <c r="D35" s="111">
        <f t="shared" si="5"/>
        <v>212.98</v>
      </c>
      <c r="E35" s="111">
        <f t="shared" si="5"/>
        <v>66.38</v>
      </c>
      <c r="F35" s="165">
        <f t="shared" si="6"/>
        <v>0</v>
      </c>
      <c r="G35" s="112">
        <f t="shared" si="2"/>
        <v>316.47181964000976</v>
      </c>
      <c r="H35" s="111"/>
      <c r="I35" s="112">
        <f t="shared" si="3"/>
        <v>316.47181964000976</v>
      </c>
      <c r="J35" s="112">
        <f t="shared" si="4"/>
        <v>279.36</v>
      </c>
      <c r="K35" s="111">
        <f t="shared" si="1"/>
        <v>279.36</v>
      </c>
      <c r="P35" s="112"/>
    </row>
    <row r="36" spans="2:16">
      <c r="B36" s="109">
        <f t="shared" si="0"/>
        <v>2042</v>
      </c>
      <c r="C36" s="113"/>
      <c r="D36" s="111">
        <f t="shared" si="5"/>
        <v>217.81</v>
      </c>
      <c r="E36" s="111">
        <f t="shared" si="5"/>
        <v>67.89</v>
      </c>
      <c r="F36" s="165">
        <f t="shared" si="6"/>
        <v>0</v>
      </c>
      <c r="G36" s="112">
        <f t="shared" si="2"/>
        <v>323.65406239673098</v>
      </c>
      <c r="H36" s="111"/>
      <c r="I36" s="112">
        <f t="shared" si="3"/>
        <v>323.65406239673098</v>
      </c>
      <c r="J36" s="112">
        <f t="shared" si="4"/>
        <v>285.7</v>
      </c>
      <c r="K36" s="111">
        <f t="shared" si="1"/>
        <v>285.7</v>
      </c>
      <c r="P36" s="112"/>
    </row>
    <row r="37" spans="2:16">
      <c r="B37" s="109">
        <f t="shared" si="0"/>
        <v>2043</v>
      </c>
      <c r="C37" s="113"/>
      <c r="D37" s="111">
        <f t="shared" ref="D37:E37" si="7">ROUND(D36*(1+IRP23_Infl_Rate),2)</f>
        <v>222.75</v>
      </c>
      <c r="E37" s="111">
        <f t="shared" si="7"/>
        <v>69.430000000000007</v>
      </c>
      <c r="F37" s="165">
        <f t="shared" si="6"/>
        <v>0</v>
      </c>
      <c r="G37" s="112">
        <f t="shared" si="2"/>
        <v>330.99490357394774</v>
      </c>
      <c r="H37" s="111"/>
      <c r="I37" s="112">
        <f t="shared" si="3"/>
        <v>330.99490357394774</v>
      </c>
      <c r="J37" s="112">
        <f t="shared" si="4"/>
        <v>292.18</v>
      </c>
      <c r="K37" s="111">
        <f t="shared" si="1"/>
        <v>292.18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-PMT(Discount_Rate,COUNT(I20:I37),NPV(Discount_Rate,I20:I37))</f>
        <v>264.81822053237369</v>
      </c>
      <c r="J39" s="287">
        <f>-PMT(Discount_Rate,COUNT(J20:J37),NPV(Discount_Rate,J20:J37))</f>
        <v>233.76376022783228</v>
      </c>
      <c r="K39" s="287">
        <f>-PMT(Discount_Rate,15,NPV(Discount_Rate,K20:K36))</f>
        <v>248.99382003509402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10.1%)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9">
      <c r="C49" s="119" t="str">
        <f>J7</f>
        <v>(h)</v>
      </c>
      <c r="D49" t="str">
        <f>D44</f>
        <v>Plant Costs  - 2023 IRP - Table 7.1 &amp; 7.2</v>
      </c>
    </row>
    <row r="50" spans="2:19">
      <c r="C50" s="119"/>
      <c r="D50" s="112"/>
    </row>
    <row r="51" spans="2:19" ht="13.5" thickBot="1"/>
    <row r="52" spans="2:19" ht="13.5" thickBot="1">
      <c r="C52" s="38" t="str">
        <f>B2&amp;" - "&amp;B3</f>
        <v>PVS.PX.YAK._.110.BAT - 10%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9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9">
      <c r="P54" s="102" t="s">
        <v>98</v>
      </c>
      <c r="Q54" s="102">
        <v>2026</v>
      </c>
      <c r="S54" s="273" t="s">
        <v>301</v>
      </c>
    </row>
    <row r="55" spans="2:19">
      <c r="B55" t="s">
        <v>152</v>
      </c>
      <c r="C55" s="267"/>
      <c r="D55" s="102" t="s">
        <v>65</v>
      </c>
      <c r="O55" s="226">
        <v>449.99</v>
      </c>
      <c r="P55" s="102" t="s">
        <v>32</v>
      </c>
      <c r="S55" s="273"/>
    </row>
    <row r="56" spans="2:19">
      <c r="B56" t="s">
        <v>152</v>
      </c>
      <c r="C56" s="126"/>
      <c r="D56" s="102" t="s">
        <v>68</v>
      </c>
    </row>
    <row r="57" spans="2:19" ht="24" customHeight="1">
      <c r="B57"/>
      <c r="C57" s="129"/>
      <c r="D57" s="102" t="s">
        <v>99</v>
      </c>
      <c r="Q57" s="175"/>
      <c r="R57" s="175"/>
    </row>
    <row r="58" spans="2:19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9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9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K60" s="270"/>
      <c r="L60" s="270"/>
      <c r="M60" s="270"/>
      <c r="O60" s="127"/>
    </row>
    <row r="61" spans="2:19">
      <c r="B61"/>
      <c r="C61" s="166"/>
      <c r="K61" s="270"/>
      <c r="L61" s="270"/>
      <c r="M61" s="270"/>
      <c r="O61" s="270"/>
    </row>
    <row r="62" spans="2:19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9">
      <c r="C63" s="272">
        <f>IRP_LTReport!F47*1000/(O55*8760)</f>
        <v>0.10076856446548642</v>
      </c>
      <c r="D63" s="102" t="s">
        <v>37</v>
      </c>
    </row>
    <row r="64" spans="2:19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0455C-AD97-41F2-9175-A9CDDF2F523E}">
  <sheetPr>
    <tabColor rgb="FFFFC000"/>
    <pageSetUpPr fitToPage="1"/>
  </sheetPr>
  <dimension ref="B1:AB91"/>
  <sheetViews>
    <sheetView zoomScale="70" zoomScaleNormal="70" workbookViewId="0">
      <selection activeCell="O38" sqref="O22:O38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1.83203125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23.5" style="102" customWidth="1"/>
    <col min="19" max="19" width="18.1640625" style="102" customWidth="1"/>
    <col min="20" max="20" width="13.33203125" style="102" customWidth="1"/>
    <col min="21" max="21" width="18.1640625" style="102" customWidth="1"/>
    <col min="22" max="22" width="12.83203125" style="102" customWidth="1"/>
    <col min="23" max="23" width="15.33203125" style="102" customWidth="1"/>
    <col min="24" max="25" width="9.33203125" style="102"/>
    <col min="26" max="26" width="13.33203125" style="102" customWidth="1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S54</f>
        <v>PVS.PX.WWA._.215.BAT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9%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S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Q6" s="102" t="s">
        <v>277</v>
      </c>
      <c r="S6" s="102" t="s">
        <v>265</v>
      </c>
      <c r="V6" s="129"/>
      <c r="W6" s="129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  <c r="Q7" s="115" t="s">
        <v>232</v>
      </c>
      <c r="R7" s="129" t="s">
        <v>275</v>
      </c>
      <c r="S7" s="102" t="s">
        <v>238</v>
      </c>
      <c r="T7" s="129" t="s">
        <v>276</v>
      </c>
      <c r="W7" s="102" t="s">
        <v>247</v>
      </c>
    </row>
    <row r="8" spans="2:26" ht="21.75" customHeight="1">
      <c r="Q8" s="115"/>
      <c r="S8" s="102" t="s">
        <v>273</v>
      </c>
      <c r="W8" s="115" t="s">
        <v>232</v>
      </c>
    </row>
    <row r="9" spans="2:26" ht="15.75">
      <c r="B9" s="39" t="str">
        <f>C52</f>
        <v>PVS.PX.WWA._.215.BAT - 9%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>
        <f>(D12+E12+F12)</f>
        <v>0</v>
      </c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>
        <f t="shared" ref="K13:K37" si="1">(D13+E13+F13)</f>
        <v>0</v>
      </c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>
        <f t="shared" si="1"/>
        <v>0</v>
      </c>
      <c r="O14" s="114"/>
      <c r="P14" s="265"/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>
        <f t="shared" si="1"/>
        <v>0</v>
      </c>
      <c r="O15" s="266"/>
      <c r="P15" s="265"/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>
        <f t="shared" si="1"/>
        <v>0</v>
      </c>
      <c r="Q16" s="274">
        <v>1728.6589634669394</v>
      </c>
      <c r="R16" s="129">
        <f>S16-Q16</f>
        <v>-6.1889634669394127</v>
      </c>
      <c r="S16" s="102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>
        <f t="shared" si="1"/>
        <v>0</v>
      </c>
      <c r="O17" s="114"/>
      <c r="Q17" s="277"/>
      <c r="R17" s="277"/>
      <c r="S17" s="102">
        <f>S16*IRP_PTC_ESC!$AJ3</f>
        <v>1809.626982</v>
      </c>
      <c r="T17" s="129"/>
      <c r="W17" s="277">
        <f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>
        <f t="shared" si="1"/>
        <v>0</v>
      </c>
      <c r="P18" s="263"/>
      <c r="Q18" s="277"/>
      <c r="R18" s="277"/>
      <c r="S18" s="102">
        <f>S17*IRP_PTC_ESC!$AJ4</f>
        <v>1809.626982</v>
      </c>
      <c r="T18" s="129"/>
      <c r="W18" s="277">
        <f>W17*(1+IRP23_Infl_Rate)</f>
        <v>42.159134777192428</v>
      </c>
      <c r="AB18" s="227"/>
    </row>
    <row r="19" spans="2:28">
      <c r="B19" s="109">
        <f t="shared" si="0"/>
        <v>2025</v>
      </c>
      <c r="C19" s="113"/>
      <c r="D19" s="111"/>
      <c r="E19" s="111"/>
      <c r="F19" s="111"/>
      <c r="G19" s="112"/>
      <c r="H19" s="111"/>
      <c r="I19" s="112"/>
      <c r="J19" s="112"/>
      <c r="K19" s="111">
        <f t="shared" si="1"/>
        <v>0</v>
      </c>
      <c r="P19" s="263"/>
      <c r="Q19" s="277"/>
      <c r="R19" s="277"/>
      <c r="S19" s="102">
        <f>S18*IRP_PTC_ESC!$AJ5</f>
        <v>1809.626982</v>
      </c>
      <c r="U19" s="129"/>
      <c r="W19" s="277">
        <f>W18*(1+IRP23_Infl_Rate)</f>
        <v>43.116147136824793</v>
      </c>
      <c r="X19" s="129"/>
      <c r="Y19" s="273"/>
    </row>
    <row r="20" spans="2:28">
      <c r="B20" s="109">
        <f t="shared" si="0"/>
        <v>2026</v>
      </c>
      <c r="C20" s="113"/>
      <c r="D20" s="111"/>
      <c r="E20" s="111"/>
      <c r="F20" s="165"/>
      <c r="G20" s="112"/>
      <c r="H20" s="111"/>
      <c r="I20" s="112"/>
      <c r="J20" s="112"/>
      <c r="K20" s="111">
        <f t="shared" si="1"/>
        <v>0</v>
      </c>
      <c r="P20" s="112"/>
      <c r="R20" s="129"/>
      <c r="S20" s="102">
        <f>S19*IRP_PTC_ESC!$AJ6</f>
        <v>1809.626982</v>
      </c>
      <c r="U20" s="129"/>
      <c r="V20" s="129"/>
      <c r="W20" s="277">
        <f>W19*(1+IRP23_Infl_Rate)</f>
        <v>44.094883677025123</v>
      </c>
      <c r="X20" s="129"/>
      <c r="Y20" s="273"/>
    </row>
    <row r="21" spans="2:28">
      <c r="B21" s="109">
        <f t="shared" si="0"/>
        <v>2027</v>
      </c>
      <c r="C21" s="274">
        <f>IRP_LTReport!$R$52</f>
        <v>1809.627071361532</v>
      </c>
      <c r="D21" s="111">
        <f>C21*$C$62</f>
        <v>152.09915534793677</v>
      </c>
      <c r="E21" s="281">
        <f>IRP_LTReport!$L$52</f>
        <v>71.89999999999722</v>
      </c>
      <c r="F21" s="165">
        <f>$C$60</f>
        <v>0</v>
      </c>
      <c r="G21" s="112">
        <f t="shared" ref="G21:G37" si="2">(D21+E21+F21)/(8.76*$C$63)</f>
        <v>272.37137979776145</v>
      </c>
      <c r="H21" s="111"/>
      <c r="I21" s="112">
        <f t="shared" ref="I21:I37" si="3">(G21+H21)</f>
        <v>272.37137979776145</v>
      </c>
      <c r="J21" s="112">
        <f t="shared" ref="J21:J37" si="4">ROUND(I21*$C$63*8.76,2)</f>
        <v>224</v>
      </c>
      <c r="K21" s="111">
        <f t="shared" si="1"/>
        <v>223.99915534793399</v>
      </c>
      <c r="P21" s="112"/>
      <c r="S21" s="102">
        <f>S20*IRP_PTC_ESC!$AJ7</f>
        <v>1809.626982</v>
      </c>
      <c r="U21" s="129">
        <f>S21-C21</f>
        <v>-8.9361531991016818E-5</v>
      </c>
      <c r="V21" s="129"/>
      <c r="W21" s="277">
        <f>W20*(1+IRP23_Infl_Rate)</f>
        <v>45.095837536692414</v>
      </c>
      <c r="X21" s="129">
        <f>W21-E21</f>
        <v>-26.804162463304806</v>
      </c>
      <c r="Y21" s="273" t="s">
        <v>278</v>
      </c>
    </row>
    <row r="22" spans="2:28">
      <c r="B22" s="109">
        <f t="shared" si="0"/>
        <v>2028</v>
      </c>
      <c r="C22" s="113"/>
      <c r="D22" s="111">
        <f t="shared" ref="D22:E36" si="5">ROUND(D21*(1+IRP23_Infl_Rate),2)</f>
        <v>155.55000000000001</v>
      </c>
      <c r="E22" s="111">
        <f t="shared" si="5"/>
        <v>73.53</v>
      </c>
      <c r="F22" s="165">
        <f t="shared" ref="F22:F37" si="6">$C$60</f>
        <v>0</v>
      </c>
      <c r="G22" s="112">
        <f t="shared" si="2"/>
        <v>278.54942393490006</v>
      </c>
      <c r="H22" s="111"/>
      <c r="I22" s="112">
        <f t="shared" si="3"/>
        <v>278.54942393490006</v>
      </c>
      <c r="J22" s="112">
        <f t="shared" si="4"/>
        <v>229.08</v>
      </c>
      <c r="K22" s="111">
        <f t="shared" si="1"/>
        <v>229.08</v>
      </c>
      <c r="P22" s="112"/>
      <c r="S22" s="129"/>
      <c r="U22" s="129"/>
      <c r="V22" s="129"/>
      <c r="X22" s="129"/>
      <c r="Y22" s="129"/>
      <c r="Z22" s="129"/>
    </row>
    <row r="23" spans="2:28">
      <c r="B23" s="109">
        <f t="shared" si="0"/>
        <v>2029</v>
      </c>
      <c r="C23" s="113"/>
      <c r="D23" s="111">
        <f t="shared" si="5"/>
        <v>159.08000000000001</v>
      </c>
      <c r="E23" s="111">
        <f t="shared" si="5"/>
        <v>75.2</v>
      </c>
      <c r="F23" s="165">
        <f t="shared" si="6"/>
        <v>0</v>
      </c>
      <c r="G23" s="112">
        <f t="shared" si="2"/>
        <v>284.87235480822591</v>
      </c>
      <c r="H23" s="111"/>
      <c r="I23" s="112">
        <f t="shared" si="3"/>
        <v>284.87235480822591</v>
      </c>
      <c r="J23" s="112">
        <f t="shared" si="4"/>
        <v>234.28</v>
      </c>
      <c r="K23" s="111">
        <f t="shared" si="1"/>
        <v>234.28000000000003</v>
      </c>
      <c r="P23" s="112"/>
      <c r="S23" s="129"/>
      <c r="U23" s="129"/>
      <c r="V23" s="129"/>
      <c r="X23" s="129"/>
      <c r="Y23" s="129"/>
      <c r="Z23" s="129"/>
    </row>
    <row r="24" spans="2:28">
      <c r="B24" s="109">
        <f t="shared" si="0"/>
        <v>2030</v>
      </c>
      <c r="C24" s="113"/>
      <c r="D24" s="111">
        <f t="shared" si="5"/>
        <v>162.69</v>
      </c>
      <c r="E24" s="111">
        <f t="shared" si="5"/>
        <v>76.91</v>
      </c>
      <c r="F24" s="165">
        <f t="shared" si="6"/>
        <v>0</v>
      </c>
      <c r="G24" s="112">
        <f t="shared" si="2"/>
        <v>291.34119947093615</v>
      </c>
      <c r="H24" s="111"/>
      <c r="I24" s="112">
        <f t="shared" si="3"/>
        <v>291.34119947093615</v>
      </c>
      <c r="J24" s="112">
        <f t="shared" si="4"/>
        <v>239.6</v>
      </c>
      <c r="K24" s="111">
        <f t="shared" si="1"/>
        <v>239.6</v>
      </c>
      <c r="P24" s="112"/>
      <c r="S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si="5"/>
        <v>166.38</v>
      </c>
      <c r="E25" s="111">
        <f t="shared" si="5"/>
        <v>78.66</v>
      </c>
      <c r="F25" s="165">
        <f t="shared" si="6"/>
        <v>0</v>
      </c>
      <c r="G25" s="112">
        <f t="shared" si="2"/>
        <v>297.95595792303084</v>
      </c>
      <c r="H25" s="111"/>
      <c r="I25" s="112">
        <f t="shared" si="3"/>
        <v>297.95595792303084</v>
      </c>
      <c r="J25" s="112">
        <f t="shared" si="4"/>
        <v>245.04</v>
      </c>
      <c r="K25" s="111">
        <f t="shared" si="1"/>
        <v>245.04</v>
      </c>
      <c r="P25" s="112"/>
      <c r="S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si="5"/>
        <v>170.16</v>
      </c>
      <c r="E26" s="111">
        <f t="shared" si="5"/>
        <v>80.45</v>
      </c>
      <c r="F26" s="165">
        <f t="shared" si="6"/>
        <v>0</v>
      </c>
      <c r="G26" s="112">
        <f t="shared" si="2"/>
        <v>304.72878964695872</v>
      </c>
      <c r="H26" s="111"/>
      <c r="I26" s="112">
        <f t="shared" si="3"/>
        <v>304.72878964695872</v>
      </c>
      <c r="J26" s="112">
        <f t="shared" si="4"/>
        <v>250.61</v>
      </c>
      <c r="K26" s="111">
        <f t="shared" si="1"/>
        <v>250.61</v>
      </c>
      <c r="P26" s="112"/>
      <c r="S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si="5"/>
        <v>174.02</v>
      </c>
      <c r="E27" s="111">
        <f t="shared" si="5"/>
        <v>82.28</v>
      </c>
      <c r="F27" s="165">
        <f t="shared" si="6"/>
        <v>0</v>
      </c>
      <c r="G27" s="112">
        <f t="shared" si="2"/>
        <v>311.64753516027099</v>
      </c>
      <c r="H27" s="111"/>
      <c r="I27" s="112">
        <f t="shared" si="3"/>
        <v>311.64753516027099</v>
      </c>
      <c r="J27" s="112">
        <f t="shared" si="4"/>
        <v>256.3</v>
      </c>
      <c r="K27" s="111">
        <f t="shared" si="1"/>
        <v>256.3</v>
      </c>
      <c r="P27" s="112"/>
      <c r="S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si="5"/>
        <v>177.97</v>
      </c>
      <c r="E28" s="111">
        <f t="shared" si="5"/>
        <v>84.15</v>
      </c>
      <c r="F28" s="165">
        <f t="shared" si="6"/>
        <v>0</v>
      </c>
      <c r="G28" s="112">
        <f t="shared" si="2"/>
        <v>318.72435394541645</v>
      </c>
      <c r="H28" s="111"/>
      <c r="I28" s="112">
        <f t="shared" si="3"/>
        <v>318.72435394541645</v>
      </c>
      <c r="J28" s="112">
        <f t="shared" si="4"/>
        <v>262.12</v>
      </c>
      <c r="K28" s="111">
        <f t="shared" si="1"/>
        <v>262.12</v>
      </c>
      <c r="P28" s="112"/>
      <c r="S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si="5"/>
        <v>182.01</v>
      </c>
      <c r="E29" s="111">
        <f t="shared" si="5"/>
        <v>86.06</v>
      </c>
      <c r="F29" s="165">
        <f t="shared" si="6"/>
        <v>0</v>
      </c>
      <c r="G29" s="112">
        <f t="shared" si="2"/>
        <v>325.95924600239505</v>
      </c>
      <c r="H29" s="111"/>
      <c r="I29" s="112">
        <f t="shared" si="3"/>
        <v>325.95924600239505</v>
      </c>
      <c r="J29" s="112">
        <f t="shared" si="4"/>
        <v>268.07</v>
      </c>
      <c r="K29" s="111">
        <f t="shared" si="1"/>
        <v>268.07</v>
      </c>
      <c r="P29" s="112"/>
      <c r="S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si="5"/>
        <v>186.14</v>
      </c>
      <c r="E30" s="111">
        <f t="shared" si="5"/>
        <v>88.01</v>
      </c>
      <c r="F30" s="165">
        <f t="shared" si="6"/>
        <v>0</v>
      </c>
      <c r="G30" s="112">
        <f t="shared" si="2"/>
        <v>333.35221133120672</v>
      </c>
      <c r="H30" s="111"/>
      <c r="I30" s="112">
        <f t="shared" si="3"/>
        <v>333.35221133120672</v>
      </c>
      <c r="J30" s="112">
        <f t="shared" si="4"/>
        <v>274.14999999999998</v>
      </c>
      <c r="K30" s="111">
        <f t="shared" si="1"/>
        <v>274.14999999999998</v>
      </c>
      <c r="P30" s="112"/>
      <c r="S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si="5"/>
        <v>190.37</v>
      </c>
      <c r="E31" s="111">
        <f t="shared" si="5"/>
        <v>90.01</v>
      </c>
      <c r="F31" s="165">
        <f t="shared" si="6"/>
        <v>0</v>
      </c>
      <c r="G31" s="112">
        <f t="shared" si="2"/>
        <v>340.92756889674905</v>
      </c>
      <c r="H31" s="111"/>
      <c r="I31" s="112">
        <f t="shared" si="3"/>
        <v>340.92756889674905</v>
      </c>
      <c r="J31" s="112">
        <f t="shared" si="4"/>
        <v>280.38</v>
      </c>
      <c r="K31" s="111">
        <f t="shared" si="1"/>
        <v>280.38</v>
      </c>
      <c r="P31" s="112"/>
      <c r="S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si="5"/>
        <v>194.69</v>
      </c>
      <c r="E32" s="111">
        <f t="shared" si="5"/>
        <v>92.05</v>
      </c>
      <c r="F32" s="165">
        <f t="shared" si="6"/>
        <v>0</v>
      </c>
      <c r="G32" s="112">
        <f t="shared" si="2"/>
        <v>348.66099973412452</v>
      </c>
      <c r="H32" s="111"/>
      <c r="I32" s="112">
        <f t="shared" si="3"/>
        <v>348.66099973412452</v>
      </c>
      <c r="J32" s="112">
        <f t="shared" si="4"/>
        <v>286.74</v>
      </c>
      <c r="K32" s="111">
        <f t="shared" si="1"/>
        <v>286.74</v>
      </c>
      <c r="P32" s="112"/>
      <c r="S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si="5"/>
        <v>199.11</v>
      </c>
      <c r="E33" s="111">
        <f t="shared" si="5"/>
        <v>94.14</v>
      </c>
      <c r="F33" s="165">
        <f t="shared" si="6"/>
        <v>0</v>
      </c>
      <c r="G33" s="112">
        <f t="shared" si="2"/>
        <v>356.57682280823047</v>
      </c>
      <c r="H33" s="111"/>
      <c r="I33" s="112">
        <f t="shared" si="3"/>
        <v>356.57682280823047</v>
      </c>
      <c r="J33" s="112">
        <f t="shared" si="4"/>
        <v>293.25</v>
      </c>
      <c r="K33" s="111">
        <f t="shared" si="1"/>
        <v>293.25</v>
      </c>
      <c r="P33" s="112"/>
    </row>
    <row r="34" spans="2:16">
      <c r="B34" s="109">
        <f t="shared" si="0"/>
        <v>2040</v>
      </c>
      <c r="C34" s="113"/>
      <c r="D34" s="111">
        <f t="shared" si="5"/>
        <v>203.63</v>
      </c>
      <c r="E34" s="111">
        <f t="shared" si="5"/>
        <v>96.28</v>
      </c>
      <c r="F34" s="165">
        <f t="shared" si="6"/>
        <v>0</v>
      </c>
      <c r="G34" s="112">
        <f t="shared" si="2"/>
        <v>364.67503811906698</v>
      </c>
      <c r="H34" s="111"/>
      <c r="I34" s="112">
        <f t="shared" si="3"/>
        <v>364.67503811906698</v>
      </c>
      <c r="J34" s="112">
        <f t="shared" si="4"/>
        <v>299.91000000000003</v>
      </c>
      <c r="K34" s="111">
        <f t="shared" si="1"/>
        <v>299.90999999999997</v>
      </c>
      <c r="P34" s="112"/>
    </row>
    <row r="35" spans="2:16">
      <c r="B35" s="109">
        <f t="shared" si="0"/>
        <v>2041</v>
      </c>
      <c r="C35" s="113"/>
      <c r="D35" s="111">
        <f t="shared" si="5"/>
        <v>208.25</v>
      </c>
      <c r="E35" s="111">
        <f t="shared" si="5"/>
        <v>98.47</v>
      </c>
      <c r="F35" s="165">
        <f t="shared" si="6"/>
        <v>0</v>
      </c>
      <c r="G35" s="112">
        <f t="shared" si="2"/>
        <v>372.95564566663415</v>
      </c>
      <c r="H35" s="111"/>
      <c r="I35" s="112">
        <f t="shared" si="3"/>
        <v>372.95564566663415</v>
      </c>
      <c r="J35" s="112">
        <f t="shared" si="4"/>
        <v>306.72000000000003</v>
      </c>
      <c r="K35" s="111">
        <f t="shared" si="1"/>
        <v>306.72000000000003</v>
      </c>
      <c r="P35" s="112"/>
    </row>
    <row r="36" spans="2:16">
      <c r="B36" s="109">
        <f t="shared" si="0"/>
        <v>2042</v>
      </c>
      <c r="C36" s="113"/>
      <c r="D36" s="111">
        <f t="shared" si="5"/>
        <v>212.98</v>
      </c>
      <c r="E36" s="111">
        <f t="shared" si="5"/>
        <v>100.71</v>
      </c>
      <c r="F36" s="165">
        <f t="shared" si="6"/>
        <v>0</v>
      </c>
      <c r="G36" s="112">
        <f t="shared" si="2"/>
        <v>381.43080493338044</v>
      </c>
      <c r="H36" s="111"/>
      <c r="I36" s="112">
        <f t="shared" si="3"/>
        <v>381.43080493338044</v>
      </c>
      <c r="J36" s="112">
        <f t="shared" si="4"/>
        <v>313.69</v>
      </c>
      <c r="K36" s="111">
        <f t="shared" si="1"/>
        <v>313.69</v>
      </c>
      <c r="P36" s="112"/>
    </row>
    <row r="37" spans="2:16">
      <c r="B37" s="109">
        <f t="shared" si="0"/>
        <v>2043</v>
      </c>
      <c r="C37" s="113"/>
      <c r="D37" s="111">
        <f t="shared" ref="D37:E37" si="7">ROUND(D36*(1+IRP23_Infl_Rate),2)</f>
        <v>217.81</v>
      </c>
      <c r="E37" s="111">
        <f t="shared" si="7"/>
        <v>103</v>
      </c>
      <c r="F37" s="165">
        <f t="shared" si="6"/>
        <v>0</v>
      </c>
      <c r="G37" s="112">
        <f t="shared" si="2"/>
        <v>390.08835643685734</v>
      </c>
      <c r="H37" s="111"/>
      <c r="I37" s="112">
        <f t="shared" si="3"/>
        <v>390.08835643685734</v>
      </c>
      <c r="J37" s="112">
        <f t="shared" si="4"/>
        <v>320.81</v>
      </c>
      <c r="K37" s="111">
        <f t="shared" si="1"/>
        <v>320.81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-PMT(Discount_Rate,COUNT(I20:I37),NPV(Discount_Rate,I20:I37))</f>
        <v>316.69440462114824</v>
      </c>
      <c r="J39" s="287">
        <f>-PMT(Discount_Rate,COUNT(J20:J37),NPV(Discount_Rate,J20:J37))</f>
        <v>260.45064246711354</v>
      </c>
      <c r="K39" s="287">
        <f>-PMT(Discount_Rate,15,NPV(Discount_Rate,K20:K36))</f>
        <v>251.18155934239181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9.4%)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9">
      <c r="C49" s="119" t="str">
        <f>J7</f>
        <v>(h)</v>
      </c>
      <c r="D49" t="str">
        <f>D44</f>
        <v>Plant Costs  - 2023 IRP - Table 7.1 &amp; 7.2</v>
      </c>
    </row>
    <row r="50" spans="2:19">
      <c r="C50" s="119"/>
      <c r="D50" s="112"/>
    </row>
    <row r="51" spans="2:19" ht="13.5" thickBot="1"/>
    <row r="52" spans="2:19" ht="13.5" thickBot="1">
      <c r="C52" s="38" t="str">
        <f>B2&amp;" - "&amp;B3</f>
        <v>PVS.PX.WWA._.215.BAT - 9%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9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9">
      <c r="P54" s="102" t="s">
        <v>98</v>
      </c>
      <c r="Q54" s="102">
        <v>2027</v>
      </c>
      <c r="S54" s="273" t="s">
        <v>311</v>
      </c>
    </row>
    <row r="55" spans="2:19">
      <c r="B55" t="s">
        <v>152</v>
      </c>
      <c r="C55" s="267"/>
      <c r="D55" s="102" t="s">
        <v>65</v>
      </c>
      <c r="O55" s="226">
        <v>483</v>
      </c>
      <c r="P55" s="102" t="s">
        <v>32</v>
      </c>
      <c r="S55" s="273"/>
    </row>
    <row r="56" spans="2:19">
      <c r="B56" t="s">
        <v>152</v>
      </c>
      <c r="C56" s="126"/>
      <c r="D56" s="102" t="s">
        <v>68</v>
      </c>
    </row>
    <row r="57" spans="2:19" ht="24" customHeight="1">
      <c r="B57"/>
      <c r="C57" s="129"/>
      <c r="D57" s="102" t="s">
        <v>99</v>
      </c>
      <c r="Q57" s="175"/>
      <c r="R57" s="175"/>
    </row>
    <row r="58" spans="2:19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9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9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K60" s="270"/>
      <c r="L60" s="270"/>
      <c r="M60" s="270"/>
      <c r="O60" s="127"/>
    </row>
    <row r="61" spans="2:19">
      <c r="B61"/>
      <c r="C61" s="166"/>
      <c r="K61" s="270"/>
      <c r="L61" s="270"/>
      <c r="M61" s="270"/>
      <c r="O61" s="270"/>
    </row>
    <row r="62" spans="2:19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9">
      <c r="C63" s="272">
        <f>IRP_LTReport!F47*1000/(O55*8760)</f>
        <v>9.3881669407503573E-2</v>
      </c>
      <c r="D63" s="102" t="s">
        <v>37</v>
      </c>
    </row>
    <row r="64" spans="2:19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3F683-1EFE-434C-9795-8E0E156C0EC4}">
  <sheetPr>
    <tabColor rgb="FFFFC000"/>
    <pageSetUpPr fitToPage="1"/>
  </sheetPr>
  <dimension ref="B1:AB91"/>
  <sheetViews>
    <sheetView topLeftCell="A21" zoomScale="70" zoomScaleNormal="70" workbookViewId="0">
      <selection activeCell="J36" sqref="J36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1.83203125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23.5" style="102" customWidth="1"/>
    <col min="19" max="19" width="18.1640625" style="102" customWidth="1"/>
    <col min="20" max="20" width="13.33203125" style="102" customWidth="1"/>
    <col min="21" max="21" width="18.1640625" style="102" customWidth="1"/>
    <col min="22" max="22" width="12.83203125" style="102" customWidth="1"/>
    <col min="23" max="23" width="15.33203125" style="102" customWidth="1"/>
    <col min="24" max="25" width="9.33203125" style="102"/>
    <col min="26" max="26" width="13.33203125" style="102" customWidth="1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S54</f>
        <v>PVS.PX.GOE.1.A43.BAT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8%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S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Q6" s="102" t="s">
        <v>277</v>
      </c>
      <c r="S6" s="102" t="s">
        <v>265</v>
      </c>
      <c r="V6" s="129"/>
      <c r="W6" s="129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  <c r="Q7" s="115" t="s">
        <v>232</v>
      </c>
      <c r="R7" s="129" t="s">
        <v>275</v>
      </c>
      <c r="S7" s="102" t="s">
        <v>238</v>
      </c>
      <c r="T7" s="129" t="s">
        <v>276</v>
      </c>
      <c r="W7" s="102" t="s">
        <v>247</v>
      </c>
    </row>
    <row r="8" spans="2:26" ht="21.75" customHeight="1">
      <c r="Q8" s="115"/>
      <c r="S8" s="102" t="s">
        <v>273</v>
      </c>
      <c r="W8" s="115" t="s">
        <v>232</v>
      </c>
    </row>
    <row r="9" spans="2:26" ht="15.75">
      <c r="B9" s="39" t="str">
        <f>C52</f>
        <v>PVS.PX.GOE.1.A43.BAT - 8%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>
        <f>(D12+E12+F12)</f>
        <v>0</v>
      </c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>
        <f t="shared" ref="K13:K37" si="1">(D13+E13+F13)</f>
        <v>0</v>
      </c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>
        <f t="shared" si="1"/>
        <v>0</v>
      </c>
      <c r="O14" s="114"/>
      <c r="P14" s="265"/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>
        <f t="shared" si="1"/>
        <v>0</v>
      </c>
      <c r="O15" s="266"/>
      <c r="P15" s="265"/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>
        <f t="shared" si="1"/>
        <v>0</v>
      </c>
      <c r="Q16" s="274">
        <v>1728.6589634669394</v>
      </c>
      <c r="R16" s="129">
        <f>S16-Q16</f>
        <v>-6.1889634669394127</v>
      </c>
      <c r="S16" s="102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>
        <f t="shared" si="1"/>
        <v>0</v>
      </c>
      <c r="O17" s="114"/>
      <c r="Q17" s="277"/>
      <c r="R17" s="277"/>
      <c r="S17" s="102">
        <f>S16*IRP_PTC_ESC!$AJ3</f>
        <v>1809.626982</v>
      </c>
      <c r="T17" s="129"/>
      <c r="W17" s="277">
        <f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>
        <f t="shared" si="1"/>
        <v>0</v>
      </c>
      <c r="P18" s="263"/>
      <c r="Q18" s="277"/>
      <c r="R18" s="277"/>
      <c r="S18" s="102">
        <f>S17*IRP_PTC_ESC!$AJ4</f>
        <v>1809.626982</v>
      </c>
      <c r="T18" s="129"/>
      <c r="W18" s="277">
        <f>W17*(1+IRP23_Infl_Rate)</f>
        <v>42.159134777192428</v>
      </c>
      <c r="AB18" s="227"/>
    </row>
    <row r="19" spans="2:28">
      <c r="B19" s="109">
        <f t="shared" si="0"/>
        <v>2025</v>
      </c>
      <c r="C19" s="113"/>
      <c r="D19" s="111"/>
      <c r="E19" s="111"/>
      <c r="F19" s="111"/>
      <c r="G19" s="112"/>
      <c r="H19" s="111"/>
      <c r="I19" s="112"/>
      <c r="J19" s="112"/>
      <c r="K19" s="111">
        <f t="shared" si="1"/>
        <v>0</v>
      </c>
      <c r="P19" s="263"/>
      <c r="Q19" s="277"/>
      <c r="R19" s="277"/>
      <c r="S19" s="102">
        <f>S18*IRP_PTC_ESC!$AJ5</f>
        <v>1809.626982</v>
      </c>
      <c r="U19" s="129"/>
      <c r="W19" s="277">
        <f>W18*(1+IRP23_Infl_Rate)</f>
        <v>43.116147136824793</v>
      </c>
      <c r="X19" s="129"/>
      <c r="Y19" s="273"/>
    </row>
    <row r="20" spans="2:28">
      <c r="B20" s="109">
        <f t="shared" si="0"/>
        <v>2026</v>
      </c>
      <c r="C20" s="113"/>
      <c r="D20" s="111"/>
      <c r="E20" s="111"/>
      <c r="F20" s="165"/>
      <c r="G20" s="112"/>
      <c r="H20" s="111"/>
      <c r="I20" s="112"/>
      <c r="J20" s="112"/>
      <c r="K20" s="111">
        <f t="shared" si="1"/>
        <v>0</v>
      </c>
      <c r="P20" s="112"/>
      <c r="R20" s="129"/>
      <c r="S20" s="102">
        <f>S19*IRP_PTC_ESC!$AJ6</f>
        <v>1809.626982</v>
      </c>
      <c r="U20" s="129"/>
      <c r="V20" s="129"/>
      <c r="W20" s="277">
        <f>W19*(1+IRP23_Infl_Rate)</f>
        <v>44.094883677025123</v>
      </c>
      <c r="X20" s="129"/>
      <c r="Y20" s="273"/>
    </row>
    <row r="21" spans="2:28">
      <c r="B21" s="109">
        <f t="shared" si="0"/>
        <v>2027</v>
      </c>
      <c r="C21" s="113"/>
      <c r="D21" s="111"/>
      <c r="E21" s="111"/>
      <c r="F21" s="165"/>
      <c r="G21" s="112"/>
      <c r="H21" s="111"/>
      <c r="I21" s="112"/>
      <c r="J21" s="112"/>
      <c r="K21" s="111">
        <f t="shared" si="1"/>
        <v>0</v>
      </c>
      <c r="P21" s="112"/>
      <c r="S21" s="102">
        <f>S20*IRP_PTC_ESC!$AJ7</f>
        <v>1809.626982</v>
      </c>
      <c r="U21" s="129">
        <f>S21-C21</f>
        <v>1809.626982</v>
      </c>
      <c r="V21" s="129"/>
      <c r="W21" s="277">
        <f>W20*(1+IRP23_Infl_Rate)</f>
        <v>45.095837536692414</v>
      </c>
      <c r="X21" s="129">
        <f>W21-E21</f>
        <v>45.095837536692414</v>
      </c>
      <c r="Y21" s="273" t="s">
        <v>278</v>
      </c>
    </row>
    <row r="22" spans="2:28">
      <c r="B22" s="109">
        <f t="shared" si="0"/>
        <v>2028</v>
      </c>
      <c r="C22" s="113"/>
      <c r="D22" s="111"/>
      <c r="E22" s="111"/>
      <c r="F22" s="165"/>
      <c r="G22" s="112"/>
      <c r="H22" s="111"/>
      <c r="I22" s="112"/>
      <c r="J22" s="112"/>
      <c r="K22" s="111">
        <f t="shared" si="1"/>
        <v>0</v>
      </c>
      <c r="P22" s="112"/>
      <c r="S22" s="129"/>
      <c r="U22" s="129"/>
      <c r="V22" s="129"/>
      <c r="X22" s="129"/>
      <c r="Y22" s="129"/>
      <c r="Z22" s="129"/>
    </row>
    <row r="23" spans="2:28">
      <c r="B23" s="109">
        <f t="shared" si="0"/>
        <v>2029</v>
      </c>
      <c r="C23" s="274">
        <f>IRP_LTReport!$R$56</f>
        <v>1748.0996375906557</v>
      </c>
      <c r="D23" s="111">
        <f>C23*$C$62</f>
        <v>146.92777453949461</v>
      </c>
      <c r="E23" s="281">
        <f>IRP_LTReport!$L$56</f>
        <v>50.689999999997482</v>
      </c>
      <c r="F23" s="165">
        <f>$C$60</f>
        <v>0</v>
      </c>
      <c r="G23" s="112">
        <f t="shared" ref="G23:G37" si="2">(D23+E23+F23)/(8.76*$C$63)</f>
        <v>273.12805253096809</v>
      </c>
      <c r="H23" s="111"/>
      <c r="I23" s="112">
        <f t="shared" ref="I23:I37" si="3">(G23+H23)</f>
        <v>273.12805253096809</v>
      </c>
      <c r="J23" s="112">
        <f t="shared" ref="J23:J37" si="4">ROUND(I23*$C$63*8.76,2)</f>
        <v>197.62</v>
      </c>
      <c r="K23" s="111">
        <f t="shared" si="1"/>
        <v>197.61777453949207</v>
      </c>
      <c r="P23" s="112"/>
      <c r="S23" s="129"/>
      <c r="U23" s="129"/>
      <c r="V23" s="129"/>
      <c r="X23" s="129"/>
      <c r="Y23" s="129"/>
      <c r="Z23" s="129"/>
    </row>
    <row r="24" spans="2:28">
      <c r="B24" s="109">
        <f t="shared" si="0"/>
        <v>2030</v>
      </c>
      <c r="C24" s="113"/>
      <c r="D24" s="111">
        <f t="shared" ref="D24:E37" si="5">ROUND(D23*(1+IRP23_Infl_Rate),2)</f>
        <v>150.26</v>
      </c>
      <c r="E24" s="111">
        <f t="shared" si="5"/>
        <v>51.84</v>
      </c>
      <c r="F24" s="165">
        <f t="shared" ref="F24:F37" si="6">$C$60</f>
        <v>0</v>
      </c>
      <c r="G24" s="112">
        <f t="shared" si="2"/>
        <v>279.32294827800325</v>
      </c>
      <c r="H24" s="111"/>
      <c r="I24" s="112">
        <f t="shared" si="3"/>
        <v>279.32294827800325</v>
      </c>
      <c r="J24" s="112">
        <f t="shared" si="4"/>
        <v>202.1</v>
      </c>
      <c r="K24" s="111">
        <f t="shared" si="1"/>
        <v>202.1</v>
      </c>
      <c r="P24" s="112"/>
      <c r="S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si="5"/>
        <v>153.66999999999999</v>
      </c>
      <c r="E25" s="111">
        <f t="shared" si="5"/>
        <v>53.02</v>
      </c>
      <c r="F25" s="165">
        <f t="shared" si="6"/>
        <v>0</v>
      </c>
      <c r="G25" s="112">
        <f t="shared" si="2"/>
        <v>285.66679950311971</v>
      </c>
      <c r="H25" s="111"/>
      <c r="I25" s="112">
        <f t="shared" si="3"/>
        <v>285.66679950311971</v>
      </c>
      <c r="J25" s="112">
        <f t="shared" si="4"/>
        <v>206.69</v>
      </c>
      <c r="K25" s="111">
        <f t="shared" si="1"/>
        <v>206.69</v>
      </c>
      <c r="P25" s="112"/>
      <c r="S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si="5"/>
        <v>157.16</v>
      </c>
      <c r="E26" s="111">
        <f t="shared" si="5"/>
        <v>54.22</v>
      </c>
      <c r="F26" s="165">
        <f t="shared" si="6"/>
        <v>0</v>
      </c>
      <c r="G26" s="112">
        <f t="shared" si="2"/>
        <v>292.14886099457857</v>
      </c>
      <c r="H26" s="111"/>
      <c r="I26" s="112">
        <f t="shared" si="3"/>
        <v>292.14886099457857</v>
      </c>
      <c r="J26" s="112">
        <f t="shared" si="4"/>
        <v>211.38</v>
      </c>
      <c r="K26" s="111">
        <f t="shared" si="1"/>
        <v>211.38</v>
      </c>
      <c r="P26" s="112"/>
      <c r="S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si="5"/>
        <v>160.72999999999999</v>
      </c>
      <c r="E27" s="111">
        <f t="shared" si="5"/>
        <v>55.45</v>
      </c>
      <c r="F27" s="165">
        <f t="shared" si="6"/>
        <v>0</v>
      </c>
      <c r="G27" s="112">
        <f t="shared" si="2"/>
        <v>298.78295377901406</v>
      </c>
      <c r="H27" s="111"/>
      <c r="I27" s="112">
        <f t="shared" si="3"/>
        <v>298.78295377901406</v>
      </c>
      <c r="J27" s="112">
        <f t="shared" si="4"/>
        <v>216.18</v>
      </c>
      <c r="K27" s="111">
        <f t="shared" si="1"/>
        <v>216.18</v>
      </c>
      <c r="P27" s="112"/>
      <c r="S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si="5"/>
        <v>164.38</v>
      </c>
      <c r="E28" s="111">
        <f t="shared" si="5"/>
        <v>56.71</v>
      </c>
      <c r="F28" s="165">
        <f t="shared" si="6"/>
        <v>0</v>
      </c>
      <c r="G28" s="112">
        <f t="shared" si="2"/>
        <v>305.56907785642625</v>
      </c>
      <c r="H28" s="111"/>
      <c r="I28" s="112">
        <f t="shared" si="3"/>
        <v>305.56907785642625</v>
      </c>
      <c r="J28" s="112">
        <f t="shared" si="4"/>
        <v>221.09</v>
      </c>
      <c r="K28" s="111">
        <f t="shared" si="1"/>
        <v>221.09</v>
      </c>
      <c r="P28" s="112"/>
      <c r="S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si="5"/>
        <v>168.11</v>
      </c>
      <c r="E29" s="111">
        <f t="shared" si="5"/>
        <v>58</v>
      </c>
      <c r="F29" s="165">
        <f t="shared" si="6"/>
        <v>0</v>
      </c>
      <c r="G29" s="112">
        <f t="shared" si="2"/>
        <v>312.50723322681506</v>
      </c>
      <c r="H29" s="111"/>
      <c r="I29" s="112">
        <f t="shared" si="3"/>
        <v>312.50723322681506</v>
      </c>
      <c r="J29" s="112">
        <f t="shared" si="4"/>
        <v>226.11</v>
      </c>
      <c r="K29" s="111">
        <f t="shared" si="1"/>
        <v>226.11</v>
      </c>
      <c r="P29" s="112"/>
      <c r="S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si="5"/>
        <v>171.93</v>
      </c>
      <c r="E30" s="111">
        <f t="shared" si="5"/>
        <v>59.32</v>
      </c>
      <c r="F30" s="165">
        <f t="shared" si="6"/>
        <v>0</v>
      </c>
      <c r="G30" s="112">
        <f t="shared" si="2"/>
        <v>319.61124091681472</v>
      </c>
      <c r="H30" s="111"/>
      <c r="I30" s="112">
        <f t="shared" si="3"/>
        <v>319.61124091681472</v>
      </c>
      <c r="J30" s="112">
        <f t="shared" si="4"/>
        <v>231.25</v>
      </c>
      <c r="K30" s="111">
        <f t="shared" si="1"/>
        <v>231.25</v>
      </c>
      <c r="P30" s="112"/>
      <c r="S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si="5"/>
        <v>175.83</v>
      </c>
      <c r="E31" s="111">
        <f t="shared" si="5"/>
        <v>60.67</v>
      </c>
      <c r="F31" s="165">
        <f t="shared" si="6"/>
        <v>0</v>
      </c>
      <c r="G31" s="112">
        <f t="shared" si="2"/>
        <v>326.86727989979101</v>
      </c>
      <c r="H31" s="111"/>
      <c r="I31" s="112">
        <f t="shared" si="3"/>
        <v>326.86727989979101</v>
      </c>
      <c r="J31" s="112">
        <f t="shared" si="4"/>
        <v>236.5</v>
      </c>
      <c r="K31" s="111">
        <f t="shared" si="1"/>
        <v>236.5</v>
      </c>
      <c r="P31" s="112"/>
      <c r="S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si="5"/>
        <v>179.82</v>
      </c>
      <c r="E32" s="111">
        <f t="shared" si="5"/>
        <v>62.05</v>
      </c>
      <c r="F32" s="165">
        <f t="shared" si="6"/>
        <v>0</v>
      </c>
      <c r="G32" s="112">
        <f t="shared" si="2"/>
        <v>334.28917120237827</v>
      </c>
      <c r="H32" s="111"/>
      <c r="I32" s="112">
        <f t="shared" si="3"/>
        <v>334.28917120237827</v>
      </c>
      <c r="J32" s="112">
        <f t="shared" si="4"/>
        <v>241.87</v>
      </c>
      <c r="K32" s="111">
        <f t="shared" si="1"/>
        <v>241.87</v>
      </c>
      <c r="P32" s="112"/>
      <c r="S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si="5"/>
        <v>183.9</v>
      </c>
      <c r="E33" s="111">
        <f t="shared" si="5"/>
        <v>63.46</v>
      </c>
      <c r="F33" s="165">
        <f t="shared" si="6"/>
        <v>0</v>
      </c>
      <c r="G33" s="112">
        <f t="shared" si="2"/>
        <v>341.87691482457637</v>
      </c>
      <c r="H33" s="111"/>
      <c r="I33" s="112">
        <f t="shared" si="3"/>
        <v>341.87691482457637</v>
      </c>
      <c r="J33" s="112">
        <f t="shared" si="4"/>
        <v>247.36</v>
      </c>
      <c r="K33" s="111">
        <f t="shared" si="1"/>
        <v>247.36</v>
      </c>
      <c r="P33" s="112"/>
    </row>
    <row r="34" spans="2:16">
      <c r="B34" s="109">
        <f t="shared" si="0"/>
        <v>2040</v>
      </c>
      <c r="C34" s="113"/>
      <c r="D34" s="111">
        <f t="shared" si="5"/>
        <v>188.07</v>
      </c>
      <c r="E34" s="111">
        <f t="shared" si="5"/>
        <v>64.900000000000006</v>
      </c>
      <c r="F34" s="165">
        <f t="shared" si="6"/>
        <v>0</v>
      </c>
      <c r="G34" s="112">
        <f t="shared" si="2"/>
        <v>349.63051076638538</v>
      </c>
      <c r="H34" s="111"/>
      <c r="I34" s="112">
        <f t="shared" si="3"/>
        <v>349.63051076638538</v>
      </c>
      <c r="J34" s="112">
        <f t="shared" si="4"/>
        <v>252.97</v>
      </c>
      <c r="K34" s="111">
        <f t="shared" si="1"/>
        <v>252.97</v>
      </c>
      <c r="P34" s="112"/>
    </row>
    <row r="35" spans="2:16">
      <c r="B35" s="109">
        <f t="shared" si="0"/>
        <v>2041</v>
      </c>
      <c r="C35" s="113"/>
      <c r="D35" s="111">
        <f t="shared" si="5"/>
        <v>192.34</v>
      </c>
      <c r="E35" s="111">
        <f t="shared" si="5"/>
        <v>66.37</v>
      </c>
      <c r="F35" s="165">
        <f t="shared" si="6"/>
        <v>0</v>
      </c>
      <c r="G35" s="112">
        <f t="shared" si="2"/>
        <v>357.56378005443952</v>
      </c>
      <c r="H35" s="111"/>
      <c r="I35" s="112">
        <f t="shared" si="3"/>
        <v>357.56378005443952</v>
      </c>
      <c r="J35" s="112">
        <f t="shared" si="4"/>
        <v>258.70999999999998</v>
      </c>
      <c r="K35" s="111">
        <f t="shared" si="1"/>
        <v>258.71000000000004</v>
      </c>
      <c r="P35" s="112"/>
    </row>
    <row r="36" spans="2:16">
      <c r="B36" s="109">
        <f t="shared" si="0"/>
        <v>2042</v>
      </c>
      <c r="C36" s="113"/>
      <c r="D36" s="111">
        <f t="shared" si="5"/>
        <v>196.71</v>
      </c>
      <c r="E36" s="111">
        <f t="shared" si="5"/>
        <v>67.88</v>
      </c>
      <c r="F36" s="165">
        <f t="shared" si="6"/>
        <v>0</v>
      </c>
      <c r="G36" s="112">
        <f t="shared" si="2"/>
        <v>365.690543715373</v>
      </c>
      <c r="H36" s="111"/>
      <c r="I36" s="112">
        <f t="shared" si="3"/>
        <v>365.690543715373</v>
      </c>
      <c r="J36" s="112">
        <f t="shared" si="4"/>
        <v>264.58999999999997</v>
      </c>
      <c r="K36" s="111">
        <f t="shared" si="1"/>
        <v>264.59000000000003</v>
      </c>
      <c r="P36" s="112"/>
    </row>
    <row r="37" spans="2:16">
      <c r="B37" s="109">
        <f t="shared" si="0"/>
        <v>2043</v>
      </c>
      <c r="C37" s="113"/>
      <c r="D37" s="111">
        <f t="shared" si="5"/>
        <v>201.18</v>
      </c>
      <c r="E37" s="111">
        <f t="shared" si="5"/>
        <v>69.42</v>
      </c>
      <c r="F37" s="165">
        <f t="shared" si="6"/>
        <v>0</v>
      </c>
      <c r="G37" s="112">
        <f t="shared" si="2"/>
        <v>373.99698072255165</v>
      </c>
      <c r="H37" s="111"/>
      <c r="I37" s="112">
        <f t="shared" si="3"/>
        <v>373.99698072255165</v>
      </c>
      <c r="J37" s="112">
        <f t="shared" si="4"/>
        <v>270.60000000000002</v>
      </c>
      <c r="K37" s="111">
        <f t="shared" si="1"/>
        <v>270.60000000000002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-PMT(Discount_Rate,COUNT(I23:I37),NPV(Discount_Rate,I23:I37))</f>
        <v>312.4968076197905</v>
      </c>
      <c r="J39" s="287">
        <f>-PMT(Discount_Rate,COUNT(J23:J37),NPV(Discount_Rate,J23:J37))</f>
        <v>226.10268224289496</v>
      </c>
      <c r="K39" s="287">
        <f>-PMT(Discount_Rate,COUNT(K23:K37),NPV(Discount_Rate,K23:K37))</f>
        <v>226.10245670578576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8.3%)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9">
      <c r="C49" s="119" t="str">
        <f>J7</f>
        <v>(h)</v>
      </c>
      <c r="D49" t="str">
        <f>D44</f>
        <v>Plant Costs  - 2023 IRP - Table 7.1 &amp; 7.2</v>
      </c>
    </row>
    <row r="50" spans="2:19">
      <c r="C50" s="119"/>
      <c r="D50" s="112"/>
    </row>
    <row r="51" spans="2:19" ht="13.5" thickBot="1"/>
    <row r="52" spans="2:19" ht="13.5" thickBot="1">
      <c r="C52" s="38" t="str">
        <f>B2&amp;" - "&amp;B3</f>
        <v>PVS.PX.GOE.1.A43.BAT - 8%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9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9">
      <c r="P54" s="102" t="s">
        <v>98</v>
      </c>
      <c r="Q54" s="102">
        <v>2029</v>
      </c>
      <c r="S54" s="273" t="s">
        <v>392</v>
      </c>
    </row>
    <row r="55" spans="2:19">
      <c r="B55" t="s">
        <v>152</v>
      </c>
      <c r="C55" s="267"/>
      <c r="D55" s="102" t="s">
        <v>65</v>
      </c>
      <c r="O55" s="226">
        <v>549</v>
      </c>
      <c r="P55" s="102" t="s">
        <v>32</v>
      </c>
      <c r="S55" s="273"/>
    </row>
    <row r="56" spans="2:19">
      <c r="B56" t="s">
        <v>152</v>
      </c>
      <c r="C56" s="126"/>
      <c r="D56" s="102" t="s">
        <v>68</v>
      </c>
    </row>
    <row r="57" spans="2:19" ht="24" customHeight="1">
      <c r="B57"/>
      <c r="C57" s="129"/>
      <c r="D57" s="102" t="s">
        <v>99</v>
      </c>
      <c r="Q57" s="175"/>
      <c r="R57" s="175"/>
    </row>
    <row r="58" spans="2:19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9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9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K60" s="270"/>
      <c r="L60" s="270"/>
      <c r="M60" s="270"/>
      <c r="O60" s="127"/>
    </row>
    <row r="61" spans="2:19">
      <c r="B61"/>
      <c r="C61" s="166"/>
      <c r="K61" s="270"/>
      <c r="L61" s="270"/>
      <c r="M61" s="270"/>
      <c r="O61" s="270"/>
    </row>
    <row r="62" spans="2:19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9">
      <c r="C63" s="272">
        <f>IRP_LTReport!F47*1000/(O55*8760)</f>
        <v>8.2595348495126106E-2</v>
      </c>
      <c r="D63" s="102" t="s">
        <v>37</v>
      </c>
    </row>
    <row r="64" spans="2:19">
      <c r="C64" s="286"/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B46B-7FCE-47F1-920B-70E11DB1DF7A}">
  <sheetPr>
    <tabColor rgb="FFFFC000"/>
    <pageSetUpPr fitToPage="1"/>
  </sheetPr>
  <dimension ref="B1:AB91"/>
  <sheetViews>
    <sheetView topLeftCell="A6" zoomScale="70" zoomScaleNormal="70" workbookViewId="0">
      <selection activeCell="O20" sqref="O20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1.6640625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23.5" style="102" customWidth="1"/>
    <col min="19" max="19" width="18.1640625" style="102" customWidth="1"/>
    <col min="20" max="20" width="13.33203125" style="102" customWidth="1"/>
    <col min="21" max="21" width="18.1640625" style="102" customWidth="1"/>
    <col min="22" max="22" width="12.83203125" style="102" customWidth="1"/>
    <col min="23" max="23" width="15.33203125" style="102" customWidth="1"/>
    <col min="24" max="25" width="9.33203125" style="102"/>
    <col min="26" max="26" width="13.33203125" style="102" customWidth="1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S54</f>
        <v>BAT.PX.BPA._.221.Lithium-Ion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3%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S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Q6" s="102" t="s">
        <v>277</v>
      </c>
      <c r="S6" s="102" t="s">
        <v>265</v>
      </c>
      <c r="V6" s="129"/>
      <c r="W6" s="129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  <c r="Q7" s="115" t="s">
        <v>232</v>
      </c>
      <c r="R7" s="129" t="s">
        <v>275</v>
      </c>
      <c r="S7" s="102" t="s">
        <v>238</v>
      </c>
      <c r="T7" s="129" t="s">
        <v>276</v>
      </c>
      <c r="W7" s="102" t="s">
        <v>247</v>
      </c>
    </row>
    <row r="8" spans="2:26" ht="21.75" customHeight="1">
      <c r="Q8" s="115"/>
      <c r="S8" s="102" t="s">
        <v>273</v>
      </c>
      <c r="W8" s="115" t="s">
        <v>232</v>
      </c>
    </row>
    <row r="9" spans="2:26" ht="15.75">
      <c r="B9" s="39" t="str">
        <f>C52</f>
        <v>BAT.PX.BPA._.221.Lithium-Ion - 3%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/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/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/>
      <c r="O14" s="114"/>
      <c r="P14" s="265"/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/>
      <c r="O15" s="266"/>
      <c r="P15" s="265"/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/>
      <c r="Q16" s="274">
        <v>1728.6589634669394</v>
      </c>
      <c r="R16" s="284">
        <f>S16-Q16</f>
        <v>-6.1889634669394127</v>
      </c>
      <c r="S16" s="113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/>
      <c r="O17" s="114"/>
      <c r="Q17" s="277"/>
      <c r="R17" s="277"/>
      <c r="S17" s="102">
        <f>S16*IRP_PTC_ESC!AJ3</f>
        <v>1809.626982</v>
      </c>
      <c r="W17" s="277">
        <f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/>
      <c r="P18" s="263"/>
      <c r="Q18" s="277"/>
      <c r="R18" s="277"/>
      <c r="S18" s="102">
        <f>S17*IRP_PTC_ESC!AJ4</f>
        <v>1809.626982</v>
      </c>
      <c r="W18" s="277">
        <f>W17*(1+IRP23_Infl_Rate)</f>
        <v>42.159134777192428</v>
      </c>
      <c r="AB18" s="227"/>
    </row>
    <row r="19" spans="2:28">
      <c r="B19" s="109">
        <f t="shared" si="0"/>
        <v>2025</v>
      </c>
      <c r="C19" s="113"/>
      <c r="D19" s="111"/>
      <c r="E19" s="111"/>
      <c r="F19" s="111"/>
      <c r="G19" s="112"/>
      <c r="H19" s="111"/>
      <c r="I19" s="112"/>
      <c r="J19" s="112"/>
      <c r="K19" s="111"/>
      <c r="P19" s="263"/>
      <c r="Q19" s="277"/>
      <c r="R19" s="277"/>
      <c r="S19" s="102">
        <f>S18*IRP_PTC_ESC!AJ5</f>
        <v>1809.626982</v>
      </c>
      <c r="T19" s="284"/>
      <c r="W19" s="277">
        <f>W18*(1+IRP23_Infl_Rate)</f>
        <v>43.116147136824793</v>
      </c>
      <c r="X19" s="284"/>
    </row>
    <row r="20" spans="2:28">
      <c r="B20" s="109">
        <f t="shared" si="0"/>
        <v>2026</v>
      </c>
      <c r="C20" s="274">
        <f>IRP_LTReport!R96</f>
        <v>1809.6270713615625</v>
      </c>
      <c r="D20" s="111">
        <f>C20*$C$62</f>
        <v>152.09915534793933</v>
      </c>
      <c r="E20" s="285">
        <f>IRP_LTReport!L96</f>
        <v>47.390000000006694</v>
      </c>
      <c r="F20" s="165">
        <f>$C$60</f>
        <v>7.2616297422281173</v>
      </c>
      <c r="G20" s="112">
        <f t="shared" ref="G20:G21" si="1">(D20+E20+F20)/(8.76*$C$63)</f>
        <v>703.29485891923719</v>
      </c>
      <c r="H20" s="111"/>
      <c r="I20" s="112">
        <f t="shared" ref="I20:I21" si="2">(G20+H20)</f>
        <v>703.29485891923719</v>
      </c>
      <c r="J20" s="112">
        <f t="shared" ref="J20:J21" si="3">ROUND(I20*$C$63*8.76,2)</f>
        <v>206.75</v>
      </c>
      <c r="K20" s="111">
        <f t="shared" ref="K20:K21" si="4">(D20+E20+F20)</f>
        <v>206.75078509017413</v>
      </c>
      <c r="P20" s="112"/>
      <c r="S20" s="102">
        <f>S19*IRP_PTC_ESC!AJ6</f>
        <v>1809.626982</v>
      </c>
      <c r="T20" s="284">
        <f t="shared" ref="T20" si="5">S20-C20</f>
        <v>-8.9361562459089328E-5</v>
      </c>
      <c r="V20" s="129"/>
      <c r="W20" s="277">
        <f>W19*(1+IRP23_Infl_Rate)</f>
        <v>44.094883677025123</v>
      </c>
      <c r="X20" s="284">
        <f>W20-E20</f>
        <v>-3.2951163229815705</v>
      </c>
      <c r="Y20" s="273" t="s">
        <v>278</v>
      </c>
    </row>
    <row r="21" spans="2:28">
      <c r="B21" s="109">
        <f t="shared" si="0"/>
        <v>2027</v>
      </c>
      <c r="C21" s="113"/>
      <c r="D21" s="111">
        <f t="shared" ref="D21:F23" si="6">ROUND(D20*(1+IRP23_Infl_Rate),2)</f>
        <v>155.55000000000001</v>
      </c>
      <c r="E21" s="111">
        <f t="shared" si="6"/>
        <v>48.47</v>
      </c>
      <c r="F21" s="111">
        <f t="shared" si="6"/>
        <v>7.43</v>
      </c>
      <c r="G21" s="112">
        <f t="shared" si="1"/>
        <v>719.27996720115129</v>
      </c>
      <c r="H21" s="111"/>
      <c r="I21" s="112">
        <f t="shared" si="2"/>
        <v>719.27996720115129</v>
      </c>
      <c r="J21" s="112">
        <f t="shared" si="3"/>
        <v>211.45</v>
      </c>
      <c r="K21" s="111">
        <f t="shared" si="4"/>
        <v>211.45000000000002</v>
      </c>
      <c r="P21" s="112"/>
      <c r="T21" s="284"/>
      <c r="U21" s="129"/>
      <c r="V21" s="129"/>
      <c r="W21" s="277"/>
      <c r="X21" s="129"/>
      <c r="Y21" s="129"/>
    </row>
    <row r="22" spans="2:28">
      <c r="B22" s="109">
        <f t="shared" si="0"/>
        <v>2028</v>
      </c>
      <c r="C22" s="113"/>
      <c r="D22" s="111">
        <f t="shared" si="6"/>
        <v>159.08000000000001</v>
      </c>
      <c r="E22" s="111">
        <f t="shared" si="6"/>
        <v>49.57</v>
      </c>
      <c r="F22" s="111">
        <f t="shared" ref="F22" si="7">ROUND(F21*(1+IRP23_Infl_Rate),2)</f>
        <v>7.6</v>
      </c>
      <c r="G22" s="112">
        <f t="shared" ref="G22:G37" si="8">(D22+E22+F22)/(8.76*$C$63)</f>
        <v>735.60791159729933</v>
      </c>
      <c r="H22" s="111"/>
      <c r="I22" s="112">
        <f t="shared" ref="I22:I37" si="9">(G22+H22)</f>
        <v>735.60791159729933</v>
      </c>
      <c r="J22" s="112">
        <f t="shared" ref="J22:J37" si="10">ROUND(I22*$C$63*8.76,2)</f>
        <v>216.25</v>
      </c>
      <c r="K22" s="111">
        <f t="shared" ref="K22:K37" si="11">(D22+E22+F22)</f>
        <v>216.25</v>
      </c>
      <c r="P22" s="112"/>
      <c r="T22" s="284"/>
      <c r="U22" s="129"/>
      <c r="V22" s="129"/>
      <c r="W22" s="277"/>
      <c r="X22" s="284"/>
      <c r="Y22" s="273"/>
      <c r="Z22" s="129"/>
    </row>
    <row r="23" spans="2:28">
      <c r="B23" s="109">
        <f t="shared" si="0"/>
        <v>2029</v>
      </c>
      <c r="C23" s="113"/>
      <c r="D23" s="111">
        <f t="shared" si="6"/>
        <v>162.69</v>
      </c>
      <c r="E23" s="111">
        <f t="shared" si="6"/>
        <v>50.7</v>
      </c>
      <c r="F23" s="111">
        <f t="shared" ref="F23" si="12">ROUND(F22*(1+IRP23_Infl_Rate),2)</f>
        <v>7.77</v>
      </c>
      <c r="G23" s="112">
        <f t="shared" si="8"/>
        <v>752.3100380525259</v>
      </c>
      <c r="H23" s="111"/>
      <c r="I23" s="112">
        <f t="shared" si="9"/>
        <v>752.3100380525259</v>
      </c>
      <c r="J23" s="112">
        <f t="shared" si="10"/>
        <v>221.16</v>
      </c>
      <c r="K23" s="111">
        <f t="shared" si="11"/>
        <v>221.16</v>
      </c>
      <c r="P23" s="112"/>
      <c r="T23" s="284"/>
      <c r="U23" s="129"/>
      <c r="V23" s="129"/>
      <c r="W23" s="277"/>
      <c r="X23" s="284"/>
      <c r="Z23" s="129"/>
    </row>
    <row r="24" spans="2:28">
      <c r="B24" s="109">
        <f t="shared" si="0"/>
        <v>2030</v>
      </c>
      <c r="C24" s="113"/>
      <c r="D24" s="111">
        <f t="shared" ref="D24:F24" si="13">ROUND(D23*(1+IRP23_Infl_Rate),2)</f>
        <v>166.38</v>
      </c>
      <c r="E24" s="111">
        <f t="shared" si="13"/>
        <v>51.85</v>
      </c>
      <c r="F24" s="111">
        <f t="shared" si="13"/>
        <v>7.95</v>
      </c>
      <c r="G24" s="112">
        <f t="shared" si="8"/>
        <v>769.38634656683075</v>
      </c>
      <c r="H24" s="111"/>
      <c r="I24" s="112">
        <f t="shared" si="9"/>
        <v>769.38634656683075</v>
      </c>
      <c r="J24" s="112">
        <f t="shared" si="10"/>
        <v>226.18</v>
      </c>
      <c r="K24" s="111">
        <f t="shared" si="11"/>
        <v>226.17999999999998</v>
      </c>
      <c r="P24" s="112"/>
      <c r="S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ref="D25:F25" si="14">ROUND(D24*(1+IRP23_Infl_Rate),2)</f>
        <v>170.16</v>
      </c>
      <c r="E25" s="111">
        <f t="shared" si="14"/>
        <v>53.03</v>
      </c>
      <c r="F25" s="111">
        <f t="shared" si="14"/>
        <v>8.1300000000000008</v>
      </c>
      <c r="G25" s="112">
        <f t="shared" si="8"/>
        <v>786.87085369103943</v>
      </c>
      <c r="H25" s="111"/>
      <c r="I25" s="112">
        <f t="shared" si="9"/>
        <v>786.87085369103943</v>
      </c>
      <c r="J25" s="112">
        <f t="shared" si="10"/>
        <v>231.32</v>
      </c>
      <c r="K25" s="111">
        <f t="shared" si="11"/>
        <v>231.32</v>
      </c>
      <c r="P25" s="112"/>
      <c r="S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ref="D26:F26" si="15">ROUND(D25*(1+IRP23_Infl_Rate),2)</f>
        <v>174.02</v>
      </c>
      <c r="E26" s="111">
        <f t="shared" si="15"/>
        <v>54.23</v>
      </c>
      <c r="F26" s="111">
        <f t="shared" si="15"/>
        <v>8.31</v>
      </c>
      <c r="G26" s="112">
        <f t="shared" si="8"/>
        <v>804.69552632350121</v>
      </c>
      <c r="H26" s="111"/>
      <c r="I26" s="112">
        <f t="shared" si="9"/>
        <v>804.69552632350121</v>
      </c>
      <c r="J26" s="112">
        <f t="shared" si="10"/>
        <v>236.56</v>
      </c>
      <c r="K26" s="111">
        <f t="shared" si="11"/>
        <v>236.56</v>
      </c>
      <c r="P26" s="112"/>
      <c r="S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ref="D27:F27" si="16">ROUND(D26*(1+IRP23_Infl_Rate),2)</f>
        <v>177.97</v>
      </c>
      <c r="E27" s="111">
        <f t="shared" si="16"/>
        <v>55.46</v>
      </c>
      <c r="F27" s="111">
        <f t="shared" si="16"/>
        <v>8.5</v>
      </c>
      <c r="G27" s="112">
        <f t="shared" si="8"/>
        <v>822.962414116692</v>
      </c>
      <c r="H27" s="111"/>
      <c r="I27" s="112">
        <f t="shared" si="9"/>
        <v>822.962414116692</v>
      </c>
      <c r="J27" s="112">
        <f t="shared" si="10"/>
        <v>241.93</v>
      </c>
      <c r="K27" s="111">
        <f t="shared" si="11"/>
        <v>241.93</v>
      </c>
      <c r="P27" s="112"/>
      <c r="S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ref="D28:F28" si="17">ROUND(D27*(1+IRP23_Infl_Rate),2)</f>
        <v>182.01</v>
      </c>
      <c r="E28" s="111">
        <f t="shared" si="17"/>
        <v>56.72</v>
      </c>
      <c r="F28" s="111">
        <f t="shared" si="17"/>
        <v>8.69</v>
      </c>
      <c r="G28" s="112">
        <f t="shared" si="8"/>
        <v>841.63750051978639</v>
      </c>
      <c r="H28" s="111"/>
      <c r="I28" s="112">
        <f t="shared" si="9"/>
        <v>841.63750051978639</v>
      </c>
      <c r="J28" s="112">
        <f t="shared" si="10"/>
        <v>247.42</v>
      </c>
      <c r="K28" s="111">
        <f t="shared" si="11"/>
        <v>247.42</v>
      </c>
      <c r="P28" s="112"/>
      <c r="S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ref="D29:F29" si="18">ROUND(D28*(1+IRP23_Infl_Rate),2)</f>
        <v>186.14</v>
      </c>
      <c r="E29" s="111">
        <f t="shared" si="18"/>
        <v>58.01</v>
      </c>
      <c r="F29" s="111">
        <f t="shared" si="18"/>
        <v>8.89</v>
      </c>
      <c r="G29" s="112">
        <f t="shared" si="8"/>
        <v>860.75480208360977</v>
      </c>
      <c r="H29" s="111"/>
      <c r="I29" s="112">
        <f t="shared" si="9"/>
        <v>860.75480208360977</v>
      </c>
      <c r="J29" s="112">
        <f t="shared" si="10"/>
        <v>253.04</v>
      </c>
      <c r="K29" s="111">
        <f t="shared" si="11"/>
        <v>253.03999999999996</v>
      </c>
      <c r="P29" s="112"/>
      <c r="S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ref="D30:F30" si="19">ROUND(D29*(1+IRP23_Infl_Rate),2)</f>
        <v>190.37</v>
      </c>
      <c r="E30" s="111">
        <f t="shared" si="19"/>
        <v>59.33</v>
      </c>
      <c r="F30" s="111">
        <f t="shared" si="19"/>
        <v>9.09</v>
      </c>
      <c r="G30" s="112">
        <f t="shared" si="8"/>
        <v>880.31431880816217</v>
      </c>
      <c r="H30" s="111"/>
      <c r="I30" s="112">
        <f t="shared" si="9"/>
        <v>880.31431880816217</v>
      </c>
      <c r="J30" s="112">
        <f t="shared" si="10"/>
        <v>258.79000000000002</v>
      </c>
      <c r="K30" s="111">
        <f t="shared" si="11"/>
        <v>258.78999999999996</v>
      </c>
      <c r="P30" s="112"/>
      <c r="S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ref="D31:F31" si="20">ROUND(D30*(1+IRP23_Infl_Rate),2)</f>
        <v>194.69</v>
      </c>
      <c r="E31" s="111">
        <f t="shared" si="20"/>
        <v>60.68</v>
      </c>
      <c r="F31" s="111">
        <f t="shared" si="20"/>
        <v>9.3000000000000007</v>
      </c>
      <c r="G31" s="112">
        <f t="shared" si="8"/>
        <v>900.3160506934438</v>
      </c>
      <c r="H31" s="111"/>
      <c r="I31" s="112">
        <f t="shared" si="9"/>
        <v>900.3160506934438</v>
      </c>
      <c r="J31" s="112">
        <f t="shared" si="10"/>
        <v>264.67</v>
      </c>
      <c r="K31" s="111">
        <f t="shared" si="11"/>
        <v>264.67</v>
      </c>
      <c r="P31" s="112"/>
      <c r="S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ref="D32:F32" si="21">ROUND(D31*(1+IRP23_Infl_Rate),2)</f>
        <v>199.11</v>
      </c>
      <c r="E32" s="111">
        <f t="shared" si="21"/>
        <v>62.06</v>
      </c>
      <c r="F32" s="111">
        <f t="shared" si="21"/>
        <v>9.51</v>
      </c>
      <c r="G32" s="112">
        <f t="shared" si="8"/>
        <v>920.75999773945432</v>
      </c>
      <c r="H32" s="111"/>
      <c r="I32" s="112">
        <f t="shared" si="9"/>
        <v>920.75999773945432</v>
      </c>
      <c r="J32" s="112">
        <f t="shared" si="10"/>
        <v>270.68</v>
      </c>
      <c r="K32" s="111">
        <f t="shared" si="11"/>
        <v>270.68</v>
      </c>
      <c r="P32" s="112"/>
      <c r="S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ref="D33:F33" si="22">ROUND(D32*(1+IRP23_Infl_Rate),2)</f>
        <v>203.63</v>
      </c>
      <c r="E33" s="111">
        <f t="shared" si="22"/>
        <v>63.47</v>
      </c>
      <c r="F33" s="111">
        <f t="shared" si="22"/>
        <v>9.73</v>
      </c>
      <c r="G33" s="112">
        <f t="shared" si="8"/>
        <v>941.68017649701926</v>
      </c>
      <c r="H33" s="111"/>
      <c r="I33" s="112">
        <f t="shared" si="9"/>
        <v>941.68017649701926</v>
      </c>
      <c r="J33" s="112">
        <f t="shared" si="10"/>
        <v>276.83</v>
      </c>
      <c r="K33" s="111">
        <f t="shared" si="11"/>
        <v>276.83000000000004</v>
      </c>
      <c r="P33" s="112"/>
    </row>
    <row r="34" spans="2:16">
      <c r="B34" s="109">
        <f t="shared" si="0"/>
        <v>2040</v>
      </c>
      <c r="C34" s="113"/>
      <c r="D34" s="111">
        <f t="shared" ref="D34:F34" si="23">ROUND(D33*(1+IRP23_Infl_Rate),2)</f>
        <v>208.25</v>
      </c>
      <c r="E34" s="111">
        <f t="shared" si="23"/>
        <v>64.91</v>
      </c>
      <c r="F34" s="111">
        <f t="shared" si="23"/>
        <v>9.9499999999999993</v>
      </c>
      <c r="G34" s="112">
        <f t="shared" si="8"/>
        <v>963.04257041531275</v>
      </c>
      <c r="H34" s="111"/>
      <c r="I34" s="112">
        <f t="shared" si="9"/>
        <v>963.04257041531275</v>
      </c>
      <c r="J34" s="112">
        <f t="shared" si="10"/>
        <v>283.11</v>
      </c>
      <c r="K34" s="111">
        <f t="shared" si="11"/>
        <v>283.10999999999996</v>
      </c>
      <c r="P34" s="112"/>
    </row>
    <row r="35" spans="2:16">
      <c r="B35" s="109">
        <f t="shared" si="0"/>
        <v>2041</v>
      </c>
      <c r="C35" s="113"/>
      <c r="D35" s="111">
        <f t="shared" ref="D35:F35" si="24">ROUND(D34*(1+IRP23_Infl_Rate),2)</f>
        <v>212.98</v>
      </c>
      <c r="E35" s="111">
        <f t="shared" si="24"/>
        <v>66.38</v>
      </c>
      <c r="F35" s="111">
        <f t="shared" si="24"/>
        <v>10.18</v>
      </c>
      <c r="G35" s="112">
        <f t="shared" si="8"/>
        <v>984.91521259598642</v>
      </c>
      <c r="H35" s="111"/>
      <c r="I35" s="112">
        <f t="shared" si="9"/>
        <v>984.91521259598642</v>
      </c>
      <c r="J35" s="112">
        <f t="shared" si="10"/>
        <v>289.54000000000002</v>
      </c>
      <c r="K35" s="111">
        <f t="shared" si="11"/>
        <v>289.54000000000002</v>
      </c>
      <c r="P35" s="112"/>
    </row>
    <row r="36" spans="2:16">
      <c r="B36" s="109">
        <f t="shared" si="0"/>
        <v>2042</v>
      </c>
      <c r="C36" s="113"/>
      <c r="D36" s="111">
        <f t="shared" ref="D36:F36" si="25">ROUND(D35*(1+IRP23_Infl_Rate),2)</f>
        <v>217.81</v>
      </c>
      <c r="E36" s="111">
        <f t="shared" si="25"/>
        <v>67.89</v>
      </c>
      <c r="F36" s="111">
        <f t="shared" si="25"/>
        <v>10.41</v>
      </c>
      <c r="G36" s="112">
        <f t="shared" si="8"/>
        <v>1007.2640864882142</v>
      </c>
      <c r="H36" s="111"/>
      <c r="I36" s="112">
        <f t="shared" si="9"/>
        <v>1007.2640864882142</v>
      </c>
      <c r="J36" s="112">
        <f t="shared" si="10"/>
        <v>296.11</v>
      </c>
      <c r="K36" s="111">
        <f t="shared" si="11"/>
        <v>296.11</v>
      </c>
      <c r="P36" s="112"/>
    </row>
    <row r="37" spans="2:16">
      <c r="B37" s="109">
        <f t="shared" si="0"/>
        <v>2043</v>
      </c>
      <c r="C37" s="113"/>
      <c r="D37" s="111">
        <f t="shared" ref="D37:F37" si="26">ROUND(D36*(1+IRP23_Infl_Rate),2)</f>
        <v>222.75</v>
      </c>
      <c r="E37" s="111">
        <f t="shared" si="26"/>
        <v>69.430000000000007</v>
      </c>
      <c r="F37" s="111">
        <f t="shared" si="26"/>
        <v>10.65</v>
      </c>
      <c r="G37" s="112">
        <f t="shared" si="8"/>
        <v>1030.1232086428215</v>
      </c>
      <c r="H37" s="111"/>
      <c r="I37" s="112">
        <f t="shared" si="9"/>
        <v>1030.1232086428215</v>
      </c>
      <c r="J37" s="112">
        <f t="shared" si="10"/>
        <v>302.83</v>
      </c>
      <c r="K37" s="111">
        <f t="shared" si="11"/>
        <v>302.83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-PMT(Discount_Rate,COUNT(I20:I37),NPV(Discount_Rate,I20:I37))</f>
        <v>824.14285477418969</v>
      </c>
      <c r="J39" s="287">
        <f>-PMT(Discount_Rate,COUNT(J20:J37),NPV(Discount_Rate,J20:J37))</f>
        <v>242.27694761321843</v>
      </c>
      <c r="K39" s="287">
        <f>-PMT(Discount_Rate,15,NPV(Discount_Rate,K20:K36))</f>
        <v>258.06150931198079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3.4%)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9">
      <c r="C49" s="119" t="str">
        <f>J7</f>
        <v>(h)</v>
      </c>
      <c r="D49" t="str">
        <f>D44</f>
        <v>Plant Costs  - 2023 IRP - Table 7.1 &amp; 7.2</v>
      </c>
    </row>
    <row r="50" spans="2:19">
      <c r="C50" s="119"/>
      <c r="D50" s="112"/>
    </row>
    <row r="51" spans="2:19" ht="13.5" thickBot="1"/>
    <row r="52" spans="2:19" ht="13.5" thickBot="1">
      <c r="C52" s="38" t="str">
        <f>B2&amp;" - "&amp;B3</f>
        <v>BAT.PX.BPA._.221.Lithium-Ion - 3%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9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9">
      <c r="P54" s="102" t="s">
        <v>98</v>
      </c>
      <c r="Q54" s="102">
        <v>2026</v>
      </c>
      <c r="S54" s="273" t="s">
        <v>334</v>
      </c>
    </row>
    <row r="55" spans="2:19">
      <c r="B55" t="s">
        <v>152</v>
      </c>
      <c r="C55" s="267"/>
      <c r="D55" s="102" t="s">
        <v>65</v>
      </c>
      <c r="O55" s="226">
        <v>160</v>
      </c>
      <c r="P55" s="102" t="s">
        <v>32</v>
      </c>
      <c r="S55" s="273"/>
    </row>
    <row r="56" spans="2:19">
      <c r="B56" t="s">
        <v>152</v>
      </c>
      <c r="C56" s="126"/>
      <c r="D56" s="102" t="s">
        <v>68</v>
      </c>
    </row>
    <row r="57" spans="2:19" ht="24" customHeight="1">
      <c r="B57"/>
      <c r="C57" s="129"/>
      <c r="D57" s="102" t="s">
        <v>99</v>
      </c>
      <c r="Q57" s="175"/>
      <c r="R57" s="175"/>
    </row>
    <row r="58" spans="2:19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9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9">
      <c r="B60" s="250" t="str">
        <f>LEFT(RIGHT(INDEX('Table 3 TransCost'!$39:$39,1,MATCH(F60,'Table 3 TransCost'!$4:$4,0)),6),5)</f>
        <v>2026$</v>
      </c>
      <c r="C60" s="223">
        <f>IFERROR(INDEX('Table 3 TransCost'!$39:$39,1,MATCH(F60,'Table 3 TransCost'!$4:$4,0)+2),0)</f>
        <v>7.2616297422281173</v>
      </c>
      <c r="D60" s="102" t="s">
        <v>137</v>
      </c>
      <c r="F60" s="102" t="s">
        <v>356</v>
      </c>
      <c r="K60" s="270"/>
      <c r="L60" s="270"/>
      <c r="M60" s="270"/>
      <c r="O60" s="127"/>
    </row>
    <row r="61" spans="2:19">
      <c r="B61"/>
      <c r="C61" s="166"/>
      <c r="K61" s="270"/>
      <c r="L61" s="270"/>
      <c r="M61" s="270"/>
      <c r="O61" s="270"/>
    </row>
    <row r="62" spans="2:19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9">
      <c r="C63" s="272">
        <f>IRP_LTReport!F95*1000/('2026_BAT.PX.BPA._.221.Lithium-I'!O55*8760)</f>
        <v>3.3558737841409808E-2</v>
      </c>
      <c r="D63" s="102" t="s">
        <v>37</v>
      </c>
    </row>
    <row r="64" spans="2:19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021A-A389-47D8-9F28-52A58D2E966A}">
  <sheetPr>
    <tabColor rgb="FFFFC000"/>
    <pageSetUpPr fitToPage="1"/>
  </sheetPr>
  <dimension ref="B1:AB91"/>
  <sheetViews>
    <sheetView topLeftCell="A6" zoomScale="70" zoomScaleNormal="70" workbookViewId="0">
      <selection activeCell="I19" sqref="I18:I19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1.6640625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23.5" style="102" customWidth="1"/>
    <col min="19" max="19" width="18.1640625" style="102" customWidth="1"/>
    <col min="20" max="20" width="13.33203125" style="102" customWidth="1"/>
    <col min="21" max="21" width="18.1640625" style="102" customWidth="1"/>
    <col min="22" max="22" width="12.83203125" style="102" customWidth="1"/>
    <col min="23" max="23" width="15.33203125" style="102" customWidth="1"/>
    <col min="24" max="25" width="9.33203125" style="102"/>
    <col min="26" max="26" width="13.33203125" style="102" customWidth="1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S54</f>
        <v>BAT.PX.WWA._.215.Lithium-ion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4%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S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Q6" s="102" t="s">
        <v>277</v>
      </c>
      <c r="S6" s="102" t="s">
        <v>265</v>
      </c>
      <c r="V6" s="129"/>
      <c r="W6" s="129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  <c r="Q7" s="115" t="s">
        <v>232</v>
      </c>
      <c r="R7" s="129" t="s">
        <v>275</v>
      </c>
      <c r="S7" s="102" t="s">
        <v>238</v>
      </c>
      <c r="T7" s="129" t="s">
        <v>276</v>
      </c>
      <c r="W7" s="102" t="s">
        <v>247</v>
      </c>
    </row>
    <row r="8" spans="2:26" ht="21.75" customHeight="1">
      <c r="Q8" s="115"/>
      <c r="S8" s="102" t="s">
        <v>273</v>
      </c>
      <c r="W8" s="115" t="s">
        <v>232</v>
      </c>
    </row>
    <row r="9" spans="2:26" ht="15.75">
      <c r="B9" s="39" t="str">
        <f>C52</f>
        <v>BAT.PX.WWA._.215.Lithium-ion - 4%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/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/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/>
      <c r="O14" s="114"/>
      <c r="P14" s="265"/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/>
      <c r="O15" s="266"/>
      <c r="P15" s="265"/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/>
      <c r="Q16" s="274">
        <v>1728.6589634669394</v>
      </c>
      <c r="R16" s="284">
        <f>S16-Q16</f>
        <v>-6.1889634669394127</v>
      </c>
      <c r="S16" s="113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/>
      <c r="O17" s="114"/>
      <c r="Q17" s="277"/>
      <c r="R17" s="277"/>
      <c r="S17" s="102">
        <f>S16*IRP_PTC_ESC!AJ3</f>
        <v>1809.626982</v>
      </c>
      <c r="W17" s="277">
        <f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/>
      <c r="P18" s="263"/>
      <c r="Q18" s="277"/>
      <c r="R18" s="277"/>
      <c r="S18" s="102">
        <f>S17*IRP_PTC_ESC!AJ4</f>
        <v>1809.626982</v>
      </c>
      <c r="W18" s="277">
        <f>W17*(1+IRP23_Infl_Rate)</f>
        <v>42.159134777192428</v>
      </c>
      <c r="AB18" s="227"/>
    </row>
    <row r="19" spans="2:28">
      <c r="B19" s="109">
        <f t="shared" si="0"/>
        <v>2025</v>
      </c>
      <c r="C19" s="113"/>
      <c r="D19" s="111"/>
      <c r="E19" s="111"/>
      <c r="F19" s="111"/>
      <c r="G19" s="112"/>
      <c r="H19" s="111"/>
      <c r="I19" s="112"/>
      <c r="J19" s="112"/>
      <c r="K19" s="111"/>
      <c r="P19" s="263"/>
      <c r="Q19" s="277"/>
      <c r="R19" s="277"/>
      <c r="S19" s="102">
        <f>S18*IRP_PTC_ESC!AJ5</f>
        <v>1809.626982</v>
      </c>
      <c r="T19" s="284"/>
      <c r="W19" s="277">
        <f>W18*(1+IRP23_Infl_Rate)</f>
        <v>43.116147136824793</v>
      </c>
      <c r="X19" s="284"/>
    </row>
    <row r="20" spans="2:28">
      <c r="B20" s="109">
        <f t="shared" si="0"/>
        <v>2026</v>
      </c>
      <c r="C20" s="113"/>
      <c r="D20" s="111"/>
      <c r="E20" s="111"/>
      <c r="F20" s="165"/>
      <c r="G20" s="112"/>
      <c r="H20" s="111"/>
      <c r="I20" s="112"/>
      <c r="J20" s="112"/>
      <c r="K20" s="111"/>
      <c r="P20" s="112"/>
      <c r="S20" s="102">
        <f>S19*IRP_PTC_ESC!AJ6</f>
        <v>1809.626982</v>
      </c>
      <c r="T20" s="284"/>
      <c r="V20" s="129"/>
      <c r="W20" s="277">
        <f>W19*(1+IRP23_Infl_Rate)</f>
        <v>44.094883677025123</v>
      </c>
      <c r="X20" s="284"/>
      <c r="Y20" s="273" t="s">
        <v>278</v>
      </c>
    </row>
    <row r="21" spans="2:28">
      <c r="B21" s="109">
        <f t="shared" si="0"/>
        <v>2027</v>
      </c>
      <c r="C21" s="274">
        <f>IRP_LTReport!R98</f>
        <v>1809.6270713615172</v>
      </c>
      <c r="D21" s="111">
        <f>C21*$C$62</f>
        <v>152.09915534793552</v>
      </c>
      <c r="E21" s="285">
        <f>IRP_LTReport!L98</f>
        <v>71.89999999999938</v>
      </c>
      <c r="F21" s="165">
        <f>$C$60</f>
        <v>6.1470642666378597</v>
      </c>
      <c r="G21" s="112">
        <f t="shared" ref="G21:G37" si="1">(D21+E21+F21)/(8.76*$C$63)</f>
        <v>709.48323976994072</v>
      </c>
      <c r="H21" s="111"/>
      <c r="I21" s="112">
        <f t="shared" ref="I21:I37" si="2">(G21+H21)</f>
        <v>709.48323976994072</v>
      </c>
      <c r="J21" s="112">
        <f t="shared" ref="J21:J37" si="3">ROUND(I21*$C$63*8.76,2)</f>
        <v>230.15</v>
      </c>
      <c r="K21" s="111">
        <f t="shared" ref="K21:K37" si="4">(D21+E21+F21)</f>
        <v>230.14621961457277</v>
      </c>
      <c r="P21" s="112"/>
      <c r="S21" s="102">
        <f>S20*IRP_PTC_ESC!AJ7</f>
        <v>1809.626982</v>
      </c>
      <c r="T21" s="284">
        <f t="shared" ref="T21" si="5">S21-C21</f>
        <v>-8.9361517211727914E-5</v>
      </c>
      <c r="U21" s="129"/>
      <c r="V21" s="129"/>
      <c r="W21" s="277">
        <f>W20*(1+IRP23_Infl_Rate)</f>
        <v>45.095837536692414</v>
      </c>
      <c r="X21" s="284">
        <f>W21-E21</f>
        <v>-26.804162463306966</v>
      </c>
      <c r="Y21" s="129"/>
    </row>
    <row r="22" spans="2:28">
      <c r="B22" s="109">
        <f t="shared" si="0"/>
        <v>2028</v>
      </c>
      <c r="C22" s="113"/>
      <c r="D22" s="111">
        <f t="shared" ref="D22:F36" si="6">ROUND(D21*(1+IRP23_Infl_Rate),2)</f>
        <v>155.55000000000001</v>
      </c>
      <c r="E22" s="111">
        <f t="shared" si="6"/>
        <v>73.53</v>
      </c>
      <c r="F22" s="111">
        <f t="shared" si="6"/>
        <v>6.29</v>
      </c>
      <c r="G22" s="112">
        <f t="shared" si="1"/>
        <v>725.58684832760616</v>
      </c>
      <c r="H22" s="111"/>
      <c r="I22" s="112">
        <f t="shared" si="2"/>
        <v>725.58684832760616</v>
      </c>
      <c r="J22" s="112">
        <f t="shared" si="3"/>
        <v>235.37</v>
      </c>
      <c r="K22" s="111">
        <f t="shared" si="4"/>
        <v>235.37</v>
      </c>
      <c r="P22" s="112"/>
      <c r="T22" s="284"/>
      <c r="U22" s="129"/>
      <c r="V22" s="129"/>
      <c r="W22" s="277"/>
      <c r="X22" s="284"/>
      <c r="Y22" s="273"/>
      <c r="Z22" s="129"/>
    </row>
    <row r="23" spans="2:28">
      <c r="B23" s="109">
        <f t="shared" si="0"/>
        <v>2029</v>
      </c>
      <c r="C23" s="113"/>
      <c r="D23" s="111">
        <f t="shared" si="6"/>
        <v>159.08000000000001</v>
      </c>
      <c r="E23" s="111">
        <f t="shared" si="6"/>
        <v>75.2</v>
      </c>
      <c r="F23" s="111">
        <f t="shared" ref="F23" si="7">ROUND(F22*(1+IRP23_Infl_Rate),2)</f>
        <v>6.43</v>
      </c>
      <c r="G23" s="112">
        <f t="shared" si="1"/>
        <v>742.04873289262912</v>
      </c>
      <c r="H23" s="111"/>
      <c r="I23" s="112">
        <f t="shared" si="2"/>
        <v>742.04873289262912</v>
      </c>
      <c r="J23" s="112">
        <f t="shared" si="3"/>
        <v>240.71</v>
      </c>
      <c r="K23" s="111">
        <f t="shared" si="4"/>
        <v>240.71000000000004</v>
      </c>
      <c r="P23" s="112"/>
      <c r="T23" s="284"/>
      <c r="U23" s="129"/>
      <c r="V23" s="129"/>
      <c r="W23" s="277"/>
      <c r="X23" s="284"/>
      <c r="Z23" s="129"/>
    </row>
    <row r="24" spans="2:28">
      <c r="B24" s="109">
        <f t="shared" si="0"/>
        <v>2030</v>
      </c>
      <c r="C24" s="113"/>
      <c r="D24" s="111">
        <f t="shared" si="6"/>
        <v>162.69</v>
      </c>
      <c r="E24" s="111">
        <f t="shared" si="6"/>
        <v>76.91</v>
      </c>
      <c r="F24" s="111">
        <f t="shared" ref="F24" si="8">ROUND(F23*(1+IRP23_Infl_Rate),2)</f>
        <v>6.58</v>
      </c>
      <c r="G24" s="112">
        <f t="shared" si="1"/>
        <v>758.91137494706243</v>
      </c>
      <c r="H24" s="111"/>
      <c r="I24" s="112">
        <f t="shared" si="2"/>
        <v>758.91137494706243</v>
      </c>
      <c r="J24" s="112">
        <f t="shared" si="3"/>
        <v>246.18</v>
      </c>
      <c r="K24" s="111">
        <f t="shared" si="4"/>
        <v>246.18</v>
      </c>
      <c r="P24" s="112"/>
      <c r="S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si="6"/>
        <v>166.38</v>
      </c>
      <c r="E25" s="111">
        <f t="shared" si="6"/>
        <v>78.66</v>
      </c>
      <c r="F25" s="111">
        <f t="shared" ref="F25" si="9">ROUND(F24*(1+IRP23_Infl_Rate),2)</f>
        <v>6.73</v>
      </c>
      <c r="G25" s="112">
        <f t="shared" si="1"/>
        <v>776.14394699172112</v>
      </c>
      <c r="H25" s="111"/>
      <c r="I25" s="112">
        <f t="shared" si="2"/>
        <v>776.14394699172112</v>
      </c>
      <c r="J25" s="112">
        <f t="shared" si="3"/>
        <v>251.77</v>
      </c>
      <c r="K25" s="111">
        <f t="shared" si="4"/>
        <v>251.76999999999998</v>
      </c>
      <c r="P25" s="112"/>
      <c r="S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si="6"/>
        <v>170.16</v>
      </c>
      <c r="E26" s="111">
        <f t="shared" si="6"/>
        <v>80.45</v>
      </c>
      <c r="F26" s="111">
        <f t="shared" ref="F26" si="10">ROUND(F25*(1+IRP23_Infl_Rate),2)</f>
        <v>6.88</v>
      </c>
      <c r="G26" s="112">
        <f t="shared" si="1"/>
        <v>793.77727652579051</v>
      </c>
      <c r="H26" s="111"/>
      <c r="I26" s="112">
        <f t="shared" si="2"/>
        <v>793.77727652579051</v>
      </c>
      <c r="J26" s="112">
        <f t="shared" si="3"/>
        <v>257.49</v>
      </c>
      <c r="K26" s="111">
        <f t="shared" si="4"/>
        <v>257.49</v>
      </c>
      <c r="P26" s="112"/>
      <c r="S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si="6"/>
        <v>174.02</v>
      </c>
      <c r="E27" s="111">
        <f t="shared" si="6"/>
        <v>82.28</v>
      </c>
      <c r="F27" s="111">
        <f t="shared" ref="F27" si="11">ROUND(F26*(1+IRP23_Infl_Rate),2)</f>
        <v>7.04</v>
      </c>
      <c r="G27" s="112">
        <f t="shared" si="1"/>
        <v>811.8113635492706</v>
      </c>
      <c r="H27" s="111"/>
      <c r="I27" s="112">
        <f t="shared" si="2"/>
        <v>811.8113635492706</v>
      </c>
      <c r="J27" s="112">
        <f t="shared" si="3"/>
        <v>263.33999999999997</v>
      </c>
      <c r="K27" s="111">
        <f t="shared" si="4"/>
        <v>263.34000000000003</v>
      </c>
      <c r="P27" s="112"/>
      <c r="S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si="6"/>
        <v>177.97</v>
      </c>
      <c r="E28" s="111">
        <f t="shared" si="6"/>
        <v>84.15</v>
      </c>
      <c r="F28" s="111">
        <f t="shared" ref="F28" si="12">ROUND(F27*(1+IRP23_Infl_Rate),2)</f>
        <v>7.2</v>
      </c>
      <c r="G28" s="112">
        <f t="shared" si="1"/>
        <v>830.24620806216126</v>
      </c>
      <c r="H28" s="111"/>
      <c r="I28" s="112">
        <f t="shared" si="2"/>
        <v>830.24620806216126</v>
      </c>
      <c r="J28" s="112">
        <f t="shared" si="3"/>
        <v>269.32</v>
      </c>
      <c r="K28" s="111">
        <f t="shared" si="4"/>
        <v>269.32</v>
      </c>
      <c r="P28" s="112"/>
      <c r="S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si="6"/>
        <v>182.01</v>
      </c>
      <c r="E29" s="111">
        <f t="shared" si="6"/>
        <v>86.06</v>
      </c>
      <c r="F29" s="111">
        <f t="shared" ref="F29" si="13">ROUND(F28*(1+IRP23_Infl_Rate),2)</f>
        <v>7.36</v>
      </c>
      <c r="G29" s="112">
        <f t="shared" si="1"/>
        <v>849.08181006446262</v>
      </c>
      <c r="H29" s="111"/>
      <c r="I29" s="112">
        <f t="shared" si="2"/>
        <v>849.08181006446262</v>
      </c>
      <c r="J29" s="112">
        <f t="shared" si="3"/>
        <v>275.43</v>
      </c>
      <c r="K29" s="111">
        <f t="shared" si="4"/>
        <v>275.43</v>
      </c>
      <c r="P29" s="112"/>
      <c r="S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si="6"/>
        <v>186.14</v>
      </c>
      <c r="E30" s="111">
        <f t="shared" si="6"/>
        <v>88.01</v>
      </c>
      <c r="F30" s="111">
        <f t="shared" ref="F30" si="14">ROUND(F29*(1+IRP23_Infl_Rate),2)</f>
        <v>7.53</v>
      </c>
      <c r="G30" s="112">
        <f t="shared" si="1"/>
        <v>868.34899705535997</v>
      </c>
      <c r="H30" s="111"/>
      <c r="I30" s="112">
        <f t="shared" si="2"/>
        <v>868.34899705535997</v>
      </c>
      <c r="J30" s="112">
        <f t="shared" si="3"/>
        <v>281.68</v>
      </c>
      <c r="K30" s="111">
        <f t="shared" si="4"/>
        <v>281.67999999999995</v>
      </c>
      <c r="P30" s="112"/>
      <c r="S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si="6"/>
        <v>190.37</v>
      </c>
      <c r="E31" s="111">
        <f t="shared" si="6"/>
        <v>90.01</v>
      </c>
      <c r="F31" s="111">
        <f t="shared" ref="F31" si="15">ROUND(F30*(1+IRP23_Infl_Rate),2)</f>
        <v>7.7</v>
      </c>
      <c r="G31" s="112">
        <f t="shared" si="1"/>
        <v>888.07859653403909</v>
      </c>
      <c r="H31" s="111"/>
      <c r="I31" s="112">
        <f t="shared" si="2"/>
        <v>888.07859653403909</v>
      </c>
      <c r="J31" s="112">
        <f t="shared" si="3"/>
        <v>288.08</v>
      </c>
      <c r="K31" s="111">
        <f t="shared" si="4"/>
        <v>288.08</v>
      </c>
      <c r="P31" s="112"/>
      <c r="S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si="6"/>
        <v>194.69</v>
      </c>
      <c r="E32" s="111">
        <f t="shared" si="6"/>
        <v>92.05</v>
      </c>
      <c r="F32" s="111">
        <f t="shared" ref="F32" si="16">ROUND(F31*(1+IRP23_Infl_Rate),2)</f>
        <v>7.87</v>
      </c>
      <c r="G32" s="112">
        <f t="shared" si="1"/>
        <v>908.20895350212879</v>
      </c>
      <c r="H32" s="111"/>
      <c r="I32" s="112">
        <f t="shared" si="2"/>
        <v>908.20895350212879</v>
      </c>
      <c r="J32" s="112">
        <f t="shared" si="3"/>
        <v>294.61</v>
      </c>
      <c r="K32" s="111">
        <f t="shared" si="4"/>
        <v>294.61</v>
      </c>
      <c r="P32" s="112"/>
      <c r="S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si="6"/>
        <v>199.11</v>
      </c>
      <c r="E33" s="111">
        <f t="shared" si="6"/>
        <v>94.14</v>
      </c>
      <c r="F33" s="111">
        <f t="shared" ref="F33" si="17">ROUND(F32*(1+IRP23_Infl_Rate),2)</f>
        <v>8.0500000000000007</v>
      </c>
      <c r="G33" s="112">
        <f t="shared" si="1"/>
        <v>928.83255045718545</v>
      </c>
      <c r="H33" s="111"/>
      <c r="I33" s="112">
        <f t="shared" si="2"/>
        <v>928.83255045718545</v>
      </c>
      <c r="J33" s="112">
        <f t="shared" si="3"/>
        <v>301.3</v>
      </c>
      <c r="K33" s="111">
        <f t="shared" si="4"/>
        <v>301.3</v>
      </c>
      <c r="P33" s="112"/>
    </row>
    <row r="34" spans="2:16">
      <c r="B34" s="109">
        <f t="shared" si="0"/>
        <v>2040</v>
      </c>
      <c r="C34" s="113"/>
      <c r="D34" s="111">
        <f t="shared" si="6"/>
        <v>203.63</v>
      </c>
      <c r="E34" s="111">
        <f t="shared" si="6"/>
        <v>96.28</v>
      </c>
      <c r="F34" s="111">
        <f t="shared" ref="F34" si="18">ROUND(F33*(1+IRP23_Infl_Rate),2)</f>
        <v>8.23</v>
      </c>
      <c r="G34" s="112">
        <f t="shared" si="1"/>
        <v>949.91855990002364</v>
      </c>
      <c r="H34" s="111"/>
      <c r="I34" s="112">
        <f t="shared" si="2"/>
        <v>949.91855990002364</v>
      </c>
      <c r="J34" s="112">
        <f t="shared" si="3"/>
        <v>308.14</v>
      </c>
      <c r="K34" s="111">
        <f t="shared" si="4"/>
        <v>308.14</v>
      </c>
      <c r="P34" s="112"/>
    </row>
    <row r="35" spans="2:16">
      <c r="B35" s="109">
        <f t="shared" si="0"/>
        <v>2041</v>
      </c>
      <c r="C35" s="113"/>
      <c r="D35" s="111">
        <f t="shared" si="6"/>
        <v>208.25</v>
      </c>
      <c r="E35" s="111">
        <f t="shared" si="6"/>
        <v>98.47</v>
      </c>
      <c r="F35" s="111">
        <f t="shared" ref="F35" si="19">ROUND(F34*(1+IRP23_Infl_Rate),2)</f>
        <v>8.42</v>
      </c>
      <c r="G35" s="112">
        <f t="shared" si="1"/>
        <v>971.4978093298289</v>
      </c>
      <c r="H35" s="111"/>
      <c r="I35" s="112">
        <f t="shared" si="2"/>
        <v>971.4978093298289</v>
      </c>
      <c r="J35" s="112">
        <f t="shared" si="3"/>
        <v>315.14</v>
      </c>
      <c r="K35" s="111">
        <f t="shared" si="4"/>
        <v>315.14000000000004</v>
      </c>
      <c r="P35" s="112"/>
    </row>
    <row r="36" spans="2:16">
      <c r="B36" s="109">
        <f t="shared" si="0"/>
        <v>2042</v>
      </c>
      <c r="C36" s="113"/>
      <c r="D36" s="111">
        <f t="shared" si="6"/>
        <v>212.98</v>
      </c>
      <c r="E36" s="111">
        <f t="shared" si="6"/>
        <v>100.71</v>
      </c>
      <c r="F36" s="111">
        <f t="shared" ref="F36" si="20">ROUND(F35*(1+IRP23_Infl_Rate),2)</f>
        <v>8.61</v>
      </c>
      <c r="G36" s="112">
        <f t="shared" si="1"/>
        <v>993.570298746601</v>
      </c>
      <c r="H36" s="111"/>
      <c r="I36" s="112">
        <f t="shared" si="2"/>
        <v>993.570298746601</v>
      </c>
      <c r="J36" s="112">
        <f t="shared" si="3"/>
        <v>322.3</v>
      </c>
      <c r="K36" s="111">
        <f t="shared" si="4"/>
        <v>322.3</v>
      </c>
      <c r="P36" s="112"/>
    </row>
    <row r="37" spans="2:16">
      <c r="B37" s="109">
        <f t="shared" si="0"/>
        <v>2043</v>
      </c>
      <c r="C37" s="113"/>
      <c r="D37" s="111">
        <f t="shared" ref="D37:F37" si="21">ROUND(D36*(1+IRP23_Infl_Rate),2)</f>
        <v>217.81</v>
      </c>
      <c r="E37" s="111">
        <f t="shared" si="21"/>
        <v>103</v>
      </c>
      <c r="F37" s="111">
        <f t="shared" si="21"/>
        <v>8.81</v>
      </c>
      <c r="G37" s="112">
        <f t="shared" si="1"/>
        <v>1016.1360281503401</v>
      </c>
      <c r="H37" s="111"/>
      <c r="I37" s="112">
        <f t="shared" si="2"/>
        <v>1016.1360281503401</v>
      </c>
      <c r="J37" s="112">
        <f t="shared" si="3"/>
        <v>329.62</v>
      </c>
      <c r="K37" s="111">
        <f t="shared" si="4"/>
        <v>329.62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-PMT(Discount_Rate,COUNT(I21:I37),NPV(Discount_Rate,I21:I37))</f>
        <v>824.94833731202846</v>
      </c>
      <c r="J39" s="287">
        <f>-PMT(Discount_Rate,COUNT(J21:J37),NPV(Discount_Rate,J21:J37))</f>
        <v>267.6018033702876</v>
      </c>
      <c r="K39" s="287">
        <f>-PMT(Discount_Rate,COUNT(K21:K37),NPV(Discount_Rate,K21:K37))</f>
        <v>267.60144647145563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3.7%)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9">
      <c r="C49" s="119" t="str">
        <f>J7</f>
        <v>(h)</v>
      </c>
      <c r="D49" t="str">
        <f>D44</f>
        <v>Plant Costs  - 2023 IRP - Table 7.1 &amp; 7.2</v>
      </c>
    </row>
    <row r="50" spans="2:19">
      <c r="C50" s="119"/>
      <c r="D50" s="112"/>
    </row>
    <row r="51" spans="2:19" ht="13.5" thickBot="1"/>
    <row r="52" spans="2:19" ht="13.5" thickBot="1">
      <c r="C52" s="38" t="str">
        <f>B2&amp;" - "&amp;B3</f>
        <v>BAT.PX.WWA._.215.Lithium-ion - 4%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9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9">
      <c r="P54" s="102" t="s">
        <v>98</v>
      </c>
      <c r="Q54" s="102">
        <v>2027</v>
      </c>
      <c r="S54" s="273" t="s">
        <v>337</v>
      </c>
    </row>
    <row r="55" spans="2:19">
      <c r="B55" t="s">
        <v>152</v>
      </c>
      <c r="C55" s="267"/>
      <c r="D55" s="102" t="s">
        <v>65</v>
      </c>
      <c r="O55" s="226">
        <v>145</v>
      </c>
      <c r="P55" s="102" t="s">
        <v>32</v>
      </c>
      <c r="S55" s="273"/>
    </row>
    <row r="56" spans="2:19">
      <c r="B56" t="s">
        <v>152</v>
      </c>
      <c r="C56" s="126"/>
      <c r="D56" s="102" t="s">
        <v>68</v>
      </c>
    </row>
    <row r="57" spans="2:19" ht="24" customHeight="1">
      <c r="B57"/>
      <c r="C57" s="129"/>
      <c r="D57" s="102" t="s">
        <v>99</v>
      </c>
      <c r="Q57" s="175"/>
      <c r="R57" s="175"/>
    </row>
    <row r="58" spans="2:19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9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9">
      <c r="B60" s="250" t="str">
        <f>LEFT(RIGHT(INDEX('Table 3 TransCost'!$39:$39,1,MATCH(F60,'Table 3 TransCost'!$4:$4,0)),6),5)</f>
        <v>2027$</v>
      </c>
      <c r="C60" s="223">
        <f>IFERROR(INDEX('Table 3 TransCost'!$39:$39,1,MATCH(F60,'Table 3 TransCost'!$4:$4,0)+2),0)</f>
        <v>6.1470642666378597</v>
      </c>
      <c r="D60" s="102" t="s">
        <v>137</v>
      </c>
      <c r="F60" t="s">
        <v>364</v>
      </c>
      <c r="K60" s="270"/>
      <c r="L60" s="270"/>
      <c r="M60" s="270"/>
      <c r="O60" s="127"/>
    </row>
    <row r="61" spans="2:19">
      <c r="B61"/>
      <c r="C61" s="166"/>
      <c r="K61" s="270"/>
      <c r="L61" s="270"/>
      <c r="M61" s="270"/>
      <c r="O61" s="270"/>
    </row>
    <row r="62" spans="2:19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9">
      <c r="C63" s="272">
        <f>IRP_LTReport!F95*1000/('2027_BAT.PX.WWA._.215.Lithium-i'!O55*8760)</f>
        <v>3.7030331411210822E-2</v>
      </c>
      <c r="D63" s="102" t="s">
        <v>37</v>
      </c>
    </row>
    <row r="64" spans="2:19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E1899-9A12-4C51-A11A-C90576C75FA3}">
  <sheetPr>
    <tabColor rgb="FFFFC000"/>
    <pageSetUpPr fitToPage="1"/>
  </sheetPr>
  <dimension ref="B1:AB91"/>
  <sheetViews>
    <sheetView zoomScale="70" zoomScaleNormal="70" workbookViewId="0">
      <selection activeCell="D19" sqref="D19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1.6640625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23.5" style="102" customWidth="1"/>
    <col min="19" max="19" width="18.1640625" style="102" customWidth="1"/>
    <col min="20" max="20" width="13.33203125" style="102" customWidth="1"/>
    <col min="21" max="21" width="18.1640625" style="102" customWidth="1"/>
    <col min="22" max="22" width="12.83203125" style="102" customWidth="1"/>
    <col min="23" max="23" width="15.33203125" style="102" customWidth="1"/>
    <col min="24" max="25" width="9.33203125" style="102"/>
    <col min="26" max="26" width="13.33203125" style="102" customWidth="1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S54</f>
        <v>BAT.PX.WYE._.ITC.DJ+Wyodak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5%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S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Q6" s="102" t="s">
        <v>277</v>
      </c>
      <c r="S6" s="102" t="s">
        <v>265</v>
      </c>
      <c r="V6" s="129"/>
      <c r="W6" s="129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  <c r="Q7" s="115" t="s">
        <v>232</v>
      </c>
      <c r="R7" s="129" t="s">
        <v>275</v>
      </c>
      <c r="S7" s="102" t="s">
        <v>238</v>
      </c>
      <c r="T7" s="129" t="s">
        <v>276</v>
      </c>
      <c r="W7" s="102" t="s">
        <v>247</v>
      </c>
    </row>
    <row r="8" spans="2:26" ht="21.75" customHeight="1">
      <c r="Q8" s="115"/>
      <c r="S8" s="102" t="s">
        <v>273</v>
      </c>
      <c r="W8" s="115" t="s">
        <v>232</v>
      </c>
    </row>
    <row r="9" spans="2:26" ht="15.75">
      <c r="B9" s="39" t="str">
        <f>C52</f>
        <v>BAT.PX.WYE._.ITC.DJ+Wyodak - 5%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/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/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/>
      <c r="O14" s="114"/>
      <c r="P14" s="265"/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/>
      <c r="O15" s="266"/>
      <c r="P15" s="265"/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/>
      <c r="Q16" s="274">
        <v>1728.6589634669394</v>
      </c>
      <c r="R16" s="284">
        <f>S16-Q16</f>
        <v>-6.1889634669394127</v>
      </c>
      <c r="S16" s="113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/>
      <c r="O17" s="114"/>
      <c r="Q17" s="277"/>
      <c r="R17" s="277"/>
      <c r="S17" s="102">
        <f>S16*IRP_PTC_ESC!AJ3</f>
        <v>1809.626982</v>
      </c>
      <c r="W17" s="277">
        <f t="shared" ref="W17:W22" si="1"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/>
      <c r="P18" s="263"/>
      <c r="Q18" s="277"/>
      <c r="R18" s="277"/>
      <c r="S18" s="102">
        <f>S17*IRP_PTC_ESC!AJ4</f>
        <v>1809.626982</v>
      </c>
      <c r="W18" s="277">
        <f t="shared" si="1"/>
        <v>42.159134777192428</v>
      </c>
      <c r="AB18" s="227"/>
    </row>
    <row r="19" spans="2:28">
      <c r="B19" s="109">
        <f t="shared" si="0"/>
        <v>2025</v>
      </c>
      <c r="C19" s="113"/>
      <c r="D19" s="111"/>
      <c r="E19" s="111"/>
      <c r="F19" s="111"/>
      <c r="G19" s="112"/>
      <c r="H19" s="111"/>
      <c r="I19" s="112"/>
      <c r="J19" s="112"/>
      <c r="K19" s="111"/>
      <c r="P19" s="263"/>
      <c r="Q19" s="277"/>
      <c r="R19" s="277"/>
      <c r="S19" s="102">
        <f>S18*IRP_PTC_ESC!AJ5</f>
        <v>1809.626982</v>
      </c>
      <c r="T19" s="284"/>
      <c r="W19" s="277">
        <f t="shared" si="1"/>
        <v>43.116147136824793</v>
      </c>
      <c r="X19" s="284"/>
    </row>
    <row r="20" spans="2:28">
      <c r="B20" s="109">
        <f t="shared" si="0"/>
        <v>2026</v>
      </c>
      <c r="C20" s="113"/>
      <c r="D20" s="111"/>
      <c r="E20" s="111"/>
      <c r="F20" s="165"/>
      <c r="G20" s="112"/>
      <c r="H20" s="111"/>
      <c r="I20" s="112"/>
      <c r="J20" s="112"/>
      <c r="K20" s="111"/>
      <c r="P20" s="112"/>
      <c r="S20" s="102">
        <f>S19*IRP_PTC_ESC!AJ6</f>
        <v>1809.626982</v>
      </c>
      <c r="T20" s="284"/>
      <c r="V20" s="129"/>
      <c r="W20" s="277">
        <f t="shared" si="1"/>
        <v>44.094883677025123</v>
      </c>
    </row>
    <row r="21" spans="2:28">
      <c r="B21" s="109">
        <f t="shared" si="0"/>
        <v>2027</v>
      </c>
      <c r="C21" s="113"/>
      <c r="D21" s="111"/>
      <c r="E21" s="111"/>
      <c r="F21" s="111"/>
      <c r="G21" s="112"/>
      <c r="H21" s="111"/>
      <c r="I21" s="112"/>
      <c r="J21" s="112"/>
      <c r="K21" s="111"/>
      <c r="P21" s="112"/>
      <c r="S21" s="102">
        <f>S20*IRP_PTC_ESC!AJ7</f>
        <v>1809.626982</v>
      </c>
      <c r="T21" s="284"/>
      <c r="U21" s="129"/>
      <c r="V21" s="129"/>
      <c r="W21" s="277">
        <f t="shared" si="1"/>
        <v>45.095837536692414</v>
      </c>
      <c r="X21" s="129"/>
      <c r="Y21" s="129"/>
    </row>
    <row r="22" spans="2:28">
      <c r="B22" s="109">
        <f t="shared" si="0"/>
        <v>2028</v>
      </c>
      <c r="C22" s="274">
        <f>IRP_LTReport!R94</f>
        <v>1809.62707136155</v>
      </c>
      <c r="D22" s="111">
        <f>C22*$C$62</f>
        <v>152.09915534793828</v>
      </c>
      <c r="E22" s="285">
        <f>IRP_LTReport!L94</f>
        <v>49.705808219175751</v>
      </c>
      <c r="F22" s="165">
        <f>$C$60</f>
        <v>0</v>
      </c>
      <c r="G22" s="112">
        <f t="shared" ref="G22:G37" si="2">(D22+E22+F22)/(8.76*$C$63)</f>
        <v>479.01069177075266</v>
      </c>
      <c r="H22" s="111"/>
      <c r="I22" s="112">
        <f t="shared" ref="I22:I37" si="3">(G22+H22)</f>
        <v>479.01069177075266</v>
      </c>
      <c r="J22" s="112">
        <f t="shared" ref="J22:J37" si="4">ROUND(I22*$C$63*8.76,2)</f>
        <v>201.8</v>
      </c>
      <c r="K22" s="111">
        <f t="shared" ref="K22:K37" si="5">(D22+E22+F22)</f>
        <v>201.80496356711404</v>
      </c>
      <c r="P22" s="112"/>
      <c r="S22" s="102">
        <f>S21*IRP_PTC_ESC!AJ8</f>
        <v>1809.626982</v>
      </c>
      <c r="T22" s="284">
        <f t="shared" ref="T22" si="6">S22-C22</f>
        <v>-8.9361549953537178E-5</v>
      </c>
      <c r="U22" s="129"/>
      <c r="V22" s="129"/>
      <c r="W22" s="277">
        <f t="shared" si="1"/>
        <v>46.119513048978668</v>
      </c>
      <c r="X22" s="284">
        <f>W22-E22</f>
        <v>-3.5862951701970829</v>
      </c>
      <c r="Y22" s="273" t="s">
        <v>278</v>
      </c>
      <c r="Z22" s="129"/>
    </row>
    <row r="23" spans="2:28">
      <c r="B23" s="109">
        <f t="shared" si="0"/>
        <v>2029</v>
      </c>
      <c r="C23" s="113"/>
      <c r="D23" s="111">
        <f t="shared" ref="D23:E37" si="7">ROUND(D22*(1+IRP23_Infl_Rate),2)</f>
        <v>155.55000000000001</v>
      </c>
      <c r="E23" s="111">
        <f t="shared" si="7"/>
        <v>50.83</v>
      </c>
      <c r="F23" s="165">
        <f t="shared" ref="F23:F37" si="8">$C$60</f>
        <v>0</v>
      </c>
      <c r="G23" s="112">
        <f t="shared" si="2"/>
        <v>489.87014402532651</v>
      </c>
      <c r="H23" s="111"/>
      <c r="I23" s="112">
        <f t="shared" si="3"/>
        <v>489.87014402532651</v>
      </c>
      <c r="J23" s="112">
        <f t="shared" si="4"/>
        <v>206.38</v>
      </c>
      <c r="K23" s="111">
        <f t="shared" si="5"/>
        <v>206.38</v>
      </c>
      <c r="P23" s="112"/>
      <c r="T23" s="284"/>
      <c r="U23" s="129"/>
      <c r="V23" s="129"/>
      <c r="W23" s="277"/>
      <c r="X23" s="284"/>
      <c r="Z23" s="129"/>
    </row>
    <row r="24" spans="2:28">
      <c r="B24" s="109">
        <f t="shared" si="0"/>
        <v>2030</v>
      </c>
      <c r="C24" s="113"/>
      <c r="D24" s="111">
        <f t="shared" si="7"/>
        <v>159.08000000000001</v>
      </c>
      <c r="E24" s="111">
        <f t="shared" si="7"/>
        <v>51.98</v>
      </c>
      <c r="F24" s="165">
        <f t="shared" si="8"/>
        <v>0</v>
      </c>
      <c r="G24" s="112">
        <f t="shared" si="2"/>
        <v>500.97874114732736</v>
      </c>
      <c r="H24" s="111"/>
      <c r="I24" s="112">
        <f t="shared" si="3"/>
        <v>500.97874114732736</v>
      </c>
      <c r="J24" s="112">
        <f t="shared" si="4"/>
        <v>211.06</v>
      </c>
      <c r="K24" s="111">
        <f t="shared" si="5"/>
        <v>211.06</v>
      </c>
      <c r="P24" s="112"/>
      <c r="S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si="7"/>
        <v>162.69</v>
      </c>
      <c r="E25" s="111">
        <f t="shared" si="7"/>
        <v>53.16</v>
      </c>
      <c r="F25" s="165">
        <f t="shared" si="8"/>
        <v>0</v>
      </c>
      <c r="G25" s="112">
        <f t="shared" si="2"/>
        <v>512.34843777433241</v>
      </c>
      <c r="H25" s="111"/>
      <c r="I25" s="112">
        <f t="shared" si="3"/>
        <v>512.34843777433241</v>
      </c>
      <c r="J25" s="112">
        <f t="shared" si="4"/>
        <v>215.85</v>
      </c>
      <c r="K25" s="111">
        <f t="shared" si="5"/>
        <v>215.85</v>
      </c>
      <c r="P25" s="112"/>
      <c r="S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si="7"/>
        <v>166.38</v>
      </c>
      <c r="E26" s="111">
        <f t="shared" si="7"/>
        <v>54.37</v>
      </c>
      <c r="F26" s="165">
        <f t="shared" si="8"/>
        <v>0</v>
      </c>
      <c r="G26" s="112">
        <f t="shared" si="2"/>
        <v>523.97923390634185</v>
      </c>
      <c r="H26" s="111"/>
      <c r="I26" s="112">
        <f t="shared" si="3"/>
        <v>523.97923390634185</v>
      </c>
      <c r="J26" s="112">
        <f t="shared" si="4"/>
        <v>220.75</v>
      </c>
      <c r="K26" s="111">
        <f t="shared" si="5"/>
        <v>220.75</v>
      </c>
      <c r="P26" s="112"/>
      <c r="S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si="7"/>
        <v>170.16</v>
      </c>
      <c r="E27" s="111">
        <f t="shared" si="7"/>
        <v>55.6</v>
      </c>
      <c r="F27" s="165">
        <f t="shared" si="8"/>
        <v>0</v>
      </c>
      <c r="G27" s="112">
        <f t="shared" si="2"/>
        <v>535.87112954335555</v>
      </c>
      <c r="H27" s="111"/>
      <c r="I27" s="112">
        <f t="shared" si="3"/>
        <v>535.87112954335555</v>
      </c>
      <c r="J27" s="112">
        <f t="shared" si="4"/>
        <v>225.76</v>
      </c>
      <c r="K27" s="111">
        <f t="shared" si="5"/>
        <v>225.76</v>
      </c>
      <c r="P27" s="112"/>
      <c r="S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si="7"/>
        <v>174.02</v>
      </c>
      <c r="E28" s="111">
        <f t="shared" si="7"/>
        <v>56.86</v>
      </c>
      <c r="F28" s="165">
        <f t="shared" si="8"/>
        <v>0</v>
      </c>
      <c r="G28" s="112">
        <f t="shared" si="2"/>
        <v>548.02412468537352</v>
      </c>
      <c r="H28" s="111"/>
      <c r="I28" s="112">
        <f t="shared" si="3"/>
        <v>548.02412468537352</v>
      </c>
      <c r="J28" s="112">
        <f t="shared" si="4"/>
        <v>230.88</v>
      </c>
      <c r="K28" s="111">
        <f t="shared" si="5"/>
        <v>230.88</v>
      </c>
      <c r="P28" s="112"/>
      <c r="S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si="7"/>
        <v>177.97</v>
      </c>
      <c r="E29" s="111">
        <f t="shared" si="7"/>
        <v>58.15</v>
      </c>
      <c r="F29" s="165">
        <f t="shared" si="8"/>
        <v>0</v>
      </c>
      <c r="G29" s="112">
        <f t="shared" si="2"/>
        <v>560.46195565103255</v>
      </c>
      <c r="H29" s="111"/>
      <c r="I29" s="112">
        <f t="shared" si="3"/>
        <v>560.46195565103255</v>
      </c>
      <c r="J29" s="112">
        <f t="shared" si="4"/>
        <v>236.12</v>
      </c>
      <c r="K29" s="111">
        <f t="shared" si="5"/>
        <v>236.12</v>
      </c>
      <c r="P29" s="112"/>
      <c r="S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si="7"/>
        <v>182.01</v>
      </c>
      <c r="E30" s="111">
        <f t="shared" si="7"/>
        <v>59.47</v>
      </c>
      <c r="F30" s="165">
        <f t="shared" si="8"/>
        <v>0</v>
      </c>
      <c r="G30" s="112">
        <f t="shared" si="2"/>
        <v>573.18462244033265</v>
      </c>
      <c r="H30" s="111"/>
      <c r="I30" s="112">
        <f t="shared" si="3"/>
        <v>573.18462244033265</v>
      </c>
      <c r="J30" s="112">
        <f t="shared" si="4"/>
        <v>241.48</v>
      </c>
      <c r="K30" s="111">
        <f t="shared" si="5"/>
        <v>241.48</v>
      </c>
      <c r="P30" s="112"/>
      <c r="S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si="7"/>
        <v>186.14</v>
      </c>
      <c r="E31" s="111">
        <f t="shared" si="7"/>
        <v>60.82</v>
      </c>
      <c r="F31" s="165">
        <f t="shared" si="8"/>
        <v>0</v>
      </c>
      <c r="G31" s="112">
        <f t="shared" si="2"/>
        <v>586.19212505327368</v>
      </c>
      <c r="H31" s="111"/>
      <c r="I31" s="112">
        <f t="shared" si="3"/>
        <v>586.19212505327368</v>
      </c>
      <c r="J31" s="112">
        <f t="shared" si="4"/>
        <v>246.96</v>
      </c>
      <c r="K31" s="111">
        <f t="shared" si="5"/>
        <v>246.95999999999998</v>
      </c>
      <c r="P31" s="112"/>
      <c r="S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si="7"/>
        <v>190.37</v>
      </c>
      <c r="E32" s="111">
        <f t="shared" si="7"/>
        <v>62.2</v>
      </c>
      <c r="F32" s="165">
        <f t="shared" si="8"/>
        <v>0</v>
      </c>
      <c r="G32" s="112">
        <f t="shared" si="2"/>
        <v>599.50819980849269</v>
      </c>
      <c r="H32" s="111"/>
      <c r="I32" s="112">
        <f t="shared" si="3"/>
        <v>599.50819980849269</v>
      </c>
      <c r="J32" s="112">
        <f t="shared" si="4"/>
        <v>252.57</v>
      </c>
      <c r="K32" s="111">
        <f t="shared" si="5"/>
        <v>252.57</v>
      </c>
      <c r="P32" s="112"/>
      <c r="S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si="7"/>
        <v>194.69</v>
      </c>
      <c r="E33" s="111">
        <f t="shared" si="7"/>
        <v>63.61</v>
      </c>
      <c r="F33" s="165">
        <f t="shared" si="8"/>
        <v>0</v>
      </c>
      <c r="G33" s="112">
        <f t="shared" si="2"/>
        <v>613.10911038735276</v>
      </c>
      <c r="H33" s="111"/>
      <c r="I33" s="112">
        <f t="shared" si="3"/>
        <v>613.10911038735276</v>
      </c>
      <c r="J33" s="112">
        <f t="shared" si="4"/>
        <v>258.3</v>
      </c>
      <c r="K33" s="111">
        <f t="shared" si="5"/>
        <v>258.3</v>
      </c>
      <c r="P33" s="112"/>
    </row>
    <row r="34" spans="2:16">
      <c r="B34" s="109">
        <f t="shared" si="0"/>
        <v>2040</v>
      </c>
      <c r="C34" s="113"/>
      <c r="D34" s="111">
        <f t="shared" si="7"/>
        <v>199.11</v>
      </c>
      <c r="E34" s="111">
        <f t="shared" si="7"/>
        <v>65.05</v>
      </c>
      <c r="F34" s="165">
        <f t="shared" si="8"/>
        <v>0</v>
      </c>
      <c r="G34" s="112">
        <f t="shared" si="2"/>
        <v>627.01859310849056</v>
      </c>
      <c r="H34" s="111"/>
      <c r="I34" s="112">
        <f t="shared" si="3"/>
        <v>627.01859310849056</v>
      </c>
      <c r="J34" s="112">
        <f t="shared" si="4"/>
        <v>264.16000000000003</v>
      </c>
      <c r="K34" s="111">
        <f t="shared" si="5"/>
        <v>264.16000000000003</v>
      </c>
      <c r="P34" s="112"/>
    </row>
    <row r="35" spans="2:16">
      <c r="B35" s="109">
        <f t="shared" si="0"/>
        <v>2041</v>
      </c>
      <c r="C35" s="113"/>
      <c r="D35" s="111">
        <f t="shared" si="7"/>
        <v>203.63</v>
      </c>
      <c r="E35" s="111">
        <f t="shared" si="7"/>
        <v>66.53</v>
      </c>
      <c r="F35" s="165">
        <f t="shared" si="8"/>
        <v>0</v>
      </c>
      <c r="G35" s="112">
        <f t="shared" si="2"/>
        <v>641.26038429054267</v>
      </c>
      <c r="H35" s="111"/>
      <c r="I35" s="112">
        <f t="shared" si="3"/>
        <v>641.26038429054267</v>
      </c>
      <c r="J35" s="112">
        <f t="shared" si="4"/>
        <v>270.16000000000003</v>
      </c>
      <c r="K35" s="111">
        <f t="shared" si="5"/>
        <v>270.15999999999997</v>
      </c>
      <c r="P35" s="112"/>
    </row>
    <row r="36" spans="2:16">
      <c r="B36" s="109">
        <f t="shared" si="0"/>
        <v>2042</v>
      </c>
      <c r="C36" s="113"/>
      <c r="D36" s="111">
        <f t="shared" si="7"/>
        <v>208.25</v>
      </c>
      <c r="E36" s="111">
        <f t="shared" si="7"/>
        <v>68.040000000000006</v>
      </c>
      <c r="F36" s="165">
        <f t="shared" si="8"/>
        <v>0</v>
      </c>
      <c r="G36" s="112">
        <f t="shared" si="2"/>
        <v>655.81074761487298</v>
      </c>
      <c r="H36" s="111"/>
      <c r="I36" s="112">
        <f t="shared" si="3"/>
        <v>655.81074761487298</v>
      </c>
      <c r="J36" s="112">
        <f t="shared" si="4"/>
        <v>276.29000000000002</v>
      </c>
      <c r="K36" s="111">
        <f t="shared" si="5"/>
        <v>276.29000000000002</v>
      </c>
      <c r="P36" s="112"/>
    </row>
    <row r="37" spans="2:16">
      <c r="B37" s="109">
        <f t="shared" si="0"/>
        <v>2043</v>
      </c>
      <c r="C37" s="113"/>
      <c r="D37" s="111">
        <f t="shared" si="7"/>
        <v>212.98</v>
      </c>
      <c r="E37" s="111">
        <f t="shared" si="7"/>
        <v>69.58</v>
      </c>
      <c r="F37" s="165">
        <f t="shared" si="8"/>
        <v>0</v>
      </c>
      <c r="G37" s="112">
        <f t="shared" si="2"/>
        <v>670.69341940011759</v>
      </c>
      <c r="H37" s="111"/>
      <c r="I37" s="112">
        <f t="shared" si="3"/>
        <v>670.69341940011759</v>
      </c>
      <c r="J37" s="112">
        <f t="shared" si="4"/>
        <v>282.56</v>
      </c>
      <c r="K37" s="111">
        <f t="shared" si="5"/>
        <v>282.56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-PMT(Discount_Rate,COUNT(I22:I37),NPV(Discount_Rate,I22:I37))</f>
        <v>552.49504833383583</v>
      </c>
      <c r="J39" s="287">
        <f>-PMT(Discount_Rate,COUNT(J22:J37),NPV(Discount_Rate,J22:J37))</f>
        <v>232.76309457540572</v>
      </c>
      <c r="K39" s="287">
        <f>-PMT(Discount_Rate,COUNT(K22:K37),NPV(Discount_Rate,K22:K37))</f>
        <v>232.76357921752003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4.8%)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9">
      <c r="C49" s="119" t="str">
        <f>J7</f>
        <v>(h)</v>
      </c>
      <c r="D49" t="str">
        <f>D44</f>
        <v>Plant Costs  - 2023 IRP - Table 7.1 &amp; 7.2</v>
      </c>
    </row>
    <row r="50" spans="2:19">
      <c r="C50" s="119"/>
      <c r="D50" s="112"/>
    </row>
    <row r="51" spans="2:19" ht="13.5" thickBot="1"/>
    <row r="52" spans="2:19" ht="13.5" thickBot="1">
      <c r="C52" s="38" t="str">
        <f>B2&amp;" - "&amp;B3</f>
        <v>BAT.PX.WYE._.ITC.DJ+Wyodak - 5%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9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9">
      <c r="P54" s="102" t="s">
        <v>98</v>
      </c>
      <c r="Q54" s="102">
        <v>2028</v>
      </c>
      <c r="S54" s="273" t="s">
        <v>332</v>
      </c>
    </row>
    <row r="55" spans="2:19">
      <c r="B55" t="s">
        <v>152</v>
      </c>
      <c r="C55" s="267"/>
      <c r="D55" s="102" t="s">
        <v>65</v>
      </c>
      <c r="O55" s="226">
        <v>400</v>
      </c>
      <c r="P55" s="102" t="s">
        <v>32</v>
      </c>
      <c r="S55" s="273"/>
    </row>
    <row r="56" spans="2:19">
      <c r="B56" t="s">
        <v>152</v>
      </c>
      <c r="C56" s="126"/>
      <c r="D56" s="102" t="s">
        <v>68</v>
      </c>
    </row>
    <row r="57" spans="2:19" ht="24" customHeight="1">
      <c r="B57"/>
      <c r="C57" s="129"/>
      <c r="D57" s="102" t="s">
        <v>99</v>
      </c>
      <c r="Q57" s="175"/>
      <c r="R57" s="175"/>
    </row>
    <row r="58" spans="2:19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9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9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K60" s="270"/>
      <c r="L60" s="270"/>
      <c r="M60" s="270"/>
      <c r="O60" s="127"/>
    </row>
    <row r="61" spans="2:19">
      <c r="B61"/>
      <c r="C61" s="166"/>
      <c r="K61" s="270"/>
      <c r="L61" s="270"/>
      <c r="M61" s="270"/>
      <c r="O61" s="270"/>
    </row>
    <row r="62" spans="2:19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9">
      <c r="C63" s="272">
        <f>IRP_LTReport!F93*1000/('2028_BAT.PX.WYE._.ITC.DJ+Wyodak'!O55*8760)</f>
        <v>4.8093073272445802E-2</v>
      </c>
      <c r="D63" s="102" t="s">
        <v>37</v>
      </c>
    </row>
    <row r="64" spans="2:19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69990-68B4-4191-8274-DF79FAC0EFD4}">
  <sheetPr>
    <tabColor rgb="FFFFC000"/>
    <pageSetUpPr fitToPage="1"/>
  </sheetPr>
  <dimension ref="B1:AB91"/>
  <sheetViews>
    <sheetView topLeftCell="A7" zoomScale="80" zoomScaleNormal="80" workbookViewId="0">
      <selection activeCell="S54" sqref="S54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4.83203125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23.5" style="102" customWidth="1"/>
    <col min="19" max="19" width="18.1640625" style="102" customWidth="1"/>
    <col min="20" max="20" width="13.33203125" style="102" customWidth="1"/>
    <col min="21" max="21" width="18.1640625" style="102" customWidth="1"/>
    <col min="22" max="22" width="12.83203125" style="102" customWidth="1"/>
    <col min="23" max="23" width="15.33203125" style="102" customWidth="1"/>
    <col min="24" max="25" width="9.33203125" style="102"/>
    <col min="26" max="26" width="13.33203125" style="102" customWidth="1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S54</f>
        <v>BAT.PX.BOR._.ITC.Lithium-ion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2%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S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Q6" s="102" t="s">
        <v>277</v>
      </c>
      <c r="S6" s="102" t="s">
        <v>265</v>
      </c>
      <c r="V6" s="129"/>
      <c r="W6" s="129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  <c r="Q7" s="115" t="s">
        <v>232</v>
      </c>
      <c r="R7" s="129" t="s">
        <v>275</v>
      </c>
      <c r="S7" s="102" t="s">
        <v>238</v>
      </c>
      <c r="T7" s="129" t="s">
        <v>276</v>
      </c>
      <c r="W7" s="102" t="s">
        <v>247</v>
      </c>
    </row>
    <row r="8" spans="2:26" ht="21.75" customHeight="1">
      <c r="Q8" s="115"/>
      <c r="S8" s="102" t="s">
        <v>273</v>
      </c>
      <c r="W8" s="115" t="s">
        <v>232</v>
      </c>
    </row>
    <row r="9" spans="2:26" ht="15.75">
      <c r="B9" s="39" t="str">
        <f>C52</f>
        <v>BAT.PX.BOR._.ITC.Lithium-ion - 2%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/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/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/>
      <c r="O14" s="114"/>
      <c r="P14" s="265"/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/>
      <c r="O15" s="266"/>
      <c r="P15" s="265"/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/>
      <c r="Q16" s="274">
        <v>1728.6589634669394</v>
      </c>
      <c r="R16" s="284">
        <f>S16-Q16</f>
        <v>-6.1889634669394127</v>
      </c>
      <c r="S16" s="113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/>
      <c r="O17" s="114"/>
      <c r="Q17" s="277"/>
      <c r="R17" s="277"/>
      <c r="S17" s="102">
        <f>S16*IRP_PTC_ESC!AJ3</f>
        <v>1809.626982</v>
      </c>
      <c r="W17" s="277">
        <f t="shared" ref="W17:W22" si="1"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/>
      <c r="P18" s="263"/>
      <c r="Q18" s="277"/>
      <c r="R18" s="277"/>
      <c r="S18" s="102">
        <f>S17*IRP_PTC_ESC!AJ4</f>
        <v>1809.626982</v>
      </c>
      <c r="W18" s="277">
        <f t="shared" si="1"/>
        <v>42.159134777192428</v>
      </c>
      <c r="AB18" s="227"/>
    </row>
    <row r="19" spans="2:28">
      <c r="B19" s="109">
        <f t="shared" si="0"/>
        <v>2025</v>
      </c>
      <c r="C19" s="113"/>
      <c r="D19" s="111"/>
      <c r="E19" s="111"/>
      <c r="F19" s="111"/>
      <c r="G19" s="112"/>
      <c r="H19" s="111"/>
      <c r="I19" s="112"/>
      <c r="J19" s="112"/>
      <c r="K19" s="111"/>
      <c r="P19" s="263"/>
      <c r="Q19" s="277"/>
      <c r="R19" s="277"/>
      <c r="S19" s="102">
        <f>S18*IRP_PTC_ESC!AJ5</f>
        <v>1809.626982</v>
      </c>
      <c r="T19" s="284"/>
      <c r="W19" s="277">
        <f t="shared" si="1"/>
        <v>43.116147136824793</v>
      </c>
      <c r="X19" s="284"/>
    </row>
    <row r="20" spans="2:28">
      <c r="B20" s="109">
        <f t="shared" si="0"/>
        <v>2026</v>
      </c>
      <c r="C20" s="113"/>
      <c r="D20" s="111"/>
      <c r="E20" s="111"/>
      <c r="F20" s="165"/>
      <c r="G20" s="112"/>
      <c r="H20" s="111"/>
      <c r="I20" s="112"/>
      <c r="J20" s="112"/>
      <c r="K20" s="111"/>
      <c r="P20" s="112"/>
      <c r="S20" s="102">
        <f>S19*IRP_PTC_ESC!AJ6</f>
        <v>1809.626982</v>
      </c>
      <c r="T20" s="284"/>
      <c r="V20" s="129"/>
      <c r="W20" s="277">
        <f t="shared" si="1"/>
        <v>44.094883677025123</v>
      </c>
    </row>
    <row r="21" spans="2:28">
      <c r="B21" s="109">
        <f t="shared" si="0"/>
        <v>2027</v>
      </c>
      <c r="C21" s="113"/>
      <c r="D21" s="111"/>
      <c r="E21" s="111"/>
      <c r="F21" s="111"/>
      <c r="G21" s="112"/>
      <c r="H21" s="111"/>
      <c r="I21" s="112"/>
      <c r="J21" s="112"/>
      <c r="K21" s="111"/>
      <c r="P21" s="112"/>
      <c r="S21" s="102">
        <f>S20*IRP_PTC_ESC!AJ7</f>
        <v>1809.626982</v>
      </c>
      <c r="T21" s="284"/>
      <c r="U21" s="129"/>
      <c r="V21" s="129"/>
      <c r="W21" s="277">
        <f t="shared" si="1"/>
        <v>45.095837536692414</v>
      </c>
      <c r="X21" s="129"/>
      <c r="Y21" s="129"/>
    </row>
    <row r="22" spans="2:28">
      <c r="B22" s="109">
        <f t="shared" si="0"/>
        <v>2028</v>
      </c>
      <c r="C22" s="274">
        <f>IRP_LTReport!R92</f>
        <v>1809.62707136155</v>
      </c>
      <c r="D22" s="111">
        <f>C22*$C$62</f>
        <v>152.09915534793828</v>
      </c>
      <c r="E22" s="285">
        <f>IRP_LTReport!L92</f>
        <v>49.70580821917833</v>
      </c>
      <c r="F22" s="165">
        <f>$C$60</f>
        <v>61.962079429221234</v>
      </c>
      <c r="G22" s="112">
        <f t="shared" ref="G22" si="2">(D22+E22+F22)/(8.76*$C$63)</f>
        <v>1801.5151157091484</v>
      </c>
      <c r="H22" s="111"/>
      <c r="I22" s="112">
        <f t="shared" ref="I22" si="3">(G22+H22)</f>
        <v>1801.5151157091484</v>
      </c>
      <c r="J22" s="112">
        <f t="shared" ref="J22" si="4">ROUND(I22*$C$63*8.76,2)</f>
        <v>263.77</v>
      </c>
      <c r="K22" s="111">
        <f t="shared" ref="K22" si="5">(D22+E22+F22)</f>
        <v>263.76704299633786</v>
      </c>
      <c r="O22" s="102">
        <f>K22-'2028_BAT.PX.BOR._.ITC.Lithium-i'!K22</f>
        <v>0</v>
      </c>
      <c r="P22" s="112"/>
      <c r="S22" s="102">
        <f>S21*IRP_PTC_ESC!AJ8</f>
        <v>1809.626982</v>
      </c>
      <c r="T22" s="284">
        <f t="shared" ref="T22" si="6">S22-C22</f>
        <v>-8.9361549953537178E-5</v>
      </c>
      <c r="U22" s="129"/>
      <c r="V22" s="129"/>
      <c r="W22" s="277">
        <f t="shared" si="1"/>
        <v>46.119513048978668</v>
      </c>
      <c r="X22" s="284">
        <f>W22-E22</f>
        <v>-3.5862951701996622</v>
      </c>
      <c r="Y22" s="273" t="s">
        <v>278</v>
      </c>
      <c r="Z22" s="129"/>
    </row>
    <row r="23" spans="2:28">
      <c r="B23" s="109">
        <f t="shared" si="0"/>
        <v>2029</v>
      </c>
      <c r="C23" s="113"/>
      <c r="D23" s="111">
        <f t="shared" ref="D23:E37" si="7">ROUND(D22*(1+IRP23_Infl_Rate),2)</f>
        <v>155.55000000000001</v>
      </c>
      <c r="E23" s="111">
        <f t="shared" si="7"/>
        <v>50.83</v>
      </c>
      <c r="F23" s="165">
        <f t="shared" ref="F23:F37" si="8">$C$60</f>
        <v>61.962079429221234</v>
      </c>
      <c r="G23" s="112">
        <f t="shared" ref="G23:G37" si="9">(D23+E23+F23)/(8.76*$C$63)</f>
        <v>1832.762375393801</v>
      </c>
      <c r="H23" s="111"/>
      <c r="I23" s="112">
        <f t="shared" ref="I23:I37" si="10">(G23+H23)</f>
        <v>1832.762375393801</v>
      </c>
      <c r="J23" s="112">
        <f t="shared" ref="J23:J37" si="11">ROUND(I23*$C$63*8.76,2)</f>
        <v>268.33999999999997</v>
      </c>
      <c r="K23" s="111">
        <f t="shared" ref="K23:K37" si="12">(D23+E23+F23)</f>
        <v>268.34207942922126</v>
      </c>
      <c r="O23" s="102">
        <f>K23-'2028_BAT.PX.BOR._.ITC.Lithium-i'!K23</f>
        <v>0</v>
      </c>
      <c r="P23" s="112"/>
      <c r="T23" s="284"/>
      <c r="U23" s="129"/>
      <c r="V23" s="129"/>
      <c r="W23" s="277"/>
      <c r="X23" s="284"/>
      <c r="Z23" s="129"/>
    </row>
    <row r="24" spans="2:28">
      <c r="B24" s="109">
        <f t="shared" si="0"/>
        <v>2030</v>
      </c>
      <c r="C24" s="113"/>
      <c r="D24" s="111">
        <f t="shared" si="7"/>
        <v>159.08000000000001</v>
      </c>
      <c r="E24" s="111">
        <f t="shared" si="7"/>
        <v>51.98</v>
      </c>
      <c r="F24" s="165">
        <f t="shared" si="8"/>
        <v>61.962079429221234</v>
      </c>
      <c r="G24" s="112">
        <f t="shared" si="9"/>
        <v>1864.7265307550747</v>
      </c>
      <c r="H24" s="111"/>
      <c r="I24" s="112">
        <f t="shared" si="10"/>
        <v>1864.7265307550747</v>
      </c>
      <c r="J24" s="112">
        <f t="shared" si="11"/>
        <v>273.02</v>
      </c>
      <c r="K24" s="111">
        <f t="shared" si="12"/>
        <v>273.02207942922121</v>
      </c>
      <c r="O24" s="102">
        <f>K24-'2028_BAT.PX.BOR._.ITC.Lithium-i'!K24</f>
        <v>0</v>
      </c>
      <c r="P24" s="112"/>
      <c r="S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si="7"/>
        <v>162.69</v>
      </c>
      <c r="E25" s="111">
        <f t="shared" si="7"/>
        <v>53.16</v>
      </c>
      <c r="F25" s="165">
        <f t="shared" si="8"/>
        <v>61.962079429221234</v>
      </c>
      <c r="G25" s="112">
        <f t="shared" si="9"/>
        <v>1897.4419803662936</v>
      </c>
      <c r="H25" s="111"/>
      <c r="I25" s="112">
        <f t="shared" si="10"/>
        <v>1897.4419803662936</v>
      </c>
      <c r="J25" s="112">
        <f t="shared" si="11"/>
        <v>277.81</v>
      </c>
      <c r="K25" s="111">
        <f t="shared" si="12"/>
        <v>277.81207942922123</v>
      </c>
      <c r="O25" s="102">
        <f>K25-'2028_BAT.PX.BOR._.ITC.Lithium-i'!K25</f>
        <v>0</v>
      </c>
      <c r="P25" s="112"/>
      <c r="S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si="7"/>
        <v>166.38</v>
      </c>
      <c r="E26" s="111">
        <f t="shared" si="7"/>
        <v>54.37</v>
      </c>
      <c r="F26" s="165">
        <f t="shared" si="8"/>
        <v>61.962079429221234</v>
      </c>
      <c r="G26" s="112">
        <f t="shared" si="9"/>
        <v>1930.9087242274568</v>
      </c>
      <c r="H26" s="111"/>
      <c r="I26" s="112">
        <f t="shared" si="10"/>
        <v>1930.9087242274568</v>
      </c>
      <c r="J26" s="112">
        <f t="shared" si="11"/>
        <v>282.70999999999998</v>
      </c>
      <c r="K26" s="111">
        <f t="shared" si="12"/>
        <v>282.71207942922126</v>
      </c>
      <c r="O26" s="102">
        <f>K26-'2028_BAT.PX.BOR._.ITC.Lithium-i'!K26</f>
        <v>0</v>
      </c>
      <c r="P26" s="112"/>
      <c r="S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si="7"/>
        <v>170.16</v>
      </c>
      <c r="E27" s="111">
        <f t="shared" si="7"/>
        <v>55.6</v>
      </c>
      <c r="F27" s="165">
        <f t="shared" si="8"/>
        <v>61.962079429221234</v>
      </c>
      <c r="G27" s="112">
        <f t="shared" si="9"/>
        <v>1965.1267623385643</v>
      </c>
      <c r="H27" s="111"/>
      <c r="I27" s="112">
        <f t="shared" si="10"/>
        <v>1965.1267623385643</v>
      </c>
      <c r="J27" s="112">
        <f t="shared" si="11"/>
        <v>287.72000000000003</v>
      </c>
      <c r="K27" s="111">
        <f t="shared" si="12"/>
        <v>287.72207942922125</v>
      </c>
      <c r="O27" s="102">
        <f>K27-'2028_BAT.PX.BOR._.ITC.Lithium-i'!K27</f>
        <v>0</v>
      </c>
      <c r="P27" s="112"/>
      <c r="S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si="7"/>
        <v>174.02</v>
      </c>
      <c r="E28" s="111">
        <f t="shared" si="7"/>
        <v>56.86</v>
      </c>
      <c r="F28" s="165">
        <f t="shared" si="8"/>
        <v>61.962079429221234</v>
      </c>
      <c r="G28" s="112">
        <f t="shared" si="9"/>
        <v>2000.0960946996163</v>
      </c>
      <c r="H28" s="111"/>
      <c r="I28" s="112">
        <f t="shared" si="10"/>
        <v>2000.0960946996163</v>
      </c>
      <c r="J28" s="112">
        <f t="shared" si="11"/>
        <v>292.83999999999997</v>
      </c>
      <c r="K28" s="111">
        <f t="shared" si="12"/>
        <v>292.84207942922126</v>
      </c>
      <c r="O28" s="102">
        <f>K28-'2028_BAT.PX.BOR._.ITC.Lithium-i'!K28</f>
        <v>0</v>
      </c>
      <c r="P28" s="112"/>
      <c r="S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si="7"/>
        <v>177.97</v>
      </c>
      <c r="E29" s="111">
        <f t="shared" si="7"/>
        <v>58.15</v>
      </c>
      <c r="F29" s="165">
        <f t="shared" si="8"/>
        <v>61.962079429221234</v>
      </c>
      <c r="G29" s="112">
        <f t="shared" si="9"/>
        <v>2035.8850207878806</v>
      </c>
      <c r="H29" s="111"/>
      <c r="I29" s="112">
        <f t="shared" si="10"/>
        <v>2035.8850207878806</v>
      </c>
      <c r="J29" s="112">
        <f t="shared" si="11"/>
        <v>298.08</v>
      </c>
      <c r="K29" s="111">
        <f t="shared" si="12"/>
        <v>298.08207942922127</v>
      </c>
      <c r="O29" s="102">
        <f>K29-'2028_BAT.PX.BOR._.ITC.Lithium-i'!K29</f>
        <v>0</v>
      </c>
      <c r="P29" s="112"/>
      <c r="S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si="7"/>
        <v>182.01</v>
      </c>
      <c r="E30" s="111">
        <f t="shared" si="7"/>
        <v>59.47</v>
      </c>
      <c r="F30" s="165">
        <f t="shared" si="8"/>
        <v>61.962079429221234</v>
      </c>
      <c r="G30" s="112">
        <f t="shared" si="9"/>
        <v>2072.4935406033569</v>
      </c>
      <c r="H30" s="111"/>
      <c r="I30" s="112">
        <f t="shared" si="10"/>
        <v>2072.4935406033569</v>
      </c>
      <c r="J30" s="112">
        <f t="shared" si="11"/>
        <v>303.44</v>
      </c>
      <c r="K30" s="111">
        <f t="shared" si="12"/>
        <v>303.44207942922122</v>
      </c>
      <c r="O30" s="102">
        <f>K30-'2028_BAT.PX.BOR._.ITC.Lithium-i'!K30</f>
        <v>0</v>
      </c>
      <c r="P30" s="112"/>
      <c r="S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si="7"/>
        <v>186.14</v>
      </c>
      <c r="E31" s="111">
        <f t="shared" si="7"/>
        <v>60.82</v>
      </c>
      <c r="F31" s="165">
        <f t="shared" si="8"/>
        <v>61.962079429221234</v>
      </c>
      <c r="G31" s="112">
        <f t="shared" si="9"/>
        <v>2109.9216541460451</v>
      </c>
      <c r="H31" s="111"/>
      <c r="I31" s="112">
        <f t="shared" si="10"/>
        <v>2109.9216541460451</v>
      </c>
      <c r="J31" s="112">
        <f t="shared" si="11"/>
        <v>308.92</v>
      </c>
      <c r="K31" s="111">
        <f t="shared" si="12"/>
        <v>308.92207942922118</v>
      </c>
      <c r="O31" s="102">
        <f>K31-'2028_BAT.PX.BOR._.ITC.Lithium-i'!K31</f>
        <v>0</v>
      </c>
      <c r="P31" s="112"/>
      <c r="S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si="7"/>
        <v>190.37</v>
      </c>
      <c r="E32" s="111">
        <f t="shared" si="7"/>
        <v>62.2</v>
      </c>
      <c r="F32" s="165">
        <f t="shared" si="8"/>
        <v>61.962079429221234</v>
      </c>
      <c r="G32" s="112">
        <f t="shared" si="9"/>
        <v>2148.2376608932132</v>
      </c>
      <c r="H32" s="111"/>
      <c r="I32" s="112">
        <f t="shared" si="10"/>
        <v>2148.2376608932132</v>
      </c>
      <c r="J32" s="112">
        <f t="shared" si="11"/>
        <v>314.52999999999997</v>
      </c>
      <c r="K32" s="111">
        <f t="shared" si="12"/>
        <v>314.5320794292212</v>
      </c>
      <c r="O32" s="102">
        <f>K32-'2028_BAT.PX.BOR._.ITC.Lithium-i'!K32</f>
        <v>0</v>
      </c>
      <c r="P32" s="112"/>
      <c r="S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si="7"/>
        <v>194.69</v>
      </c>
      <c r="E33" s="111">
        <f t="shared" si="7"/>
        <v>63.61</v>
      </c>
      <c r="F33" s="165">
        <f t="shared" si="8"/>
        <v>61.962079429221234</v>
      </c>
      <c r="G33" s="112">
        <f t="shared" si="9"/>
        <v>2187.3732613675938</v>
      </c>
      <c r="H33" s="111"/>
      <c r="I33" s="112">
        <f t="shared" si="10"/>
        <v>2187.3732613675938</v>
      </c>
      <c r="J33" s="112">
        <f t="shared" si="11"/>
        <v>320.26</v>
      </c>
      <c r="K33" s="111">
        <f t="shared" si="12"/>
        <v>320.26207942922122</v>
      </c>
      <c r="O33" s="102">
        <f>K33-'2028_BAT.PX.BOR._.ITC.Lithium-i'!K33</f>
        <v>0</v>
      </c>
      <c r="P33" s="112"/>
    </row>
    <row r="34" spans="2:16">
      <c r="B34" s="109">
        <f t="shared" si="0"/>
        <v>2040</v>
      </c>
      <c r="C34" s="113"/>
      <c r="D34" s="111">
        <f t="shared" si="7"/>
        <v>199.11</v>
      </c>
      <c r="E34" s="111">
        <f t="shared" si="7"/>
        <v>65.05</v>
      </c>
      <c r="F34" s="165">
        <f t="shared" si="8"/>
        <v>61.962079429221234</v>
      </c>
      <c r="G34" s="112">
        <f t="shared" si="9"/>
        <v>2227.3967550464545</v>
      </c>
      <c r="H34" s="111"/>
      <c r="I34" s="112">
        <f t="shared" si="10"/>
        <v>2227.3967550464545</v>
      </c>
      <c r="J34" s="112">
        <f t="shared" si="11"/>
        <v>326.12</v>
      </c>
      <c r="K34" s="111">
        <f t="shared" si="12"/>
        <v>326.12207942922123</v>
      </c>
      <c r="O34" s="102">
        <f>K34-'2028_BAT.PX.BOR._.ITC.Lithium-i'!K34</f>
        <v>0</v>
      </c>
      <c r="P34" s="112"/>
    </row>
    <row r="35" spans="2:16">
      <c r="B35" s="109">
        <f t="shared" si="0"/>
        <v>2041</v>
      </c>
      <c r="C35" s="113"/>
      <c r="D35" s="111">
        <f t="shared" si="7"/>
        <v>203.63</v>
      </c>
      <c r="E35" s="111">
        <f t="shared" si="7"/>
        <v>66.53</v>
      </c>
      <c r="F35" s="165">
        <f t="shared" si="8"/>
        <v>61.962079429221234</v>
      </c>
      <c r="G35" s="112">
        <f t="shared" si="9"/>
        <v>2268.3764414070624</v>
      </c>
      <c r="H35" s="111"/>
      <c r="I35" s="112">
        <f t="shared" si="10"/>
        <v>2268.3764414070624</v>
      </c>
      <c r="J35" s="112">
        <f t="shared" si="11"/>
        <v>332.12</v>
      </c>
      <c r="K35" s="111">
        <f t="shared" si="12"/>
        <v>332.12207942922123</v>
      </c>
      <c r="O35" s="102">
        <f>K35-'2028_BAT.PX.BOR._.ITC.Lithium-i'!K35</f>
        <v>0</v>
      </c>
      <c r="P35" s="112"/>
    </row>
    <row r="36" spans="2:16">
      <c r="B36" s="109">
        <f t="shared" si="0"/>
        <v>2042</v>
      </c>
      <c r="C36" s="113"/>
      <c r="D36" s="111">
        <f t="shared" si="7"/>
        <v>208.25</v>
      </c>
      <c r="E36" s="111">
        <f t="shared" si="7"/>
        <v>68.040000000000006</v>
      </c>
      <c r="F36" s="165">
        <f t="shared" si="8"/>
        <v>61.962079429221234</v>
      </c>
      <c r="G36" s="112">
        <f t="shared" si="9"/>
        <v>2310.2440209721499</v>
      </c>
      <c r="H36" s="111"/>
      <c r="I36" s="112">
        <f t="shared" si="10"/>
        <v>2310.2440209721499</v>
      </c>
      <c r="J36" s="112">
        <f t="shared" si="11"/>
        <v>338.25</v>
      </c>
      <c r="K36" s="111">
        <f t="shared" si="12"/>
        <v>338.25207942922123</v>
      </c>
      <c r="O36" s="102">
        <f>K36-'2028_BAT.PX.BOR._.ITC.Lithium-i'!K36</f>
        <v>0</v>
      </c>
      <c r="P36" s="112"/>
    </row>
    <row r="37" spans="2:16">
      <c r="B37" s="109">
        <f t="shared" si="0"/>
        <v>2043</v>
      </c>
      <c r="C37" s="113"/>
      <c r="D37" s="111">
        <f t="shared" si="7"/>
        <v>212.98</v>
      </c>
      <c r="E37" s="111">
        <f t="shared" si="7"/>
        <v>69.58</v>
      </c>
      <c r="F37" s="165">
        <f t="shared" si="8"/>
        <v>61.962079429221234</v>
      </c>
      <c r="G37" s="112">
        <f t="shared" si="9"/>
        <v>2353.0677932189851</v>
      </c>
      <c r="H37" s="111"/>
      <c r="I37" s="112">
        <f t="shared" si="10"/>
        <v>2353.0677932189851</v>
      </c>
      <c r="J37" s="112">
        <f t="shared" si="11"/>
        <v>344.52</v>
      </c>
      <c r="K37" s="111">
        <f t="shared" si="12"/>
        <v>344.52207942922121</v>
      </c>
      <c r="O37" s="102">
        <f>K37-'2028_BAT.PX.BOR._.ITC.Lithium-i'!K37</f>
        <v>0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-PMT(Discount_Rate,COUNT(I22:I37),NPV(Discount_Rate,I22:I37))</f>
        <v>2012.9608422945064</v>
      </c>
      <c r="J39" s="287">
        <f>-PMT(Discount_Rate,COUNT(J22:J37),NPV(Discount_Rate,J22:J37))</f>
        <v>294.72407097423974</v>
      </c>
      <c r="K39" s="287">
        <f>-PMT(Discount_Rate,COUNT(K22:K37),NPV(Discount_Rate,K22:K37))</f>
        <v>294.72565864674141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1.7%)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9">
      <c r="C49" s="119" t="str">
        <f>J7</f>
        <v>(h)</v>
      </c>
      <c r="D49" t="str">
        <f>D44</f>
        <v>Plant Costs  - 2023 IRP - Table 7.1 &amp; 7.2</v>
      </c>
    </row>
    <row r="50" spans="2:19">
      <c r="C50" s="119"/>
      <c r="D50" s="112"/>
    </row>
    <row r="51" spans="2:19" ht="13.5" thickBot="1"/>
    <row r="52" spans="2:19" ht="13.5" thickBot="1">
      <c r="C52" s="38" t="str">
        <f>B2&amp;" - "&amp;B3</f>
        <v>BAT.PX.BOR._.ITC.Lithium-ion - 2%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9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9">
      <c r="P54" s="102" t="s">
        <v>98</v>
      </c>
      <c r="Q54" s="102">
        <v>2028</v>
      </c>
      <c r="S54" s="273" t="s">
        <v>330</v>
      </c>
    </row>
    <row r="55" spans="2:19">
      <c r="B55" t="s">
        <v>152</v>
      </c>
      <c r="C55" s="267"/>
      <c r="D55" s="102" t="s">
        <v>65</v>
      </c>
      <c r="O55" s="226">
        <v>600</v>
      </c>
      <c r="P55" s="102" t="s">
        <v>32</v>
      </c>
      <c r="S55" s="273"/>
    </row>
    <row r="56" spans="2:19">
      <c r="B56" t="s">
        <v>152</v>
      </c>
      <c r="C56" s="126"/>
      <c r="D56" s="102" t="s">
        <v>68</v>
      </c>
    </row>
    <row r="57" spans="2:19" ht="24" customHeight="1">
      <c r="B57"/>
      <c r="C57" s="129"/>
      <c r="D57" s="102" t="s">
        <v>99</v>
      </c>
      <c r="Q57" s="175"/>
      <c r="R57" s="175"/>
    </row>
    <row r="58" spans="2:19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9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9">
      <c r="B60" s="250" t="str">
        <f>LEFT(RIGHT(INDEX('Table 3 TransCost'!$39:$39,1,MATCH(F60,'Table 3 TransCost'!$4:$4,0)),6),5)</f>
        <v>2026$</v>
      </c>
      <c r="C60" s="223">
        <f>IFERROR(INDEX('Table 3 TransCost'!$39:$39,1,MATCH(F60,'Table 3 TransCost'!$4:$4,0)+2),0)</f>
        <v>61.962079429221234</v>
      </c>
      <c r="D60" s="102" t="s">
        <v>137</v>
      </c>
      <c r="F60" s="102" t="s">
        <v>371</v>
      </c>
      <c r="K60" s="270"/>
      <c r="L60" s="270"/>
      <c r="M60" s="270"/>
      <c r="O60" s="127"/>
    </row>
    <row r="61" spans="2:19">
      <c r="B61"/>
      <c r="C61" s="166"/>
      <c r="K61" s="270"/>
      <c r="L61" s="270"/>
      <c r="M61" s="270"/>
      <c r="O61" s="270"/>
    </row>
    <row r="62" spans="2:19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9">
      <c r="C63" s="272">
        <f>IRP_LTReport!F91*1000/('2028_BAT.PX.BOR._.ITC.Lithium-i'!O55*8760)</f>
        <v>1.6713927501107298E-2</v>
      </c>
      <c r="D63" s="102" t="s">
        <v>37</v>
      </c>
    </row>
    <row r="64" spans="2:19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59B16-3502-460D-BE26-F2AD869ECDA4}">
  <sheetPr>
    <tabColor rgb="FFFFC000"/>
    <pageSetUpPr fitToPage="1"/>
  </sheetPr>
  <dimension ref="B1:AB91"/>
  <sheetViews>
    <sheetView topLeftCell="A9" zoomScale="70" zoomScaleNormal="70" workbookViewId="0">
      <selection activeCell="O22" sqref="O22:O40"/>
    </sheetView>
  </sheetViews>
  <sheetFormatPr defaultColWidth="9.33203125" defaultRowHeight="12.75"/>
  <cols>
    <col min="1" max="1" width="13.33203125" style="102" customWidth="1"/>
    <col min="2" max="2" width="15" style="102" customWidth="1"/>
    <col min="3" max="3" width="12.33203125" style="102" bestFit="1" customWidth="1"/>
    <col min="4" max="4" width="19.83203125" style="102" customWidth="1"/>
    <col min="5" max="5" width="11.1640625" style="102" customWidth="1"/>
    <col min="6" max="6" width="13.5" style="102" customWidth="1"/>
    <col min="7" max="7" width="12.6640625" style="102" customWidth="1"/>
    <col min="8" max="8" width="9.5" style="102" bestFit="1" customWidth="1"/>
    <col min="9" max="9" width="12.6640625" style="102" customWidth="1"/>
    <col min="10" max="10" width="14" style="102" customWidth="1"/>
    <col min="11" max="11" width="13.33203125" style="102" customWidth="1"/>
    <col min="12" max="12" width="3.1640625" style="102" customWidth="1"/>
    <col min="13" max="13" width="15" style="102" hidden="1" customWidth="1"/>
    <col min="14" max="14" width="5.6640625" style="102" customWidth="1"/>
    <col min="15" max="15" width="9.33203125" style="102" customWidth="1"/>
    <col min="16" max="17" width="16" style="102" customWidth="1"/>
    <col min="18" max="18" width="23.5" style="102" customWidth="1"/>
    <col min="19" max="19" width="18.1640625" style="102" customWidth="1"/>
    <col min="20" max="20" width="13.33203125" style="102" customWidth="1"/>
    <col min="21" max="21" width="18.1640625" style="102" customWidth="1"/>
    <col min="22" max="22" width="12.83203125" style="102" customWidth="1"/>
    <col min="23" max="23" width="15.33203125" style="102" customWidth="1"/>
    <col min="24" max="25" width="9.33203125" style="102"/>
    <col min="26" max="26" width="13.33203125" style="102" customWidth="1"/>
    <col min="27" max="27" width="13.6640625" style="102" customWidth="1"/>
    <col min="28" max="28" width="12" style="102" bestFit="1" customWidth="1"/>
    <col min="29" max="16384" width="9.33203125" style="102"/>
  </cols>
  <sheetData>
    <row r="1" spans="2:26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</row>
    <row r="2" spans="2:26" ht="15.75">
      <c r="B2" s="100" t="str">
        <f>S54</f>
        <v>BAT.PX.UTN._.ITC.Lithium-ion</v>
      </c>
      <c r="C2" s="101"/>
      <c r="D2" s="101"/>
      <c r="E2" s="101"/>
      <c r="F2" s="101"/>
      <c r="G2" s="101"/>
      <c r="H2" s="101"/>
      <c r="I2" s="101"/>
      <c r="J2" s="101"/>
    </row>
    <row r="3" spans="2:26" ht="15.75">
      <c r="B3" s="100" t="str">
        <f>TEXT($C$63,"0%")&amp;" Capacity Factor"</f>
        <v>8% Capacity Factor</v>
      </c>
      <c r="C3" s="101"/>
      <c r="D3" s="101"/>
      <c r="E3" s="101"/>
      <c r="F3" s="101"/>
      <c r="G3" s="101"/>
      <c r="H3" s="101"/>
      <c r="I3" s="101"/>
      <c r="J3" s="101"/>
    </row>
    <row r="4" spans="2:26">
      <c r="B4" s="101"/>
      <c r="C4" s="101"/>
      <c r="D4" s="101"/>
      <c r="E4" s="101"/>
      <c r="F4" s="101"/>
      <c r="G4" s="101"/>
      <c r="H4" s="101"/>
    </row>
    <row r="5" spans="2:26" ht="51.75" customHeight="1">
      <c r="B5" s="103" t="s">
        <v>0</v>
      </c>
      <c r="C5" s="104" t="s">
        <v>10</v>
      </c>
      <c r="D5" s="104" t="s">
        <v>11</v>
      </c>
      <c r="E5" s="104" t="s">
        <v>12</v>
      </c>
      <c r="F5" s="15" t="s">
        <v>91</v>
      </c>
      <c r="G5" s="104" t="s">
        <v>62</v>
      </c>
      <c r="H5" s="15" t="s">
        <v>13</v>
      </c>
      <c r="I5" s="104" t="s">
        <v>73</v>
      </c>
      <c r="J5" s="15" t="s">
        <v>52</v>
      </c>
      <c r="K5" s="104" t="s">
        <v>138</v>
      </c>
      <c r="M5" s="175"/>
      <c r="N5" s="175"/>
      <c r="P5" s="175"/>
      <c r="S5" s="224"/>
      <c r="Y5" s="175"/>
      <c r="Z5" s="175"/>
    </row>
    <row r="6" spans="2:26" ht="24" customHeight="1">
      <c r="B6" s="105"/>
      <c r="C6" s="106" t="s">
        <v>8</v>
      </c>
      <c r="D6" s="107" t="s">
        <v>9</v>
      </c>
      <c r="E6" s="107" t="s">
        <v>9</v>
      </c>
      <c r="F6" s="107" t="s">
        <v>9</v>
      </c>
      <c r="G6" s="106" t="s">
        <v>31</v>
      </c>
      <c r="H6" s="16" t="s">
        <v>31</v>
      </c>
      <c r="I6" s="106" t="s">
        <v>31</v>
      </c>
      <c r="J6" s="17" t="s">
        <v>9</v>
      </c>
      <c r="K6" s="107" t="s">
        <v>9</v>
      </c>
      <c r="Q6" s="102" t="s">
        <v>277</v>
      </c>
      <c r="S6" s="102" t="s">
        <v>265</v>
      </c>
      <c r="V6" s="129"/>
      <c r="W6" s="129"/>
    </row>
    <row r="7" spans="2:26"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7</v>
      </c>
      <c r="I7" s="108" t="s">
        <v>22</v>
      </c>
      <c r="J7" s="108" t="s">
        <v>23</v>
      </c>
      <c r="K7" s="108" t="s">
        <v>24</v>
      </c>
      <c r="Q7" s="115" t="s">
        <v>232</v>
      </c>
      <c r="R7" s="129" t="s">
        <v>275</v>
      </c>
      <c r="S7" s="102" t="s">
        <v>238</v>
      </c>
      <c r="T7" s="129" t="s">
        <v>276</v>
      </c>
      <c r="W7" s="102" t="s">
        <v>247</v>
      </c>
    </row>
    <row r="8" spans="2:26" ht="21.75" customHeight="1">
      <c r="Q8" s="115"/>
      <c r="S8" s="102" t="s">
        <v>273</v>
      </c>
      <c r="W8" s="115" t="s">
        <v>232</v>
      </c>
    </row>
    <row r="9" spans="2:26" ht="15.75">
      <c r="B9" s="39" t="str">
        <f>C52</f>
        <v>BAT.PX.UTN._.ITC.Lithium-ion - 8% Capacity Factor</v>
      </c>
    </row>
    <row r="10" spans="2:26">
      <c r="B10" s="109">
        <v>2016</v>
      </c>
      <c r="C10" s="110"/>
      <c r="D10" s="111"/>
      <c r="E10" s="111"/>
      <c r="F10" s="111"/>
      <c r="G10" s="112"/>
      <c r="H10" s="112"/>
      <c r="I10" s="112"/>
      <c r="J10" s="112"/>
      <c r="K10" s="111"/>
      <c r="N10" s="134"/>
    </row>
    <row r="11" spans="2:26">
      <c r="B11" s="109">
        <f t="shared" ref="B11:B37" si="0">B10+1</f>
        <v>2017</v>
      </c>
      <c r="C11" s="113"/>
      <c r="D11" s="111"/>
      <c r="E11" s="111"/>
      <c r="F11" s="111"/>
      <c r="G11" s="112"/>
      <c r="H11" s="111"/>
      <c r="I11" s="112"/>
      <c r="J11" s="112"/>
      <c r="K11" s="111"/>
    </row>
    <row r="12" spans="2:26">
      <c r="B12" s="109">
        <f t="shared" si="0"/>
        <v>2018</v>
      </c>
      <c r="C12" s="113"/>
      <c r="D12" s="111"/>
      <c r="E12" s="126"/>
      <c r="F12" s="126"/>
      <c r="G12" s="112"/>
      <c r="H12" s="126"/>
      <c r="I12" s="112"/>
      <c r="J12" s="112"/>
      <c r="K12" s="111"/>
      <c r="U12" s="129"/>
      <c r="V12" s="129"/>
      <c r="Y12" s="129"/>
      <c r="Z12" s="129"/>
    </row>
    <row r="13" spans="2:26">
      <c r="B13" s="109">
        <f t="shared" si="0"/>
        <v>2019</v>
      </c>
      <c r="C13" s="113"/>
      <c r="D13" s="111"/>
      <c r="E13" s="111"/>
      <c r="F13" s="111"/>
      <c r="G13" s="112"/>
      <c r="H13" s="111"/>
      <c r="I13" s="112"/>
      <c r="J13" s="112"/>
      <c r="K13" s="111"/>
    </row>
    <row r="14" spans="2:26">
      <c r="B14" s="109">
        <f t="shared" si="0"/>
        <v>2020</v>
      </c>
      <c r="C14" s="113"/>
      <c r="D14" s="111"/>
      <c r="E14" s="111"/>
      <c r="F14" s="111"/>
      <c r="G14" s="112"/>
      <c r="H14" s="111"/>
      <c r="I14" s="112"/>
      <c r="J14" s="112"/>
      <c r="K14" s="111"/>
      <c r="O14" s="114"/>
      <c r="P14" s="265"/>
    </row>
    <row r="15" spans="2:26">
      <c r="B15" s="109">
        <f t="shared" si="0"/>
        <v>2021</v>
      </c>
      <c r="C15" s="113"/>
      <c r="D15" s="111"/>
      <c r="E15" s="111"/>
      <c r="F15" s="111"/>
      <c r="G15" s="112"/>
      <c r="H15" s="111"/>
      <c r="I15" s="112"/>
      <c r="J15" s="112"/>
      <c r="K15" s="111"/>
      <c r="O15" s="266"/>
      <c r="P15" s="265"/>
    </row>
    <row r="16" spans="2:26">
      <c r="B16" s="109">
        <f t="shared" si="0"/>
        <v>2022</v>
      </c>
      <c r="D16" s="111"/>
      <c r="E16" s="111"/>
      <c r="F16" s="111"/>
      <c r="G16" s="112"/>
      <c r="H16" s="111"/>
      <c r="I16" s="112"/>
      <c r="J16" s="112"/>
      <c r="K16" s="111"/>
      <c r="Q16" s="274">
        <v>1728.6589634669394</v>
      </c>
      <c r="R16" s="284">
        <f>S16-Q16</f>
        <v>-6.1889634669394127</v>
      </c>
      <c r="S16" s="113">
        <v>1722.47</v>
      </c>
      <c r="W16" s="277">
        <v>40.308364530000006</v>
      </c>
    </row>
    <row r="17" spans="2:28">
      <c r="B17" s="109">
        <f t="shared" si="0"/>
        <v>2023</v>
      </c>
      <c r="C17" s="113"/>
      <c r="D17" s="111"/>
      <c r="E17" s="111"/>
      <c r="F17" s="111"/>
      <c r="G17" s="112"/>
      <c r="H17" s="111"/>
      <c r="I17" s="112"/>
      <c r="J17" s="112"/>
      <c r="K17" s="111"/>
      <c r="O17" s="114"/>
      <c r="Q17" s="277"/>
      <c r="R17" s="277"/>
      <c r="S17" s="102">
        <f>S16*IRP_PTC_ESC!AJ3</f>
        <v>1809.626982</v>
      </c>
      <c r="W17" s="277">
        <f t="shared" ref="W17:W23" si="1">W16*(1+IRP23_Infl_Rate)</f>
        <v>41.223364405012759</v>
      </c>
    </row>
    <row r="18" spans="2:28">
      <c r="B18" s="109">
        <f t="shared" si="0"/>
        <v>2024</v>
      </c>
      <c r="C18" s="113"/>
      <c r="D18" s="111"/>
      <c r="E18" s="111"/>
      <c r="F18" s="111"/>
      <c r="G18" s="112"/>
      <c r="H18" s="111"/>
      <c r="I18" s="112"/>
      <c r="J18" s="112"/>
      <c r="K18" s="111"/>
      <c r="P18" s="263"/>
      <c r="Q18" s="277"/>
      <c r="R18" s="277"/>
      <c r="S18" s="102">
        <f>S17*IRP_PTC_ESC!AJ4</f>
        <v>1809.626982</v>
      </c>
      <c r="W18" s="277">
        <f t="shared" si="1"/>
        <v>42.159134777192428</v>
      </c>
      <c r="AB18" s="227"/>
    </row>
    <row r="19" spans="2:28">
      <c r="B19" s="109">
        <f t="shared" si="0"/>
        <v>2025</v>
      </c>
      <c r="C19" s="113"/>
      <c r="D19" s="111"/>
      <c r="E19" s="111"/>
      <c r="F19" s="111"/>
      <c r="G19" s="112"/>
      <c r="H19" s="111"/>
      <c r="I19" s="112"/>
      <c r="J19" s="112"/>
      <c r="K19" s="111"/>
      <c r="P19" s="263"/>
      <c r="Q19" s="277"/>
      <c r="R19" s="277"/>
      <c r="S19" s="102">
        <f>S18*IRP_PTC_ESC!AJ5</f>
        <v>1809.626982</v>
      </c>
      <c r="T19" s="284"/>
      <c r="W19" s="277">
        <f t="shared" si="1"/>
        <v>43.116147136824793</v>
      </c>
      <c r="X19" s="284"/>
    </row>
    <row r="20" spans="2:28">
      <c r="B20" s="109">
        <f t="shared" si="0"/>
        <v>2026</v>
      </c>
      <c r="C20" s="113"/>
      <c r="D20" s="111"/>
      <c r="E20" s="111"/>
      <c r="F20" s="165"/>
      <c r="G20" s="112"/>
      <c r="H20" s="111"/>
      <c r="I20" s="112"/>
      <c r="J20" s="112"/>
      <c r="K20" s="111"/>
      <c r="P20" s="112"/>
      <c r="S20" s="102">
        <f>S19*IRP_PTC_ESC!AJ6</f>
        <v>1809.626982</v>
      </c>
      <c r="T20" s="284"/>
      <c r="V20" s="129"/>
      <c r="W20" s="277">
        <f t="shared" si="1"/>
        <v>44.094883677025123</v>
      </c>
    </row>
    <row r="21" spans="2:28">
      <c r="B21" s="109">
        <f t="shared" si="0"/>
        <v>2027</v>
      </c>
      <c r="C21" s="113"/>
      <c r="D21" s="111"/>
      <c r="E21" s="111"/>
      <c r="F21" s="111"/>
      <c r="G21" s="112"/>
      <c r="H21" s="111"/>
      <c r="I21" s="112"/>
      <c r="J21" s="112"/>
      <c r="K21" s="111"/>
      <c r="P21" s="112"/>
      <c r="S21" s="102">
        <f>S20*IRP_PTC_ESC!AJ7</f>
        <v>1809.626982</v>
      </c>
      <c r="T21" s="284"/>
      <c r="U21" s="129"/>
      <c r="V21" s="129"/>
      <c r="W21" s="277">
        <f t="shared" si="1"/>
        <v>45.095837536692414</v>
      </c>
      <c r="X21" s="129"/>
      <c r="Y21" s="129"/>
    </row>
    <row r="22" spans="2:28">
      <c r="B22" s="109">
        <f t="shared" si="0"/>
        <v>2028</v>
      </c>
      <c r="C22" s="113"/>
      <c r="D22" s="111"/>
      <c r="E22" s="111"/>
      <c r="F22" s="111"/>
      <c r="G22" s="112"/>
      <c r="H22" s="111"/>
      <c r="I22" s="112"/>
      <c r="J22" s="112"/>
      <c r="K22" s="111"/>
      <c r="P22" s="112"/>
      <c r="S22" s="102">
        <f>S21*IRP_PTC_ESC!AJ8</f>
        <v>1809.626982</v>
      </c>
      <c r="T22" s="284"/>
      <c r="U22" s="129"/>
      <c r="V22" s="129"/>
      <c r="W22" s="277">
        <f t="shared" si="1"/>
        <v>46.119513048978668</v>
      </c>
      <c r="X22" s="129"/>
      <c r="Y22" s="129"/>
      <c r="Z22" s="129"/>
    </row>
    <row r="23" spans="2:28">
      <c r="B23" s="109">
        <f t="shared" si="0"/>
        <v>2029</v>
      </c>
      <c r="C23" s="274">
        <f>IRP_LTReport!R90</f>
        <v>1748.09963759065</v>
      </c>
      <c r="D23" s="111">
        <f>C23*$C$62</f>
        <v>146.92777453949412</v>
      </c>
      <c r="E23" s="285">
        <f>IRP_LTReport!L90</f>
        <v>50.689999999993752</v>
      </c>
      <c r="F23" s="165">
        <f>$C$60</f>
        <v>0</v>
      </c>
      <c r="G23" s="112">
        <f t="shared" ref="G23:G37" si="2">(D23+E23+F23)/(8.76*$C$63)</f>
        <v>284.71793243962514</v>
      </c>
      <c r="H23" s="111"/>
      <c r="I23" s="112">
        <f t="shared" ref="I23:I37" si="3">(G23+H23)</f>
        <v>284.71793243962514</v>
      </c>
      <c r="J23" s="112">
        <f t="shared" ref="J23:J37" si="4">ROUND(I23*$C$63*8.76,2)</f>
        <v>197.62</v>
      </c>
      <c r="K23" s="111">
        <f t="shared" ref="K23:K37" si="5">(D23+E23+F23)</f>
        <v>197.61777453948787</v>
      </c>
      <c r="P23" s="112"/>
      <c r="S23" s="102">
        <f>S22*IRP_PTC_ESC!AJ9</f>
        <v>1748.099664612</v>
      </c>
      <c r="T23" s="284">
        <f t="shared" ref="T23" si="6">S23-C23</f>
        <v>2.7021349978895159E-5</v>
      </c>
      <c r="U23" s="129"/>
      <c r="V23" s="129"/>
      <c r="W23" s="277">
        <f t="shared" si="1"/>
        <v>47.166425995398434</v>
      </c>
      <c r="X23" s="284">
        <f>W23-E23</f>
        <v>-3.5235740045953179</v>
      </c>
      <c r="Y23" s="273" t="s">
        <v>278</v>
      </c>
      <c r="Z23" s="129"/>
    </row>
    <row r="24" spans="2:28">
      <c r="B24" s="109">
        <f t="shared" si="0"/>
        <v>2030</v>
      </c>
      <c r="C24" s="113"/>
      <c r="D24" s="111">
        <f t="shared" ref="D24:E35" si="7">ROUND(D23*(1+IRP23_Infl_Rate),2)</f>
        <v>150.26</v>
      </c>
      <c r="E24" s="111">
        <f t="shared" si="7"/>
        <v>51.84</v>
      </c>
      <c r="F24" s="165">
        <f t="shared" ref="F24:F37" si="8">$C$60</f>
        <v>0</v>
      </c>
      <c r="G24" s="112">
        <f t="shared" si="2"/>
        <v>291.17570157916305</v>
      </c>
      <c r="H24" s="111"/>
      <c r="I24" s="112">
        <f t="shared" si="3"/>
        <v>291.17570157916305</v>
      </c>
      <c r="J24" s="112">
        <f t="shared" si="4"/>
        <v>202.1</v>
      </c>
      <c r="K24" s="111">
        <f t="shared" si="5"/>
        <v>202.1</v>
      </c>
      <c r="P24" s="112"/>
      <c r="S24" s="129"/>
      <c r="U24" s="129"/>
      <c r="V24" s="129"/>
      <c r="X24" s="129"/>
      <c r="Y24" s="129"/>
      <c r="Z24" s="129"/>
    </row>
    <row r="25" spans="2:28">
      <c r="B25" s="109">
        <f t="shared" si="0"/>
        <v>2031</v>
      </c>
      <c r="C25" s="113"/>
      <c r="D25" s="111">
        <f t="shared" si="7"/>
        <v>153.66999999999999</v>
      </c>
      <c r="E25" s="111">
        <f t="shared" si="7"/>
        <v>53.02</v>
      </c>
      <c r="F25" s="165">
        <f t="shared" si="8"/>
        <v>0</v>
      </c>
      <c r="G25" s="112">
        <f t="shared" si="2"/>
        <v>297.78874695396939</v>
      </c>
      <c r="H25" s="111"/>
      <c r="I25" s="112">
        <f t="shared" si="3"/>
        <v>297.78874695396939</v>
      </c>
      <c r="J25" s="112">
        <f t="shared" si="4"/>
        <v>206.69</v>
      </c>
      <c r="K25" s="111">
        <f t="shared" si="5"/>
        <v>206.69</v>
      </c>
      <c r="P25" s="112"/>
      <c r="S25" s="129"/>
      <c r="U25" s="129"/>
      <c r="V25" s="129"/>
      <c r="X25" s="129"/>
      <c r="Y25" s="129"/>
      <c r="Z25" s="129"/>
    </row>
    <row r="26" spans="2:28">
      <c r="B26" s="109">
        <f t="shared" si="0"/>
        <v>2032</v>
      </c>
      <c r="C26" s="113"/>
      <c r="D26" s="111">
        <f t="shared" si="7"/>
        <v>157.16</v>
      </c>
      <c r="E26" s="111">
        <f t="shared" si="7"/>
        <v>54.22</v>
      </c>
      <c r="F26" s="165">
        <f t="shared" si="8"/>
        <v>0</v>
      </c>
      <c r="G26" s="112">
        <f t="shared" si="2"/>
        <v>304.54586739140763</v>
      </c>
      <c r="H26" s="111"/>
      <c r="I26" s="112">
        <f t="shared" si="3"/>
        <v>304.54586739140763</v>
      </c>
      <c r="J26" s="112">
        <f t="shared" si="4"/>
        <v>211.38</v>
      </c>
      <c r="K26" s="111">
        <f t="shared" si="5"/>
        <v>211.38</v>
      </c>
      <c r="P26" s="112"/>
      <c r="S26" s="129"/>
      <c r="U26" s="129"/>
      <c r="V26" s="129"/>
      <c r="X26" s="129"/>
      <c r="Y26" s="129"/>
      <c r="Z26" s="129"/>
    </row>
    <row r="27" spans="2:28">
      <c r="B27" s="109">
        <f t="shared" si="0"/>
        <v>2033</v>
      </c>
      <c r="C27" s="113"/>
      <c r="D27" s="111">
        <f t="shared" si="7"/>
        <v>160.72999999999999</v>
      </c>
      <c r="E27" s="111">
        <f t="shared" si="7"/>
        <v>55.45</v>
      </c>
      <c r="F27" s="165">
        <f t="shared" si="8"/>
        <v>0</v>
      </c>
      <c r="G27" s="112">
        <f t="shared" si="2"/>
        <v>311.4614703977411</v>
      </c>
      <c r="H27" s="111"/>
      <c r="I27" s="112">
        <f t="shared" si="3"/>
        <v>311.4614703977411</v>
      </c>
      <c r="J27" s="112">
        <f t="shared" si="4"/>
        <v>216.18</v>
      </c>
      <c r="K27" s="111">
        <f t="shared" si="5"/>
        <v>216.18</v>
      </c>
      <c r="P27" s="112"/>
      <c r="S27" s="129"/>
      <c r="U27" s="129"/>
      <c r="V27" s="129"/>
      <c r="X27" s="129"/>
      <c r="Y27" s="129"/>
      <c r="Z27" s="129"/>
    </row>
    <row r="28" spans="2:28">
      <c r="B28" s="109">
        <f t="shared" si="0"/>
        <v>2034</v>
      </c>
      <c r="C28" s="113"/>
      <c r="D28" s="111">
        <f t="shared" si="7"/>
        <v>164.38</v>
      </c>
      <c r="E28" s="111">
        <f t="shared" si="7"/>
        <v>56.71</v>
      </c>
      <c r="F28" s="165">
        <f t="shared" si="8"/>
        <v>0</v>
      </c>
      <c r="G28" s="112">
        <f t="shared" si="2"/>
        <v>318.53555597296963</v>
      </c>
      <c r="H28" s="111"/>
      <c r="I28" s="112">
        <f t="shared" si="3"/>
        <v>318.53555597296963</v>
      </c>
      <c r="J28" s="112">
        <f t="shared" si="4"/>
        <v>221.09</v>
      </c>
      <c r="K28" s="111">
        <f t="shared" si="5"/>
        <v>221.09</v>
      </c>
      <c r="P28" s="112"/>
      <c r="S28" s="129"/>
      <c r="U28" s="129"/>
      <c r="V28" s="129"/>
      <c r="X28" s="129"/>
      <c r="Y28" s="129"/>
      <c r="Z28" s="129"/>
    </row>
    <row r="29" spans="2:28">
      <c r="B29" s="109">
        <f t="shared" si="0"/>
        <v>2035</v>
      </c>
      <c r="C29" s="113"/>
      <c r="D29" s="111">
        <f t="shared" si="7"/>
        <v>168.11</v>
      </c>
      <c r="E29" s="111">
        <f t="shared" si="7"/>
        <v>58</v>
      </c>
      <c r="F29" s="165">
        <f t="shared" si="8"/>
        <v>0</v>
      </c>
      <c r="G29" s="112">
        <f t="shared" si="2"/>
        <v>325.76812411709335</v>
      </c>
      <c r="H29" s="111"/>
      <c r="I29" s="112">
        <f t="shared" si="3"/>
        <v>325.76812411709335</v>
      </c>
      <c r="J29" s="112">
        <f t="shared" si="4"/>
        <v>226.11</v>
      </c>
      <c r="K29" s="111">
        <f t="shared" si="5"/>
        <v>226.11</v>
      </c>
      <c r="P29" s="112"/>
      <c r="S29" s="129"/>
      <c r="U29" s="129"/>
      <c r="V29" s="129"/>
      <c r="X29" s="129"/>
      <c r="Y29" s="129"/>
      <c r="Z29" s="129"/>
    </row>
    <row r="30" spans="2:28">
      <c r="B30" s="109">
        <f t="shared" si="0"/>
        <v>2036</v>
      </c>
      <c r="C30" s="113"/>
      <c r="D30" s="111">
        <f t="shared" si="7"/>
        <v>171.93</v>
      </c>
      <c r="E30" s="111">
        <f t="shared" si="7"/>
        <v>59.32</v>
      </c>
      <c r="F30" s="165">
        <f t="shared" si="8"/>
        <v>0</v>
      </c>
      <c r="G30" s="112">
        <f t="shared" si="2"/>
        <v>333.17358233637532</v>
      </c>
      <c r="H30" s="111"/>
      <c r="I30" s="112">
        <f t="shared" si="3"/>
        <v>333.17358233637532</v>
      </c>
      <c r="J30" s="112">
        <f t="shared" si="4"/>
        <v>231.25</v>
      </c>
      <c r="K30" s="111">
        <f t="shared" si="5"/>
        <v>231.25</v>
      </c>
      <c r="P30" s="112"/>
      <c r="S30" s="129"/>
      <c r="U30" s="129"/>
      <c r="V30" s="129"/>
      <c r="X30" s="129"/>
      <c r="Y30" s="129"/>
      <c r="Z30" s="129"/>
    </row>
    <row r="31" spans="2:28">
      <c r="B31" s="109">
        <f t="shared" si="0"/>
        <v>2037</v>
      </c>
      <c r="C31" s="113"/>
      <c r="D31" s="111">
        <f t="shared" si="7"/>
        <v>175.83</v>
      </c>
      <c r="E31" s="111">
        <f t="shared" si="7"/>
        <v>60.67</v>
      </c>
      <c r="F31" s="165">
        <f t="shared" si="8"/>
        <v>0</v>
      </c>
      <c r="G31" s="112">
        <f t="shared" si="2"/>
        <v>340.73752312455252</v>
      </c>
      <c r="H31" s="111"/>
      <c r="I31" s="112">
        <f t="shared" si="3"/>
        <v>340.73752312455252</v>
      </c>
      <c r="J31" s="112">
        <f t="shared" si="4"/>
        <v>236.5</v>
      </c>
      <c r="K31" s="111">
        <f t="shared" si="5"/>
        <v>236.5</v>
      </c>
      <c r="P31" s="112"/>
      <c r="S31" s="129"/>
      <c r="U31" s="129"/>
      <c r="V31" s="129"/>
      <c r="X31" s="129"/>
      <c r="Y31" s="129"/>
      <c r="Z31" s="129"/>
    </row>
    <row r="32" spans="2:28">
      <c r="B32" s="109">
        <f t="shared" si="0"/>
        <v>2038</v>
      </c>
      <c r="C32" s="113"/>
      <c r="D32" s="111">
        <f t="shared" si="7"/>
        <v>179.82</v>
      </c>
      <c r="E32" s="111">
        <f t="shared" si="7"/>
        <v>62.05</v>
      </c>
      <c r="F32" s="165">
        <f t="shared" si="8"/>
        <v>0</v>
      </c>
      <c r="G32" s="112">
        <f t="shared" si="2"/>
        <v>348.47435398788804</v>
      </c>
      <c r="H32" s="111"/>
      <c r="I32" s="112">
        <f t="shared" si="3"/>
        <v>348.47435398788804</v>
      </c>
      <c r="J32" s="112">
        <f t="shared" si="4"/>
        <v>241.87</v>
      </c>
      <c r="K32" s="111">
        <f t="shared" si="5"/>
        <v>241.87</v>
      </c>
      <c r="P32" s="112"/>
      <c r="S32" s="129"/>
      <c r="U32" s="129"/>
      <c r="V32" s="129"/>
      <c r="X32" s="129"/>
      <c r="Y32" s="129"/>
      <c r="Z32" s="129"/>
    </row>
    <row r="33" spans="2:16">
      <c r="B33" s="109">
        <f t="shared" si="0"/>
        <v>2039</v>
      </c>
      <c r="C33" s="113"/>
      <c r="D33" s="111">
        <f t="shared" si="7"/>
        <v>183.9</v>
      </c>
      <c r="E33" s="111">
        <f t="shared" si="7"/>
        <v>63.46</v>
      </c>
      <c r="F33" s="165">
        <f t="shared" si="8"/>
        <v>0</v>
      </c>
      <c r="G33" s="112">
        <f t="shared" si="2"/>
        <v>356.38407492638186</v>
      </c>
      <c r="H33" s="111"/>
      <c r="I33" s="112">
        <f t="shared" si="3"/>
        <v>356.38407492638186</v>
      </c>
      <c r="J33" s="112">
        <f t="shared" si="4"/>
        <v>247.36</v>
      </c>
      <c r="K33" s="111">
        <f t="shared" si="5"/>
        <v>247.36</v>
      </c>
      <c r="P33" s="112"/>
    </row>
    <row r="34" spans="2:16">
      <c r="B34" s="109">
        <f t="shared" si="0"/>
        <v>2040</v>
      </c>
      <c r="C34" s="113"/>
      <c r="D34" s="111">
        <f t="shared" si="7"/>
        <v>188.07</v>
      </c>
      <c r="E34" s="111">
        <f t="shared" si="7"/>
        <v>64.900000000000006</v>
      </c>
      <c r="F34" s="165">
        <f t="shared" si="8"/>
        <v>0</v>
      </c>
      <c r="G34" s="112">
        <f t="shared" si="2"/>
        <v>364.46668594003404</v>
      </c>
      <c r="H34" s="111"/>
      <c r="I34" s="112">
        <f t="shared" si="3"/>
        <v>364.46668594003404</v>
      </c>
      <c r="J34" s="112">
        <f t="shared" si="4"/>
        <v>252.97</v>
      </c>
      <c r="K34" s="111">
        <f t="shared" si="5"/>
        <v>252.97</v>
      </c>
      <c r="P34" s="112"/>
    </row>
    <row r="35" spans="2:16">
      <c r="B35" s="109">
        <f t="shared" si="0"/>
        <v>2041</v>
      </c>
      <c r="C35" s="113"/>
      <c r="D35" s="111">
        <f t="shared" si="7"/>
        <v>192.34</v>
      </c>
      <c r="E35" s="111">
        <f t="shared" si="7"/>
        <v>66.37</v>
      </c>
      <c r="F35" s="165">
        <f t="shared" si="8"/>
        <v>0</v>
      </c>
      <c r="G35" s="112">
        <f t="shared" si="2"/>
        <v>372.73659453510777</v>
      </c>
      <c r="H35" s="111"/>
      <c r="I35" s="112">
        <f t="shared" si="3"/>
        <v>372.73659453510777</v>
      </c>
      <c r="J35" s="112">
        <f t="shared" si="4"/>
        <v>258.70999999999998</v>
      </c>
      <c r="K35" s="111">
        <f t="shared" si="5"/>
        <v>258.71000000000004</v>
      </c>
      <c r="P35" s="112"/>
    </row>
    <row r="36" spans="2:16">
      <c r="B36" s="109">
        <f t="shared" si="0"/>
        <v>2042</v>
      </c>
      <c r="C36" s="113"/>
      <c r="D36" s="111">
        <f t="shared" ref="D36:E37" si="9">ROUND(D35*(1+IRP23_Infl_Rate),2)</f>
        <v>196.71</v>
      </c>
      <c r="E36" s="111">
        <f t="shared" si="9"/>
        <v>67.88</v>
      </c>
      <c r="F36" s="165">
        <f t="shared" si="8"/>
        <v>0</v>
      </c>
      <c r="G36" s="112">
        <f t="shared" si="2"/>
        <v>381.20820821786623</v>
      </c>
      <c r="H36" s="111"/>
      <c r="I36" s="112">
        <f t="shared" si="3"/>
        <v>381.20820821786623</v>
      </c>
      <c r="J36" s="112">
        <f t="shared" si="4"/>
        <v>264.58999999999997</v>
      </c>
      <c r="K36" s="111">
        <f t="shared" si="5"/>
        <v>264.59000000000003</v>
      </c>
      <c r="P36" s="112"/>
    </row>
    <row r="37" spans="2:16">
      <c r="B37" s="109">
        <f t="shared" si="0"/>
        <v>2043</v>
      </c>
      <c r="C37" s="113"/>
      <c r="D37" s="111">
        <f t="shared" si="9"/>
        <v>201.18</v>
      </c>
      <c r="E37" s="111">
        <f t="shared" si="9"/>
        <v>69.42</v>
      </c>
      <c r="F37" s="165">
        <f t="shared" si="8"/>
        <v>0</v>
      </c>
      <c r="G37" s="112">
        <f t="shared" si="2"/>
        <v>389.86711948204618</v>
      </c>
      <c r="H37" s="111"/>
      <c r="I37" s="112">
        <f t="shared" si="3"/>
        <v>389.86711948204618</v>
      </c>
      <c r="J37" s="112">
        <f t="shared" si="4"/>
        <v>270.60000000000002</v>
      </c>
      <c r="K37" s="111">
        <f t="shared" si="5"/>
        <v>270.60000000000002</v>
      </c>
      <c r="P37" s="112"/>
    </row>
    <row r="38" spans="2:16">
      <c r="B38" s="109"/>
      <c r="C38" s="113"/>
      <c r="D38" s="111"/>
      <c r="E38" s="111"/>
      <c r="F38" s="111"/>
      <c r="G38" s="112"/>
      <c r="H38" s="111"/>
      <c r="I38" s="112"/>
      <c r="J38" s="112"/>
      <c r="K38" s="116"/>
    </row>
    <row r="39" spans="2:16">
      <c r="B39" s="109"/>
      <c r="C39" s="113"/>
      <c r="D39" s="111"/>
      <c r="E39" s="111"/>
      <c r="F39" s="111"/>
      <c r="G39" s="112"/>
      <c r="H39" s="111"/>
      <c r="I39" s="287">
        <f>-PMT(Discount_Rate,COUNT(I23:I37),NPV(Discount_Rate,I23:I37))</f>
        <v>325.75725611122908</v>
      </c>
      <c r="J39" s="287">
        <f>-PMT(Discount_Rate,COUNT(J23:J37),NPV(Discount_Rate,J23:J37))</f>
        <v>226.10268224289496</v>
      </c>
      <c r="K39" s="287">
        <f>-PMT(Discount_Rate,COUNT(K23:K37),NPV(Discount_Rate,K23:K37))</f>
        <v>226.10245670578533</v>
      </c>
    </row>
    <row r="40" spans="2:16">
      <c r="B40" s="109"/>
      <c r="C40" s="113"/>
      <c r="D40" s="111"/>
      <c r="E40" s="111"/>
      <c r="F40" s="111"/>
      <c r="G40" s="112"/>
      <c r="H40" s="111"/>
      <c r="I40" s="111"/>
      <c r="J40" s="112"/>
      <c r="K40" s="112"/>
      <c r="L40" s="116"/>
    </row>
    <row r="42" spans="2:16" ht="14.25">
      <c r="B42" s="117" t="s">
        <v>25</v>
      </c>
      <c r="C42" s="118"/>
      <c r="D42" s="118"/>
      <c r="E42" s="118"/>
      <c r="F42" s="118"/>
      <c r="G42" s="118"/>
      <c r="H42" s="118"/>
    </row>
    <row r="44" spans="2:16">
      <c r="B44" s="102" t="s">
        <v>63</v>
      </c>
      <c r="C44" s="119" t="s">
        <v>64</v>
      </c>
      <c r="D44" s="230" t="s">
        <v>231</v>
      </c>
    </row>
    <row r="45" spans="2:16">
      <c r="C45" s="119" t="str">
        <f>C7</f>
        <v>(a)</v>
      </c>
      <c r="D45" s="102" t="s">
        <v>65</v>
      </c>
    </row>
    <row r="46" spans="2:16">
      <c r="C46" s="119" t="str">
        <f>D7</f>
        <v>(b)</v>
      </c>
      <c r="D46" s="112" t="str">
        <f>"= "&amp;C7&amp;" x "&amp;C62</f>
        <v>= (a) x 0.08405</v>
      </c>
    </row>
    <row r="47" spans="2:16">
      <c r="C47" s="119" t="str">
        <f>F7</f>
        <v>(d)</v>
      </c>
      <c r="D47" s="112" t="str">
        <f>"= ("&amp;$D$7&amp;" + "&amp;$E$7&amp;") /  (8.76 x "&amp;TEXT(C63,"0.0%")&amp;")"</f>
        <v>= ((b) + (c)) /  (8.76 x 7.9%)</v>
      </c>
    </row>
    <row r="48" spans="2:16">
      <c r="C48" s="119" t="str">
        <f>I7</f>
        <v>(g)</v>
      </c>
      <c r="D48" s="112" t="str">
        <f>"= "&amp;$G$7&amp;" + "&amp;$H$7</f>
        <v>= (e) + (f)</v>
      </c>
    </row>
    <row r="49" spans="2:19">
      <c r="C49" s="119" t="str">
        <f>J7</f>
        <v>(h)</v>
      </c>
      <c r="D49" t="str">
        <f>D44</f>
        <v>Plant Costs  - 2023 IRP - Table 7.1 &amp; 7.2</v>
      </c>
    </row>
    <row r="50" spans="2:19">
      <c r="C50" s="119"/>
      <c r="D50" s="112"/>
    </row>
    <row r="51" spans="2:19" ht="13.5" thickBot="1"/>
    <row r="52" spans="2:19" ht="13.5" thickBot="1">
      <c r="C52" s="38" t="str">
        <f>B2&amp;" - "&amp;B3</f>
        <v>BAT.PX.UTN._.ITC.Lithium-ion - 8% Capacity Factor</v>
      </c>
      <c r="D52" s="120"/>
      <c r="E52" s="120"/>
      <c r="F52" s="120"/>
      <c r="G52" s="120"/>
      <c r="H52" s="120"/>
      <c r="I52" s="121"/>
      <c r="J52" s="121"/>
      <c r="K52" s="122"/>
    </row>
    <row r="53" spans="2:19" ht="13.5" thickBot="1">
      <c r="C53" s="123"/>
      <c r="D53" s="124" t="s">
        <v>67</v>
      </c>
      <c r="E53" s="124"/>
      <c r="F53" s="124"/>
      <c r="G53" s="124"/>
      <c r="H53" s="124"/>
      <c r="I53" s="121"/>
      <c r="J53" s="121"/>
      <c r="K53" s="122"/>
    </row>
    <row r="54" spans="2:19">
      <c r="P54" s="102" t="s">
        <v>98</v>
      </c>
      <c r="Q54" s="102">
        <v>2029</v>
      </c>
      <c r="S54" s="273" t="s">
        <v>281</v>
      </c>
    </row>
    <row r="55" spans="2:19">
      <c r="B55" t="s">
        <v>152</v>
      </c>
      <c r="C55" s="267"/>
      <c r="D55" s="102" t="s">
        <v>65</v>
      </c>
      <c r="O55" s="226">
        <v>200</v>
      </c>
      <c r="P55" s="102" t="s">
        <v>32</v>
      </c>
      <c r="S55" s="273"/>
    </row>
    <row r="56" spans="2:19">
      <c r="B56" t="s">
        <v>152</v>
      </c>
      <c r="C56" s="126"/>
      <c r="D56" s="102" t="s">
        <v>68</v>
      </c>
    </row>
    <row r="57" spans="2:19" ht="24" customHeight="1">
      <c r="B57"/>
      <c r="C57" s="129"/>
      <c r="D57" s="102" t="s">
        <v>99</v>
      </c>
      <c r="Q57" s="175"/>
      <c r="R57" s="175"/>
    </row>
    <row r="58" spans="2:19">
      <c r="B58" t="s">
        <v>152</v>
      </c>
      <c r="C58" s="126"/>
      <c r="D58" s="102" t="s">
        <v>69</v>
      </c>
      <c r="L58" s="268"/>
      <c r="M58" s="46"/>
      <c r="N58" s="135"/>
      <c r="O58" s="46"/>
      <c r="P58" s="46"/>
    </row>
    <row r="59" spans="2:19">
      <c r="B59"/>
      <c r="C59" s="133"/>
      <c r="D59" s="102" t="s">
        <v>70</v>
      </c>
      <c r="I59" s="269" t="s">
        <v>90</v>
      </c>
      <c r="L59" s="270"/>
      <c r="M59" s="128"/>
      <c r="O59" s="127"/>
    </row>
    <row r="60" spans="2:19">
      <c r="B60" s="250" t="e">
        <f>LEFT(RIGHT(INDEX('Table 3 TransCost'!$39:$39,1,MATCH(F60,'Table 3 TransCost'!$4:$4,0)),6),5)</f>
        <v>#N/A</v>
      </c>
      <c r="C60" s="223">
        <f>IFERROR(INDEX('Table 3 TransCost'!$39:$39,1,MATCH(F60,'Table 3 TransCost'!$4:$4,0)+2),0)</f>
        <v>0</v>
      </c>
      <c r="D60" s="102" t="s">
        <v>137</v>
      </c>
      <c r="K60" s="270"/>
      <c r="L60" s="270"/>
      <c r="M60" s="270"/>
      <c r="O60" s="127"/>
    </row>
    <row r="61" spans="2:19">
      <c r="B61"/>
      <c r="C61" s="166"/>
      <c r="K61" s="270"/>
      <c r="L61" s="270"/>
      <c r="M61" s="270"/>
      <c r="O61" s="270"/>
    </row>
    <row r="62" spans="2:19">
      <c r="C62" s="271">
        <v>8.405E-2</v>
      </c>
      <c r="D62" s="102" t="s">
        <v>36</v>
      </c>
      <c r="E62" s="257"/>
      <c r="K62" s="229"/>
      <c r="L62" s="131"/>
      <c r="M62" s="131"/>
      <c r="O62" s="132"/>
    </row>
    <row r="63" spans="2:19">
      <c r="C63" s="272">
        <f>IRP_LTReport!F89*1000/('2029_BAT.PX.UTN._.ITC.Lithium-i'!O55*8760)</f>
        <v>7.9233178217089043E-2</v>
      </c>
      <c r="D63" s="102" t="s">
        <v>37</v>
      </c>
    </row>
    <row r="64" spans="2:19">
      <c r="D64" s="130"/>
    </row>
    <row r="82" spans="3:4">
      <c r="C82" s="127"/>
      <c r="D82" s="130"/>
    </row>
    <row r="83" spans="3:4">
      <c r="C83" s="127"/>
      <c r="D83" s="130"/>
    </row>
    <row r="84" spans="3:4">
      <c r="C84" s="127"/>
      <c r="D84" s="130"/>
    </row>
    <row r="85" spans="3:4">
      <c r="C85" s="127"/>
      <c r="D85" s="130"/>
    </row>
    <row r="86" spans="3:4">
      <c r="C86" s="127"/>
      <c r="D86" s="130"/>
    </row>
    <row r="87" spans="3:4">
      <c r="C87" s="127"/>
      <c r="D87" s="130"/>
    </row>
    <row r="88" spans="3:4">
      <c r="C88" s="127"/>
      <c r="D88" s="130"/>
    </row>
    <row r="89" spans="3:4">
      <c r="C89" s="127"/>
      <c r="D89" s="130"/>
    </row>
    <row r="90" spans="3:4">
      <c r="C90" s="127"/>
      <c r="D90" s="130"/>
    </row>
    <row r="91" spans="3:4">
      <c r="C91" s="127"/>
      <c r="D91" s="130"/>
    </row>
  </sheetData>
  <printOptions horizontalCentered="1"/>
  <pageMargins left="0.8" right="0.3" top="0.4" bottom="0.4" header="0.5" footer="0.2"/>
  <pageSetup scale="61" orientation="landscape" r:id="rId1"/>
  <headerFooter alignWithMargins="0"/>
  <rowBreaks count="1" manualBreakCount="1">
    <brk id="51" max="1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6F69-5FD1-4338-BBCD-65CD2B18B670}">
  <sheetPr>
    <tabColor rgb="FFFFC000"/>
    <pageSetUpPr fitToPage="1"/>
  </sheetPr>
  <dimension ref="B1:AD82"/>
  <sheetViews>
    <sheetView view="pageBreakPreview" zoomScale="80" zoomScaleNormal="70" zoomScaleSheetLayoutView="80" workbookViewId="0">
      <selection activeCell="E20" sqref="E20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5.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4.33203125" customWidth="1"/>
    <col min="12" max="12" width="14.1640625" customWidth="1"/>
    <col min="13" max="13" width="14.33203125" customWidth="1"/>
    <col min="14" max="14" width="9.33203125" customWidth="1"/>
    <col min="15" max="20" width="11.33203125" customWidth="1"/>
    <col min="21" max="21" width="10.33203125" customWidth="1"/>
    <col min="22" max="22" width="12" customWidth="1"/>
    <col min="23" max="23" width="11.5" customWidth="1"/>
    <col min="26" max="26" width="13.6640625" customWidth="1"/>
    <col min="28" max="29" width="9.33203125" style="102"/>
  </cols>
  <sheetData>
    <row r="1" spans="2:30" ht="15.75">
      <c r="B1" s="1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2:30" ht="15.75">
      <c r="B2" s="1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2:30" ht="15.75">
      <c r="B3" s="1"/>
      <c r="C3" s="327"/>
      <c r="D3" s="327"/>
      <c r="E3" s="327"/>
      <c r="F3" s="327"/>
      <c r="G3" s="327"/>
      <c r="H3" s="327"/>
      <c r="I3" s="327"/>
      <c r="J3" s="327"/>
      <c r="K3" s="327"/>
      <c r="L3" s="327"/>
      <c r="U3" s="102"/>
      <c r="V3" s="102"/>
      <c r="W3" s="102"/>
      <c r="X3" s="102"/>
      <c r="Y3" s="102"/>
      <c r="Z3" s="102"/>
      <c r="AA3" s="102"/>
    </row>
    <row r="4" spans="2:30" ht="15.75">
      <c r="B4" s="1" t="s">
        <v>406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U4" s="102"/>
      <c r="V4" s="102"/>
      <c r="W4" s="102"/>
      <c r="X4" s="102"/>
      <c r="Y4" s="102"/>
      <c r="Z4" s="102"/>
      <c r="AA4" s="102"/>
    </row>
    <row r="5" spans="2:30" ht="15.75">
      <c r="B5" s="1" t="str">
        <f>C48</f>
        <v>Non Emitting - 303 MW- East Side Resource (5,050')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</row>
    <row r="6" spans="2:30" ht="15.75">
      <c r="B6" s="1"/>
      <c r="C6" s="327"/>
      <c r="D6" s="327"/>
      <c r="E6" s="327"/>
      <c r="F6" s="327"/>
      <c r="G6" s="327"/>
      <c r="H6" s="327"/>
      <c r="I6" s="327"/>
      <c r="J6" s="327"/>
      <c r="L6" s="328"/>
    </row>
    <row r="7" spans="2:30">
      <c r="B7" s="327"/>
      <c r="C7" s="327"/>
      <c r="D7" s="327"/>
      <c r="E7" s="327"/>
      <c r="F7" s="327"/>
      <c r="G7" s="327"/>
      <c r="H7" s="327"/>
      <c r="I7" s="327"/>
      <c r="J7" s="327"/>
      <c r="K7" s="327"/>
      <c r="V7" s="102"/>
      <c r="W7" s="102"/>
      <c r="X7" s="102"/>
      <c r="Y7" s="102"/>
      <c r="Z7" s="102"/>
      <c r="AA7" s="102"/>
      <c r="AD7" s="102"/>
    </row>
    <row r="8" spans="2:30" ht="51.75" customHeight="1">
      <c r="B8" s="14" t="s">
        <v>0</v>
      </c>
      <c r="C8" s="15" t="s">
        <v>10</v>
      </c>
      <c r="D8" s="15" t="s">
        <v>407</v>
      </c>
      <c r="E8" s="15" t="s">
        <v>408</v>
      </c>
      <c r="F8" s="15" t="s">
        <v>91</v>
      </c>
      <c r="G8" s="15" t="s">
        <v>409</v>
      </c>
      <c r="H8" s="15" t="s">
        <v>101</v>
      </c>
      <c r="I8" s="329" t="s">
        <v>21</v>
      </c>
      <c r="J8" s="15" t="s">
        <v>13</v>
      </c>
      <c r="K8" s="329" t="s">
        <v>102</v>
      </c>
      <c r="L8" s="15" t="s">
        <v>52</v>
      </c>
      <c r="U8" s="102"/>
      <c r="V8" s="102"/>
      <c r="W8" s="102"/>
      <c r="X8" s="102"/>
      <c r="Y8" s="102"/>
      <c r="Z8" s="102"/>
      <c r="AA8" s="102"/>
    </row>
    <row r="9" spans="2:30" ht="48" customHeight="1">
      <c r="B9" s="330"/>
      <c r="C9" s="16" t="s">
        <v>8</v>
      </c>
      <c r="D9" s="16" t="s">
        <v>8</v>
      </c>
      <c r="E9" s="17" t="s">
        <v>9</v>
      </c>
      <c r="F9" s="17" t="s">
        <v>9</v>
      </c>
      <c r="G9" s="17" t="s">
        <v>9</v>
      </c>
      <c r="H9" s="17" t="s">
        <v>9</v>
      </c>
      <c r="I9" s="17" t="s">
        <v>103</v>
      </c>
      <c r="J9" s="16" t="s">
        <v>31</v>
      </c>
      <c r="K9" s="16" t="s">
        <v>31</v>
      </c>
      <c r="L9" s="16" t="s">
        <v>31</v>
      </c>
      <c r="U9" s="102"/>
      <c r="V9" s="102"/>
      <c r="W9" s="102"/>
      <c r="X9" s="102"/>
      <c r="Y9" s="102"/>
      <c r="Z9" s="175"/>
      <c r="AA9" s="175"/>
    </row>
    <row r="10" spans="2:30">
      <c r="C10" s="331" t="s">
        <v>1</v>
      </c>
      <c r="D10" s="331" t="s">
        <v>2</v>
      </c>
      <c r="E10" s="331" t="s">
        <v>3</v>
      </c>
      <c r="F10" s="331" t="s">
        <v>4</v>
      </c>
      <c r="G10" s="331" t="s">
        <v>5</v>
      </c>
      <c r="H10" s="331" t="s">
        <v>7</v>
      </c>
      <c r="I10" s="331" t="s">
        <v>22</v>
      </c>
      <c r="J10" s="331" t="s">
        <v>23</v>
      </c>
      <c r="K10" s="108" t="s">
        <v>24</v>
      </c>
      <c r="L10" s="108" t="s">
        <v>147</v>
      </c>
      <c r="U10" s="102"/>
      <c r="V10" s="102"/>
      <c r="W10" s="102"/>
      <c r="X10" s="102"/>
      <c r="Y10" s="102"/>
      <c r="Z10" s="102"/>
      <c r="AA10" s="102"/>
    </row>
    <row r="11" spans="2:30" ht="6" customHeight="1">
      <c r="U11" s="102"/>
      <c r="V11" s="102"/>
      <c r="W11" s="102"/>
      <c r="X11" s="102"/>
      <c r="Y11" s="102"/>
      <c r="Z11" s="102"/>
      <c r="AA11" s="102"/>
    </row>
    <row r="12" spans="2:30" ht="15.75">
      <c r="B12" s="39" t="str">
        <f>C48</f>
        <v>Non Emitting - 303 MW- East Side Resource (5,050')</v>
      </c>
      <c r="I12" s="327"/>
      <c r="K12" s="327"/>
      <c r="L12" s="327"/>
      <c r="U12" s="102"/>
      <c r="V12" s="102"/>
      <c r="W12" s="102"/>
      <c r="X12" s="102"/>
      <c r="Y12" s="102"/>
      <c r="Z12" s="102"/>
      <c r="AA12" s="102"/>
    </row>
    <row r="13" spans="2:30" ht="18.95" customHeight="1">
      <c r="B13" s="229"/>
      <c r="C13" s="332"/>
      <c r="D13" s="332"/>
      <c r="E13" s="333"/>
      <c r="F13" s="334"/>
      <c r="G13" s="334"/>
      <c r="H13" s="334"/>
      <c r="I13" s="334"/>
      <c r="J13" s="334"/>
      <c r="K13" s="334"/>
      <c r="L13" s="334"/>
      <c r="U13" s="102"/>
      <c r="V13" s="129"/>
      <c r="W13" s="129"/>
      <c r="X13" s="129"/>
      <c r="Y13" s="102"/>
      <c r="Z13" s="129"/>
      <c r="AA13" s="129"/>
    </row>
    <row r="14" spans="2:30">
      <c r="B14" s="229">
        <v>2020</v>
      </c>
      <c r="C14" s="335"/>
      <c r="D14" s="335"/>
      <c r="E14" s="111"/>
      <c r="F14" s="111"/>
      <c r="G14" s="111"/>
      <c r="H14" s="334"/>
      <c r="I14" s="336"/>
      <c r="J14" s="111"/>
      <c r="K14" s="334"/>
      <c r="L14" s="334"/>
      <c r="O14" s="337"/>
      <c r="U14" s="102"/>
      <c r="V14" s="102"/>
      <c r="W14" s="129"/>
      <c r="X14" s="226"/>
      <c r="Y14" s="102"/>
      <c r="Z14" s="129"/>
      <c r="AA14" s="129"/>
    </row>
    <row r="15" spans="2:30">
      <c r="B15" s="229">
        <f t="shared" ref="B15:B36" si="0">B14+1</f>
        <v>2021</v>
      </c>
      <c r="C15" s="335"/>
      <c r="D15" s="335"/>
      <c r="E15" s="111"/>
      <c r="F15" s="111"/>
      <c r="G15" s="111"/>
      <c r="H15" s="338" t="s">
        <v>410</v>
      </c>
      <c r="I15" s="111"/>
      <c r="J15" s="111"/>
      <c r="K15" s="338" t="s">
        <v>410</v>
      </c>
      <c r="L15" s="338" t="s">
        <v>410</v>
      </c>
      <c r="O15" s="337"/>
      <c r="P15" s="337"/>
      <c r="U15" s="102"/>
      <c r="V15" s="129"/>
      <c r="W15" s="129"/>
      <c r="X15" s="226"/>
      <c r="Y15" s="129"/>
      <c r="Z15" s="129"/>
      <c r="AA15" s="129"/>
    </row>
    <row r="16" spans="2:30">
      <c r="B16" s="229">
        <f t="shared" si="0"/>
        <v>2022</v>
      </c>
      <c r="C16" s="335">
        <v>1107.1620197876771</v>
      </c>
      <c r="D16" s="335"/>
      <c r="E16" s="111"/>
      <c r="F16" s="111"/>
      <c r="G16" s="111"/>
      <c r="H16" s="339">
        <f>H24*(1+$H$40)^($B16-$B24)</f>
        <v>119.8711039562064</v>
      </c>
      <c r="I16" s="111"/>
      <c r="J16" s="111"/>
      <c r="K16" s="340">
        <f>K24*(1+$H$40)^($B16-$B24)</f>
        <v>56.179395740507196</v>
      </c>
      <c r="L16" s="340">
        <f>L24*(1+$H$40)^($B16-$B24)</f>
        <v>97.643349580221113</v>
      </c>
      <c r="O16" s="337"/>
      <c r="P16" s="337"/>
      <c r="U16" s="102"/>
      <c r="V16" s="129"/>
      <c r="W16" s="129"/>
      <c r="X16" s="226"/>
      <c r="Y16" s="129"/>
      <c r="Z16" s="129"/>
      <c r="AA16" s="129"/>
    </row>
    <row r="17" spans="2:29">
      <c r="B17" s="229">
        <f t="shared" si="0"/>
        <v>2023</v>
      </c>
      <c r="C17" s="335">
        <f>C16*102.27%</f>
        <v>1132.2945976368574</v>
      </c>
      <c r="D17" s="335"/>
      <c r="E17" s="111"/>
      <c r="F17" s="111"/>
      <c r="G17" s="111"/>
      <c r="H17" s="334"/>
      <c r="I17" s="111"/>
      <c r="J17" s="111"/>
      <c r="K17" s="334"/>
      <c r="L17" s="334"/>
      <c r="O17" s="337"/>
      <c r="P17" s="337"/>
      <c r="U17" s="102"/>
      <c r="V17" s="129"/>
      <c r="W17" s="129"/>
      <c r="X17" s="226"/>
      <c r="Y17" s="129"/>
      <c r="Z17" s="129"/>
      <c r="AA17" s="129"/>
    </row>
    <row r="18" spans="2:29">
      <c r="B18" s="229">
        <f t="shared" si="0"/>
        <v>2024</v>
      </c>
      <c r="C18" s="335">
        <f t="shared" ref="C18:C36" si="1">C17*102.27%</f>
        <v>1157.997685003214</v>
      </c>
      <c r="D18" s="335"/>
      <c r="E18" s="111"/>
      <c r="F18" s="111"/>
      <c r="G18" s="111"/>
      <c r="H18" s="334"/>
      <c r="I18" s="111"/>
      <c r="J18" s="111"/>
      <c r="K18" s="334"/>
      <c r="L18" s="334"/>
      <c r="O18" s="337"/>
      <c r="P18" s="337"/>
      <c r="U18" s="102"/>
      <c r="V18" s="129"/>
      <c r="W18" s="129"/>
      <c r="X18" s="226"/>
      <c r="Y18" s="129"/>
      <c r="Z18" s="129"/>
      <c r="AA18" s="129"/>
    </row>
    <row r="19" spans="2:29">
      <c r="B19" s="229">
        <f t="shared" si="0"/>
        <v>2025</v>
      </c>
      <c r="C19" s="335">
        <f t="shared" si="1"/>
        <v>1184.2842324527869</v>
      </c>
      <c r="D19" s="335"/>
      <c r="E19" s="111"/>
      <c r="F19" s="111"/>
      <c r="G19" s="111"/>
      <c r="H19" s="334"/>
      <c r="I19" s="111"/>
      <c r="J19" s="111"/>
      <c r="K19" s="334"/>
      <c r="L19" s="334"/>
      <c r="O19" s="337"/>
      <c r="P19" s="337"/>
      <c r="U19" s="102"/>
      <c r="V19" s="129"/>
      <c r="W19" s="129"/>
      <c r="X19" s="226"/>
      <c r="Y19" s="129"/>
      <c r="Z19" s="129"/>
      <c r="AA19" s="129"/>
    </row>
    <row r="20" spans="2:29">
      <c r="B20" s="229">
        <f t="shared" si="0"/>
        <v>2026</v>
      </c>
      <c r="C20" s="335">
        <f t="shared" si="1"/>
        <v>1211.1674845294651</v>
      </c>
      <c r="D20" s="335"/>
      <c r="E20" s="333"/>
      <c r="F20" s="111"/>
      <c r="G20" s="111"/>
      <c r="H20" s="334"/>
      <c r="I20" s="111"/>
      <c r="J20" s="111"/>
      <c r="K20" s="334"/>
      <c r="L20" s="334"/>
      <c r="O20" s="337"/>
      <c r="P20" s="337"/>
      <c r="U20" s="102"/>
      <c r="V20" s="129"/>
      <c r="W20" s="129"/>
      <c r="X20" s="129"/>
      <c r="Y20" s="129"/>
      <c r="Z20" s="129"/>
      <c r="AA20" s="129"/>
    </row>
    <row r="21" spans="2:29">
      <c r="B21" s="229">
        <f t="shared" si="0"/>
        <v>2027</v>
      </c>
      <c r="C21" s="335">
        <f t="shared" si="1"/>
        <v>1238.6609864282839</v>
      </c>
      <c r="D21" s="335"/>
      <c r="E21" s="111"/>
      <c r="F21" s="111"/>
      <c r="G21" s="111"/>
      <c r="H21" s="334"/>
      <c r="I21" s="111"/>
      <c r="J21" s="111"/>
      <c r="K21" s="334"/>
      <c r="L21" s="334"/>
      <c r="O21" s="337"/>
      <c r="P21" s="337"/>
      <c r="U21" s="252"/>
      <c r="V21" s="129"/>
      <c r="W21" s="129"/>
      <c r="X21" s="129"/>
      <c r="Y21" s="129"/>
      <c r="Z21" s="129"/>
      <c r="AA21" s="129"/>
    </row>
    <row r="22" spans="2:29">
      <c r="B22" s="229">
        <f t="shared" si="0"/>
        <v>2028</v>
      </c>
      <c r="C22" s="335">
        <f t="shared" si="1"/>
        <v>1266.7785908202059</v>
      </c>
      <c r="D22" s="335"/>
      <c r="E22" s="111"/>
      <c r="F22" s="111"/>
      <c r="G22" s="111"/>
      <c r="H22" s="334"/>
      <c r="I22" s="111"/>
      <c r="J22" s="111"/>
      <c r="K22" s="334"/>
      <c r="L22" s="334"/>
      <c r="O22" s="337"/>
      <c r="P22" s="337"/>
      <c r="U22" s="102"/>
      <c r="V22" s="129"/>
      <c r="W22" s="129"/>
      <c r="X22" s="129"/>
      <c r="Y22" s="129"/>
      <c r="Z22" s="129"/>
      <c r="AA22" s="129"/>
    </row>
    <row r="23" spans="2:29" ht="13.5" thickBot="1">
      <c r="B23" s="229">
        <f t="shared" si="0"/>
        <v>2029</v>
      </c>
      <c r="C23" s="335">
        <f t="shared" si="1"/>
        <v>1295.5344648318244</v>
      </c>
      <c r="D23" s="335"/>
      <c r="E23" s="111"/>
      <c r="F23" s="111"/>
      <c r="G23" s="111"/>
      <c r="H23" s="334"/>
      <c r="I23" s="111"/>
      <c r="J23" s="111"/>
      <c r="K23" s="334"/>
      <c r="L23" s="334"/>
      <c r="O23" s="337"/>
      <c r="P23" s="337"/>
      <c r="U23" s="102"/>
      <c r="V23" s="129"/>
      <c r="W23" s="129"/>
      <c r="X23" s="129"/>
      <c r="Y23" s="129"/>
      <c r="Z23" s="129"/>
      <c r="AA23" s="129"/>
    </row>
    <row r="24" spans="2:29" s="343" customFormat="1" ht="13.5" thickBot="1">
      <c r="B24" s="341">
        <f t="shared" si="0"/>
        <v>2030</v>
      </c>
      <c r="C24" s="335">
        <f t="shared" si="1"/>
        <v>1324.9430971835068</v>
      </c>
      <c r="D24" s="342">
        <f>ROUND(C24*$C$73,2)</f>
        <v>62.92</v>
      </c>
      <c r="E24" s="111">
        <f>D24</f>
        <v>62.92</v>
      </c>
      <c r="F24" s="111">
        <f>$C$76*(1+$H$40)^(2030-2022)</f>
        <v>12.98844092749701</v>
      </c>
      <c r="G24" s="111">
        <f>$C$69*(1+$H$40)^(2030-2022)</f>
        <v>67.542079435839128</v>
      </c>
      <c r="H24" s="334">
        <f>ROUND(E24+F24+G24,2)</f>
        <v>143.44999999999999</v>
      </c>
      <c r="I24" s="111">
        <v>6.74</v>
      </c>
      <c r="J24" s="111">
        <f>ROUND($C$70*(1+$H$40)^(B24-2022),2)</f>
        <v>3.25</v>
      </c>
      <c r="K24" s="334">
        <f>ROUND($L$59*I24/1000+J24,2)</f>
        <v>67.23</v>
      </c>
      <c r="L24" s="334">
        <f t="shared" ref="L24:L36" si="2">ROUND(H24*1000/8760/$H$59+K24,2)</f>
        <v>116.85</v>
      </c>
      <c r="M24"/>
      <c r="N24"/>
      <c r="O24" s="337"/>
      <c r="P24" s="337"/>
      <c r="U24" s="102"/>
      <c r="V24" s="129"/>
      <c r="W24" s="129"/>
      <c r="X24" s="129"/>
      <c r="Y24" s="129"/>
      <c r="Z24" s="129"/>
      <c r="AA24" s="129"/>
      <c r="AB24" s="102"/>
      <c r="AC24" s="102"/>
    </row>
    <row r="25" spans="2:29" s="343" customFormat="1">
      <c r="B25" s="341">
        <f t="shared" si="0"/>
        <v>2031</v>
      </c>
      <c r="C25" s="335">
        <f t="shared" si="1"/>
        <v>1355.0193054895724</v>
      </c>
      <c r="D25" s="333">
        <f>ROUND(C25*$C$73,2)</f>
        <v>64.349999999999994</v>
      </c>
      <c r="E25" s="111">
        <f t="shared" ref="E25:F36" si="3">ROUND(E24*(1+$H$40),2)</f>
        <v>64.349999999999994</v>
      </c>
      <c r="F25" s="111">
        <f>ROUND(F24*(1+$H$40),2)</f>
        <v>13.28</v>
      </c>
      <c r="G25" s="111">
        <f t="shared" ref="G25:G36" si="4">ROUND(G24*(1+$H$40),2)</f>
        <v>69.08</v>
      </c>
      <c r="H25" s="334">
        <f t="shared" ref="H25:H36" si="5">ROUND(E25+F25+G25,2)</f>
        <v>146.71</v>
      </c>
      <c r="I25" s="111">
        <v>6.53</v>
      </c>
      <c r="J25" s="111">
        <f t="shared" ref="J25:J36" si="6">ROUND(J24*(1+$H$40),2)</f>
        <v>3.32</v>
      </c>
      <c r="K25" s="334">
        <f t="shared" ref="K25:K36" si="7">ROUND($L$59*I25/1000+J25,2)</f>
        <v>65.31</v>
      </c>
      <c r="L25" s="334">
        <f t="shared" si="2"/>
        <v>116.06</v>
      </c>
      <c r="M25"/>
      <c r="N25"/>
      <c r="O25" s="337"/>
      <c r="P25" s="337"/>
      <c r="U25" s="102"/>
      <c r="V25" s="129"/>
      <c r="W25" s="129"/>
      <c r="X25" s="129"/>
      <c r="Y25" s="129"/>
      <c r="Z25" s="129"/>
      <c r="AA25" s="129"/>
      <c r="AB25" s="102"/>
      <c r="AC25" s="102"/>
    </row>
    <row r="26" spans="2:29" s="343" customFormat="1">
      <c r="B26" s="341">
        <f t="shared" si="0"/>
        <v>2032</v>
      </c>
      <c r="C26" s="335">
        <f t="shared" si="1"/>
        <v>1385.7782437241856</v>
      </c>
      <c r="D26" s="333">
        <f t="shared" ref="D26:D31" si="8">ROUND(C26*$C$73,2)</f>
        <v>65.81</v>
      </c>
      <c r="E26" s="111">
        <f t="shared" si="3"/>
        <v>65.81</v>
      </c>
      <c r="F26" s="111">
        <f t="shared" si="3"/>
        <v>13.58</v>
      </c>
      <c r="G26" s="111">
        <f t="shared" si="4"/>
        <v>70.650000000000006</v>
      </c>
      <c r="H26" s="334">
        <f t="shared" si="5"/>
        <v>150.04</v>
      </c>
      <c r="I26" s="111">
        <v>6.81</v>
      </c>
      <c r="J26" s="111">
        <f t="shared" si="6"/>
        <v>3.4</v>
      </c>
      <c r="K26" s="334">
        <f t="shared" si="7"/>
        <v>68.05</v>
      </c>
      <c r="L26" s="334">
        <f t="shared" si="2"/>
        <v>119.95</v>
      </c>
      <c r="M26"/>
      <c r="N26"/>
      <c r="O26" s="337"/>
      <c r="P26" s="337"/>
      <c r="U26" s="102"/>
      <c r="V26" s="129"/>
      <c r="W26" s="129"/>
      <c r="X26" s="129"/>
      <c r="Y26" s="129"/>
      <c r="Z26" s="129"/>
      <c r="AA26" s="129"/>
      <c r="AB26" s="102"/>
      <c r="AC26" s="102"/>
    </row>
    <row r="27" spans="2:29" s="343" customFormat="1">
      <c r="B27" s="341">
        <f t="shared" si="0"/>
        <v>2033</v>
      </c>
      <c r="C27" s="335">
        <f t="shared" si="1"/>
        <v>1417.2354098567246</v>
      </c>
      <c r="D27" s="333">
        <f t="shared" si="8"/>
        <v>67.3</v>
      </c>
      <c r="E27" s="111">
        <f t="shared" si="3"/>
        <v>67.3</v>
      </c>
      <c r="F27" s="111">
        <f t="shared" si="3"/>
        <v>13.89</v>
      </c>
      <c r="G27" s="111">
        <f t="shared" si="4"/>
        <v>72.25</v>
      </c>
      <c r="H27" s="334">
        <f t="shared" si="5"/>
        <v>153.44</v>
      </c>
      <c r="I27" s="111">
        <v>7.23</v>
      </c>
      <c r="J27" s="111">
        <f t="shared" si="6"/>
        <v>3.48</v>
      </c>
      <c r="K27" s="334">
        <f t="shared" si="7"/>
        <v>72.11</v>
      </c>
      <c r="L27" s="334">
        <f t="shared" si="2"/>
        <v>125.19</v>
      </c>
      <c r="M27"/>
      <c r="N27"/>
      <c r="O27" s="337"/>
      <c r="P27" s="337"/>
      <c r="R27" s="344"/>
      <c r="U27" s="102"/>
      <c r="V27" s="129"/>
      <c r="W27" s="129"/>
      <c r="X27" s="129"/>
      <c r="Y27" s="129"/>
      <c r="Z27" s="129"/>
      <c r="AA27" s="129"/>
      <c r="AB27" s="102"/>
      <c r="AC27" s="102"/>
    </row>
    <row r="28" spans="2:29" s="343" customFormat="1">
      <c r="B28" s="341">
        <f t="shared" si="0"/>
        <v>2034</v>
      </c>
      <c r="C28" s="335">
        <f t="shared" si="1"/>
        <v>1449.4066536604721</v>
      </c>
      <c r="D28" s="333">
        <f t="shared" si="8"/>
        <v>68.83</v>
      </c>
      <c r="E28" s="111">
        <f t="shared" si="3"/>
        <v>68.83</v>
      </c>
      <c r="F28" s="111">
        <f t="shared" si="3"/>
        <v>14.21</v>
      </c>
      <c r="G28" s="111">
        <f t="shared" si="4"/>
        <v>73.89</v>
      </c>
      <c r="H28" s="334">
        <f t="shared" si="5"/>
        <v>156.93</v>
      </c>
      <c r="I28" s="111">
        <v>7.47</v>
      </c>
      <c r="J28" s="111">
        <f t="shared" si="6"/>
        <v>3.56</v>
      </c>
      <c r="K28" s="334">
        <f t="shared" si="7"/>
        <v>74.47</v>
      </c>
      <c r="L28" s="334">
        <f t="shared" si="2"/>
        <v>128.76</v>
      </c>
      <c r="M28"/>
      <c r="N28"/>
      <c r="O28"/>
      <c r="U28" s="102"/>
      <c r="V28" s="129"/>
      <c r="W28" s="129"/>
      <c r="X28" s="129"/>
      <c r="Y28" s="129"/>
      <c r="Z28" s="129"/>
      <c r="AA28" s="129"/>
      <c r="AB28" s="102"/>
      <c r="AC28" s="102"/>
    </row>
    <row r="29" spans="2:29">
      <c r="B29" s="229">
        <f t="shared" si="0"/>
        <v>2035</v>
      </c>
      <c r="C29" s="335">
        <f t="shared" si="1"/>
        <v>1482.3081846985647</v>
      </c>
      <c r="D29" s="333">
        <f t="shared" si="8"/>
        <v>70.39</v>
      </c>
      <c r="E29" s="111">
        <f t="shared" si="3"/>
        <v>70.39</v>
      </c>
      <c r="F29" s="111">
        <f t="shared" si="3"/>
        <v>14.53</v>
      </c>
      <c r="G29" s="111">
        <f t="shared" si="4"/>
        <v>75.569999999999993</v>
      </c>
      <c r="H29" s="334">
        <f t="shared" si="5"/>
        <v>160.49</v>
      </c>
      <c r="I29" s="111">
        <v>7.73</v>
      </c>
      <c r="J29" s="111">
        <f t="shared" si="6"/>
        <v>3.64</v>
      </c>
      <c r="K29" s="334">
        <f t="shared" si="7"/>
        <v>77.02</v>
      </c>
      <c r="L29" s="334">
        <f t="shared" si="2"/>
        <v>132.54</v>
      </c>
      <c r="U29" s="102"/>
      <c r="V29" s="129"/>
      <c r="W29" s="129"/>
      <c r="X29" s="129"/>
      <c r="Y29" s="129"/>
      <c r="Z29" s="129"/>
      <c r="AA29" s="129"/>
    </row>
    <row r="30" spans="2:29">
      <c r="B30" s="229">
        <f t="shared" si="0"/>
        <v>2036</v>
      </c>
      <c r="C30" s="335">
        <f t="shared" si="1"/>
        <v>1515.956580491222</v>
      </c>
      <c r="D30" s="333">
        <f t="shared" si="8"/>
        <v>71.989999999999995</v>
      </c>
      <c r="E30" s="111">
        <f t="shared" si="3"/>
        <v>71.989999999999995</v>
      </c>
      <c r="F30" s="111">
        <f t="shared" si="3"/>
        <v>14.86</v>
      </c>
      <c r="G30" s="111">
        <f t="shared" si="4"/>
        <v>77.290000000000006</v>
      </c>
      <c r="H30" s="334">
        <f t="shared" si="5"/>
        <v>164.14</v>
      </c>
      <c r="I30" s="111">
        <v>7.86</v>
      </c>
      <c r="J30" s="111">
        <f t="shared" si="6"/>
        <v>3.72</v>
      </c>
      <c r="K30" s="334">
        <f t="shared" si="7"/>
        <v>78.33</v>
      </c>
      <c r="L30" s="334">
        <f t="shared" si="2"/>
        <v>135.11000000000001</v>
      </c>
    </row>
    <row r="31" spans="2:29">
      <c r="B31" s="229">
        <f t="shared" si="0"/>
        <v>2037</v>
      </c>
      <c r="C31" s="335">
        <f t="shared" si="1"/>
        <v>1550.3687948683726</v>
      </c>
      <c r="D31" s="333">
        <f t="shared" si="8"/>
        <v>73.63</v>
      </c>
      <c r="E31" s="111">
        <f t="shared" si="3"/>
        <v>73.62</v>
      </c>
      <c r="F31" s="111">
        <f t="shared" si="3"/>
        <v>15.2</v>
      </c>
      <c r="G31" s="111">
        <f t="shared" si="4"/>
        <v>79.040000000000006</v>
      </c>
      <c r="H31" s="334">
        <f t="shared" si="5"/>
        <v>167.86</v>
      </c>
      <c r="I31" s="111">
        <v>8.32</v>
      </c>
      <c r="J31" s="111">
        <f t="shared" si="6"/>
        <v>3.8</v>
      </c>
      <c r="K31" s="334">
        <f t="shared" si="7"/>
        <v>82.78</v>
      </c>
      <c r="L31" s="334">
        <f t="shared" si="2"/>
        <v>140.85</v>
      </c>
    </row>
    <row r="32" spans="2:29">
      <c r="B32" s="229">
        <f t="shared" si="0"/>
        <v>2038</v>
      </c>
      <c r="C32" s="335">
        <f t="shared" si="1"/>
        <v>1585.5621665118845</v>
      </c>
      <c r="D32" s="345">
        <f>ROUND(C32*$K$74,2)</f>
        <v>102.35</v>
      </c>
      <c r="E32" s="111">
        <f t="shared" si="3"/>
        <v>75.290000000000006</v>
      </c>
      <c r="F32" s="111">
        <f t="shared" si="3"/>
        <v>15.55</v>
      </c>
      <c r="G32" s="111">
        <f t="shared" si="4"/>
        <v>80.83</v>
      </c>
      <c r="H32" s="334">
        <f t="shared" si="5"/>
        <v>171.67</v>
      </c>
      <c r="I32" s="111">
        <v>8.82</v>
      </c>
      <c r="J32" s="111">
        <f t="shared" si="6"/>
        <v>3.89</v>
      </c>
      <c r="K32" s="334">
        <f t="shared" si="7"/>
        <v>87.62</v>
      </c>
      <c r="L32" s="334">
        <f t="shared" si="2"/>
        <v>147</v>
      </c>
    </row>
    <row r="33" spans="2:30">
      <c r="B33" s="229">
        <f t="shared" si="0"/>
        <v>2039</v>
      </c>
      <c r="C33" s="335">
        <f t="shared" si="1"/>
        <v>1621.5544276917042</v>
      </c>
      <c r="D33" s="345">
        <f>ROUND(C33*$K$74,2)</f>
        <v>104.67</v>
      </c>
      <c r="E33" s="111">
        <f t="shared" si="3"/>
        <v>77</v>
      </c>
      <c r="F33" s="111">
        <f t="shared" si="3"/>
        <v>15.9</v>
      </c>
      <c r="G33" s="111">
        <f t="shared" si="4"/>
        <v>82.66</v>
      </c>
      <c r="H33" s="334">
        <f t="shared" si="5"/>
        <v>175.56</v>
      </c>
      <c r="I33" s="111">
        <v>9.3699999999999992</v>
      </c>
      <c r="J33" s="111">
        <f t="shared" si="6"/>
        <v>3.98</v>
      </c>
      <c r="K33" s="334">
        <f t="shared" si="7"/>
        <v>92.93</v>
      </c>
      <c r="L33" s="334">
        <f t="shared" si="2"/>
        <v>153.66</v>
      </c>
    </row>
    <row r="34" spans="2:30">
      <c r="B34" s="229">
        <f t="shared" si="0"/>
        <v>2040</v>
      </c>
      <c r="C34" s="335">
        <f t="shared" si="1"/>
        <v>1658.3637132003057</v>
      </c>
      <c r="D34" s="345">
        <f>ROUND(C34*$K$74,2)</f>
        <v>107.05</v>
      </c>
      <c r="E34" s="111">
        <f t="shared" si="3"/>
        <v>78.75</v>
      </c>
      <c r="F34" s="111">
        <f t="shared" si="3"/>
        <v>16.260000000000002</v>
      </c>
      <c r="G34" s="111">
        <f t="shared" si="4"/>
        <v>84.54</v>
      </c>
      <c r="H34" s="334">
        <f t="shared" si="5"/>
        <v>179.55</v>
      </c>
      <c r="I34" s="111">
        <v>10.86</v>
      </c>
      <c r="J34" s="111">
        <f t="shared" si="6"/>
        <v>4.07</v>
      </c>
      <c r="K34" s="334">
        <f t="shared" si="7"/>
        <v>107.16</v>
      </c>
      <c r="L34" s="334">
        <f t="shared" si="2"/>
        <v>169.27</v>
      </c>
    </row>
    <row r="35" spans="2:30">
      <c r="B35" s="229">
        <f t="shared" si="0"/>
        <v>2041</v>
      </c>
      <c r="C35" s="335">
        <f t="shared" si="1"/>
        <v>1696.0085694899526</v>
      </c>
      <c r="D35" s="345">
        <f>ROUND(C35*$K$74,2)</f>
        <v>109.48</v>
      </c>
      <c r="E35" s="111">
        <f t="shared" si="3"/>
        <v>80.540000000000006</v>
      </c>
      <c r="F35" s="111">
        <f t="shared" si="3"/>
        <v>16.63</v>
      </c>
      <c r="G35" s="111">
        <f t="shared" si="4"/>
        <v>86.46</v>
      </c>
      <c r="H35" s="334">
        <f t="shared" si="5"/>
        <v>183.63</v>
      </c>
      <c r="I35" s="111">
        <v>14.72</v>
      </c>
      <c r="J35" s="111">
        <f t="shared" si="6"/>
        <v>4.16</v>
      </c>
      <c r="K35" s="334">
        <f t="shared" si="7"/>
        <v>143.9</v>
      </c>
      <c r="L35" s="334">
        <f t="shared" si="2"/>
        <v>207.42</v>
      </c>
    </row>
    <row r="36" spans="2:30">
      <c r="B36" s="229">
        <f t="shared" si="0"/>
        <v>2042</v>
      </c>
      <c r="C36" s="335">
        <f t="shared" si="1"/>
        <v>1734.5079640173744</v>
      </c>
      <c r="D36" s="345">
        <f>ROUND(C36*$K$74,2)</f>
        <v>111.96</v>
      </c>
      <c r="E36" s="111">
        <f t="shared" si="3"/>
        <v>82.37</v>
      </c>
      <c r="F36" s="111">
        <f t="shared" si="3"/>
        <v>17.010000000000002</v>
      </c>
      <c r="G36" s="111">
        <f t="shared" si="4"/>
        <v>88.42</v>
      </c>
      <c r="H36" s="334">
        <f t="shared" si="5"/>
        <v>187.8</v>
      </c>
      <c r="I36" s="111">
        <v>18.579999999999998</v>
      </c>
      <c r="J36" s="111">
        <f t="shared" si="6"/>
        <v>4.25</v>
      </c>
      <c r="K36" s="334">
        <f t="shared" si="7"/>
        <v>180.63</v>
      </c>
      <c r="L36" s="334">
        <f t="shared" si="2"/>
        <v>245.59</v>
      </c>
    </row>
    <row r="37" spans="2:30">
      <c r="N37" s="229"/>
      <c r="P37" s="346"/>
      <c r="AB37"/>
      <c r="AD37" s="102"/>
    </row>
    <row r="38" spans="2:30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346"/>
      <c r="O38" s="346"/>
    </row>
    <row r="40" spans="2:30">
      <c r="B40" t="s">
        <v>411</v>
      </c>
      <c r="D40" s="230" t="s">
        <v>412</v>
      </c>
      <c r="G40" t="s">
        <v>171</v>
      </c>
      <c r="H40" s="228">
        <v>2.2700000000000001E-2</v>
      </c>
    </row>
    <row r="41" spans="2:30">
      <c r="C41" s="347" t="str">
        <f>D10</f>
        <v>(b)</v>
      </c>
      <c r="D41" s="230" t="s">
        <v>413</v>
      </c>
      <c r="H41" s="228"/>
    </row>
    <row r="42" spans="2:30">
      <c r="C42" s="347" t="str">
        <f>E10</f>
        <v>(c)</v>
      </c>
      <c r="D42" s="334" t="str">
        <f>"= "&amp;C10&amp;" x "&amp;TEXT(C73,"0.000%")&amp;F73</f>
        <v>= (a) x 4.749%  Real Payment Factor@ 40% ITC</v>
      </c>
    </row>
    <row r="43" spans="2:30">
      <c r="C43" s="347" t="str">
        <f>H10</f>
        <v>(f)</v>
      </c>
      <c r="D43" s="334" t="str">
        <f>"= "&amp;E10&amp;" + "&amp;F10&amp;" + "&amp;G10</f>
        <v>= (c) + (d) + (e)</v>
      </c>
    </row>
    <row r="44" spans="2:30">
      <c r="C44" s="347" t="str">
        <f>I10</f>
        <v>(g)</v>
      </c>
      <c r="D44" s="348" t="s">
        <v>414</v>
      </c>
    </row>
    <row r="45" spans="2:30">
      <c r="C45" s="347" t="str">
        <f>K10</f>
        <v>(i)</v>
      </c>
      <c r="D45" s="334" t="str">
        <f>"= "&amp;TEXT(L59,"?,0")&amp;" MMBtu/MWH x "&amp;I10&amp;" + "&amp;J10</f>
        <v>= 9,493 MMBtu/MWH x (g) + (h)</v>
      </c>
    </row>
    <row r="46" spans="2:30">
      <c r="C46" s="347" t="str">
        <f>L10</f>
        <v>(j)</v>
      </c>
      <c r="D46" s="334" t="str">
        <f>"= "&amp;H10&amp;" / (8.76 x 'Capacity Factor' ) + "&amp;K10</f>
        <v>= (f) / (8.76 x 'Capacity Factor' ) + (i)</v>
      </c>
    </row>
    <row r="47" spans="2:30" ht="13.5" thickBot="1"/>
    <row r="48" spans="2:30" ht="13.5" thickBot="1">
      <c r="C48" s="38" t="s">
        <v>415</v>
      </c>
      <c r="D48" s="349"/>
      <c r="E48" s="349"/>
      <c r="F48" s="349"/>
      <c r="G48" s="349"/>
      <c r="H48" s="349"/>
      <c r="I48" s="349"/>
      <c r="J48" s="349"/>
      <c r="K48" s="350"/>
      <c r="L48" s="351"/>
    </row>
    <row r="49" spans="2:21" ht="5.25" customHeight="1"/>
    <row r="50" spans="2:21" ht="5.25" customHeight="1"/>
    <row r="51" spans="2:21">
      <c r="C51" s="352" t="s">
        <v>416</v>
      </c>
      <c r="D51" s="353"/>
      <c r="E51" s="352"/>
      <c r="F51" s="352"/>
      <c r="G51" s="354" t="s">
        <v>32</v>
      </c>
      <c r="H51" s="354" t="s">
        <v>104</v>
      </c>
      <c r="I51" s="354" t="s">
        <v>105</v>
      </c>
      <c r="J51" s="354" t="s">
        <v>33</v>
      </c>
    </row>
    <row r="52" spans="2:21">
      <c r="C52" s="343" t="s">
        <v>544</v>
      </c>
      <c r="G52" s="355">
        <f>C63</f>
        <v>302.95146</v>
      </c>
      <c r="H52" s="37">
        <f>G52/G54</f>
        <v>1</v>
      </c>
      <c r="I52" s="231">
        <f>C66</f>
        <v>1109.2240909949933</v>
      </c>
      <c r="J52" s="232">
        <f>C69</f>
        <v>56.440178636959374</v>
      </c>
      <c r="P52" s="102"/>
      <c r="Q52" s="102"/>
      <c r="R52" s="102"/>
      <c r="S52" s="102"/>
      <c r="T52" s="102"/>
      <c r="U52" s="102"/>
    </row>
    <row r="53" spans="2:21">
      <c r="C53" s="343"/>
      <c r="G53" s="356">
        <f>D63</f>
        <v>0</v>
      </c>
      <c r="H53" s="233">
        <f>1-H52</f>
        <v>0</v>
      </c>
      <c r="I53" s="234">
        <f>D66</f>
        <v>0</v>
      </c>
      <c r="J53" s="235">
        <f>D69</f>
        <v>0</v>
      </c>
      <c r="P53" s="262"/>
      <c r="Q53" s="102"/>
      <c r="R53" s="102"/>
      <c r="S53" s="102"/>
      <c r="T53" s="102"/>
      <c r="U53" s="102"/>
    </row>
    <row r="54" spans="2:21">
      <c r="C54" s="343" t="s">
        <v>106</v>
      </c>
      <c r="G54" s="355">
        <f>G52+G53</f>
        <v>302.95146</v>
      </c>
      <c r="H54" s="37">
        <f>H52+H53</f>
        <v>1</v>
      </c>
      <c r="I54" s="231">
        <f>ROUND(((G52*I52)+(G53*I53))/G54,0)</f>
        <v>1109</v>
      </c>
      <c r="J54" s="232">
        <f>ROUND(((G52*J52)+(G53*J53))/G54,2)</f>
        <v>56.44</v>
      </c>
      <c r="P54" s="262"/>
      <c r="Q54" s="102"/>
      <c r="R54" s="102"/>
      <c r="S54" s="102"/>
      <c r="T54" s="102"/>
      <c r="U54" s="102"/>
    </row>
    <row r="55" spans="2:21">
      <c r="C55" s="343"/>
      <c r="G55" s="355"/>
      <c r="H55" s="37"/>
      <c r="I55" s="236"/>
      <c r="J55" s="237"/>
      <c r="P55" s="102"/>
      <c r="Q55" s="102"/>
      <c r="R55" s="102"/>
      <c r="S55" s="102"/>
      <c r="T55" s="102"/>
      <c r="U55" s="102"/>
    </row>
    <row r="56" spans="2:21">
      <c r="C56" s="357" t="s">
        <v>416</v>
      </c>
      <c r="D56" s="353"/>
      <c r="E56" s="352"/>
      <c r="F56" s="352"/>
      <c r="G56" s="354" t="s">
        <v>32</v>
      </c>
      <c r="H56" s="354" t="s">
        <v>34</v>
      </c>
      <c r="I56" s="354" t="s">
        <v>107</v>
      </c>
      <c r="J56" s="354" t="s">
        <v>104</v>
      </c>
      <c r="K56" s="354" t="s">
        <v>108</v>
      </c>
      <c r="L56" s="354" t="s">
        <v>109</v>
      </c>
    </row>
    <row r="57" spans="2:21">
      <c r="C57" s="358" t="str">
        <f>C52</f>
        <v>SCCT Frame "J" X1, 100H2</v>
      </c>
      <c r="D57" s="359"/>
      <c r="E57" s="359"/>
      <c r="F57" s="359"/>
      <c r="G57">
        <f>C63</f>
        <v>302.95146</v>
      </c>
      <c r="H57" s="37">
        <f>C74</f>
        <v>0.33</v>
      </c>
      <c r="I57" s="143">
        <f>H57*G57</f>
        <v>99.973981800000004</v>
      </c>
      <c r="J57" s="37">
        <f>I57/I59</f>
        <v>1</v>
      </c>
      <c r="K57" s="237">
        <f>C70</f>
        <v>2.7161742132077693</v>
      </c>
      <c r="L57" s="360">
        <f>C71</f>
        <v>9492.9577699858783</v>
      </c>
    </row>
    <row r="58" spans="2:21">
      <c r="C58" s="358">
        <f>C53</f>
        <v>0</v>
      </c>
      <c r="D58" s="359"/>
      <c r="E58" s="359"/>
      <c r="F58" s="359"/>
      <c r="G58" s="361">
        <f>D63</f>
        <v>0</v>
      </c>
      <c r="H58" s="233">
        <f>D74</f>
        <v>0</v>
      </c>
      <c r="I58" s="362">
        <f>H58*G58</f>
        <v>0</v>
      </c>
      <c r="J58" s="233">
        <f>1-J57</f>
        <v>0</v>
      </c>
      <c r="K58" s="238">
        <f>D70</f>
        <v>0</v>
      </c>
      <c r="L58" s="363">
        <f>D71</f>
        <v>0</v>
      </c>
    </row>
    <row r="59" spans="2:21">
      <c r="C59" s="343" t="s">
        <v>110</v>
      </c>
      <c r="G59">
        <f>G57+G58</f>
        <v>302.95146</v>
      </c>
      <c r="H59" s="364">
        <f>ROUND(I59/G59,3)</f>
        <v>0.33</v>
      </c>
      <c r="I59" s="143">
        <f>SUM(I57:I58)</f>
        <v>99.973981800000004</v>
      </c>
      <c r="J59" s="37">
        <f>J57+J58</f>
        <v>1</v>
      </c>
      <c r="K59" s="237">
        <f>ROUND(($J57*K57)+($J58*K58),2)</f>
        <v>2.72</v>
      </c>
      <c r="L59" s="365">
        <f>ROUND(($J57*L57)+($J58*L58),0)</f>
        <v>9493</v>
      </c>
    </row>
    <row r="60" spans="2:21">
      <c r="H60" s="364"/>
      <c r="J60" s="37"/>
      <c r="K60" s="237"/>
      <c r="L60" s="366" t="s">
        <v>111</v>
      </c>
    </row>
    <row r="62" spans="2:21">
      <c r="C62" s="354" t="s">
        <v>112</v>
      </c>
      <c r="D62" s="354"/>
      <c r="E62" s="367"/>
      <c r="F62" s="368" t="str">
        <f>D40</f>
        <v>Plant Costs  - 2023 IRP</v>
      </c>
      <c r="G62" s="369"/>
      <c r="H62" s="369"/>
      <c r="I62" s="369"/>
      <c r="J62" s="369"/>
      <c r="K62" s="369"/>
      <c r="L62" s="370"/>
    </row>
    <row r="63" spans="2:21">
      <c r="C63">
        <v>302.95146</v>
      </c>
      <c r="F63" t="s">
        <v>113</v>
      </c>
      <c r="I63" s="239"/>
    </row>
    <row r="64" spans="2:21">
      <c r="B64" t="s">
        <v>152</v>
      </c>
      <c r="C64" s="371">
        <v>973.00358859209928</v>
      </c>
      <c r="F64" s="343" t="s">
        <v>417</v>
      </c>
      <c r="I64" s="239"/>
    </row>
    <row r="65" spans="2:13">
      <c r="I65" s="239"/>
    </row>
    <row r="66" spans="2:13">
      <c r="B66" t="s">
        <v>152</v>
      </c>
      <c r="C66" s="371">
        <v>1109.2240909949933</v>
      </c>
      <c r="D66" s="236"/>
      <c r="F66" t="s">
        <v>418</v>
      </c>
    </row>
    <row r="67" spans="2:13">
      <c r="B67" t="s">
        <v>152</v>
      </c>
      <c r="C67" s="237">
        <v>16.831761637470294</v>
      </c>
      <c r="D67" s="237"/>
      <c r="F67" t="s">
        <v>419</v>
      </c>
    </row>
    <row r="68" spans="2:13">
      <c r="B68" t="s">
        <v>152</v>
      </c>
      <c r="C68" s="240">
        <f>J68*C71/1000*24*L68</f>
        <v>39.60841699948908</v>
      </c>
      <c r="D68" s="240"/>
      <c r="F68" t="s">
        <v>420</v>
      </c>
      <c r="I68" s="250" t="s">
        <v>421</v>
      </c>
      <c r="J68" s="276">
        <v>0.17385</v>
      </c>
      <c r="K68" t="s">
        <v>422</v>
      </c>
      <c r="L68">
        <v>1</v>
      </c>
      <c r="M68" t="s">
        <v>423</v>
      </c>
    </row>
    <row r="69" spans="2:13">
      <c r="B69" t="s">
        <v>152</v>
      </c>
      <c r="C69" s="237">
        <f>C67+C68</f>
        <v>56.440178636959374</v>
      </c>
      <c r="D69" s="237"/>
      <c r="F69" t="s">
        <v>114</v>
      </c>
    </row>
    <row r="70" spans="2:13">
      <c r="B70" t="s">
        <v>152</v>
      </c>
      <c r="C70" s="372">
        <v>2.7161742132077693</v>
      </c>
      <c r="D70" s="237"/>
      <c r="F70" t="s">
        <v>115</v>
      </c>
    </row>
    <row r="71" spans="2:13">
      <c r="C71" s="365">
        <v>9492.9577699858783</v>
      </c>
      <c r="D71" s="365"/>
      <c r="F71" t="s">
        <v>116</v>
      </c>
    </row>
    <row r="72" spans="2:13">
      <c r="C72" s="373">
        <v>0.4</v>
      </c>
      <c r="D72" s="365"/>
      <c r="F72" t="s">
        <v>424</v>
      </c>
    </row>
    <row r="73" spans="2:13">
      <c r="C73" s="374">
        <f>INDEX($K$74:$K$77,MATCH(C72,$J$74:$J$77,0),1)</f>
        <v>4.7489999999999997E-2</v>
      </c>
      <c r="D73" s="374"/>
      <c r="F73" t="str">
        <f>"  Real Payment Factor@ "&amp;TEXT(C72,"00%")&amp;" ITC"</f>
        <v xml:space="preserve">  Real Payment Factor@ 40% ITC</v>
      </c>
      <c r="J73" t="s">
        <v>425</v>
      </c>
    </row>
    <row r="74" spans="2:13">
      <c r="C74" s="375">
        <v>0.33</v>
      </c>
      <c r="D74" s="375"/>
      <c r="F74" t="s">
        <v>37</v>
      </c>
      <c r="J74" s="373">
        <v>0</v>
      </c>
      <c r="K74" s="258">
        <v>6.4549999999999996E-2</v>
      </c>
    </row>
    <row r="75" spans="2:13">
      <c r="D75" s="37">
        <f>ROUND(I59/G59,3)</f>
        <v>0.33</v>
      </c>
      <c r="F75" t="s">
        <v>117</v>
      </c>
      <c r="J75" s="373">
        <v>0.3</v>
      </c>
      <c r="K75" s="258">
        <v>5.176E-2</v>
      </c>
    </row>
    <row r="76" spans="2:13">
      <c r="B76" t="s">
        <v>152</v>
      </c>
      <c r="C76" s="129">
        <v>10.85352912268414</v>
      </c>
      <c r="D76" s="102"/>
      <c r="E76" s="134" t="s">
        <v>426</v>
      </c>
      <c r="F76" s="102" t="s">
        <v>137</v>
      </c>
      <c r="J76" s="373">
        <v>0.4</v>
      </c>
      <c r="K76" s="258">
        <v>4.7489999999999997E-2</v>
      </c>
    </row>
    <row r="77" spans="2:13" ht="13.5" thickBot="1">
      <c r="C77" s="78"/>
      <c r="G77" s="259"/>
      <c r="J77" s="373">
        <v>0.5</v>
      </c>
      <c r="K77" s="258">
        <v>4.3229999999999998E-2</v>
      </c>
    </row>
    <row r="81" spans="4:4">
      <c r="D81" s="241"/>
    </row>
    <row r="82" spans="4:4">
      <c r="D82" s="241"/>
    </row>
  </sheetData>
  <printOptions horizontalCentered="1"/>
  <pageMargins left="0.25" right="0.25" top="0.75" bottom="0.75" header="0.3" footer="0.3"/>
  <pageSetup scale="75" fitToHeight="0" orientation="portrait" r:id="rId1"/>
  <headerFooter alignWithMargins="0"/>
  <rowBreaks count="1" manualBreakCount="1">
    <brk id="46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2AFC-0E02-488B-9437-8EACD545CAEC}">
  <dimension ref="A1:BE114"/>
  <sheetViews>
    <sheetView topLeftCell="A7" zoomScale="70" zoomScaleNormal="70" workbookViewId="0">
      <selection activeCell="F55" sqref="F55"/>
    </sheetView>
  </sheetViews>
  <sheetFormatPr defaultRowHeight="12.75"/>
  <cols>
    <col min="1" max="1" width="40.1640625" customWidth="1"/>
    <col min="2" max="2" width="11.6640625" customWidth="1"/>
    <col min="3" max="3" width="12.5" customWidth="1"/>
    <col min="4" max="4" width="11.83203125" customWidth="1"/>
    <col min="5" max="5" width="12.1640625" customWidth="1"/>
    <col min="6" max="6" width="12.6640625" customWidth="1"/>
    <col min="7" max="7" width="10.83203125" customWidth="1"/>
    <col min="8" max="8" width="12.5" customWidth="1"/>
    <col min="9" max="14" width="11.1640625" customWidth="1"/>
    <col min="15" max="15" width="14.1640625" customWidth="1"/>
    <col min="16" max="16" width="14.33203125" customWidth="1"/>
    <col min="17" max="18" width="11.1640625" customWidth="1"/>
    <col min="19" max="19" width="14.33203125" customWidth="1"/>
    <col min="20" max="20" width="16.83203125" customWidth="1"/>
    <col min="21" max="21" width="14.1640625" customWidth="1"/>
    <col min="22" max="22" width="14.33203125" customWidth="1"/>
    <col min="23" max="24" width="16.5" customWidth="1"/>
    <col min="25" max="25" width="14.83203125" customWidth="1"/>
    <col min="26" max="26" width="16.1640625" customWidth="1"/>
    <col min="27" max="28" width="14.83203125" customWidth="1"/>
    <col min="29" max="29" width="16.1640625" customWidth="1"/>
    <col min="30" max="31" width="14.83203125" customWidth="1"/>
    <col min="32" max="32" width="16.1640625" customWidth="1"/>
    <col min="33" max="34" width="14.83203125" customWidth="1"/>
    <col min="35" max="37" width="18.6640625" customWidth="1"/>
    <col min="38" max="39" width="18.5" customWidth="1"/>
    <col min="40" max="40" width="17" customWidth="1"/>
    <col min="41" max="42" width="16.83203125" customWidth="1"/>
    <col min="43" max="43" width="17" customWidth="1"/>
    <col min="44" max="44" width="16.1640625" customWidth="1"/>
    <col min="45" max="45" width="17" customWidth="1"/>
    <col min="46" max="46" width="14.83203125" customWidth="1"/>
    <col min="47" max="48" width="16" customWidth="1"/>
    <col min="49" max="49" width="16.5" customWidth="1"/>
    <col min="50" max="51" width="16" customWidth="1"/>
    <col min="52" max="52" width="16.5" customWidth="1"/>
    <col min="53" max="57" width="16" customWidth="1"/>
  </cols>
  <sheetData>
    <row r="1" spans="1:57">
      <c r="A1" t="s">
        <v>138</v>
      </c>
    </row>
    <row r="2" spans="1:57">
      <c r="A2" s="245" t="s">
        <v>9</v>
      </c>
    </row>
    <row r="3" spans="1:57" s="245" customFormat="1">
      <c r="A3" s="245" t="s">
        <v>98</v>
      </c>
      <c r="B3" s="380">
        <v>2025</v>
      </c>
      <c r="C3" s="381">
        <v>2025</v>
      </c>
      <c r="D3" s="381">
        <v>2027</v>
      </c>
      <c r="E3" s="381">
        <v>2028</v>
      </c>
      <c r="F3" s="381">
        <v>2029</v>
      </c>
      <c r="G3" s="381">
        <v>2029</v>
      </c>
      <c r="H3" s="382">
        <v>2029</v>
      </c>
      <c r="I3" s="382">
        <v>2032</v>
      </c>
      <c r="J3" s="382">
        <v>2032</v>
      </c>
      <c r="K3" s="382">
        <v>2032</v>
      </c>
      <c r="L3" s="382">
        <v>2032</v>
      </c>
      <c r="M3" s="382">
        <v>2032</v>
      </c>
      <c r="N3" s="382">
        <v>2032</v>
      </c>
      <c r="O3" s="314">
        <v>2025</v>
      </c>
      <c r="P3" s="314">
        <v>2025</v>
      </c>
      <c r="Q3" s="314">
        <v>2028</v>
      </c>
      <c r="R3" s="314">
        <v>2028</v>
      </c>
      <c r="S3" s="315">
        <v>2028</v>
      </c>
      <c r="T3" s="314">
        <v>2025</v>
      </c>
      <c r="U3" s="314">
        <v>2025</v>
      </c>
      <c r="V3" s="314">
        <v>2025</v>
      </c>
      <c r="W3" s="314">
        <v>2025</v>
      </c>
      <c r="X3" s="314">
        <v>2025</v>
      </c>
      <c r="Y3" s="314">
        <v>2025</v>
      </c>
      <c r="Z3" s="314">
        <v>2025</v>
      </c>
      <c r="AA3" s="314">
        <v>2025</v>
      </c>
      <c r="AB3" s="314">
        <v>2025</v>
      </c>
      <c r="AC3" s="314">
        <v>2025</v>
      </c>
      <c r="AD3" s="314">
        <v>2025</v>
      </c>
      <c r="AE3" s="314">
        <v>2025</v>
      </c>
      <c r="AF3" s="314">
        <v>2026</v>
      </c>
      <c r="AG3" s="314">
        <f>AF3</f>
        <v>2026</v>
      </c>
      <c r="AH3" s="314">
        <f>AG3</f>
        <v>2026</v>
      </c>
      <c r="AI3" s="314">
        <v>2026</v>
      </c>
      <c r="AJ3" s="315">
        <v>2026</v>
      </c>
      <c r="AK3" s="315">
        <v>2026</v>
      </c>
      <c r="AL3" s="92">
        <v>2026</v>
      </c>
      <c r="AM3" s="92">
        <v>2026</v>
      </c>
      <c r="AN3" s="92">
        <f>AM3</f>
        <v>2026</v>
      </c>
      <c r="AO3" s="92">
        <v>2026</v>
      </c>
      <c r="AP3" s="92">
        <v>2026</v>
      </c>
      <c r="AQ3" s="92">
        <f>AP3</f>
        <v>2026</v>
      </c>
      <c r="AR3" s="92">
        <v>2026</v>
      </c>
      <c r="AS3" s="92">
        <v>2026</v>
      </c>
      <c r="AT3" s="92">
        <v>2026</v>
      </c>
      <c r="AU3" s="92">
        <v>2027</v>
      </c>
      <c r="AV3" s="92">
        <v>2027</v>
      </c>
      <c r="AW3" s="92">
        <v>2027</v>
      </c>
      <c r="AX3" s="92">
        <v>2029</v>
      </c>
      <c r="AY3" s="92">
        <v>2029</v>
      </c>
      <c r="AZ3" s="92">
        <v>2029</v>
      </c>
      <c r="BA3" s="92">
        <v>2026</v>
      </c>
      <c r="BB3" s="92">
        <v>2027</v>
      </c>
      <c r="BC3" s="92">
        <v>2028</v>
      </c>
      <c r="BD3" s="92">
        <v>2028</v>
      </c>
      <c r="BE3" s="92">
        <v>2029</v>
      </c>
    </row>
    <row r="4" spans="1:57">
      <c r="B4" s="383" t="s">
        <v>384</v>
      </c>
      <c r="C4" s="384" t="s">
        <v>384</v>
      </c>
      <c r="D4" s="384" t="s">
        <v>384</v>
      </c>
      <c r="E4" s="384" t="s">
        <v>384</v>
      </c>
      <c r="F4" s="384" t="s">
        <v>384</v>
      </c>
      <c r="G4" s="384" t="s">
        <v>384</v>
      </c>
      <c r="H4" s="384" t="s">
        <v>384</v>
      </c>
      <c r="I4" s="384" t="s">
        <v>384</v>
      </c>
      <c r="J4" s="384" t="s">
        <v>384</v>
      </c>
      <c r="K4" s="384" t="s">
        <v>384</v>
      </c>
      <c r="L4" s="384" t="s">
        <v>384</v>
      </c>
      <c r="M4" s="384" t="s">
        <v>384</v>
      </c>
      <c r="N4" s="384" t="s">
        <v>384</v>
      </c>
      <c r="O4" s="248" t="s">
        <v>223</v>
      </c>
      <c r="P4" s="248" t="s">
        <v>223</v>
      </c>
      <c r="Q4" s="248" t="s">
        <v>223</v>
      </c>
      <c r="R4" s="248" t="s">
        <v>223</v>
      </c>
      <c r="S4" s="311" t="s">
        <v>223</v>
      </c>
      <c r="T4" s="313" t="s">
        <v>387</v>
      </c>
      <c r="U4" s="302" t="s">
        <v>386</v>
      </c>
      <c r="V4" s="312" t="s">
        <v>385</v>
      </c>
      <c r="W4" s="313" t="s">
        <v>387</v>
      </c>
      <c r="X4" s="302" t="s">
        <v>386</v>
      </c>
      <c r="Y4" s="312" t="s">
        <v>385</v>
      </c>
      <c r="Z4" s="313" t="s">
        <v>387</v>
      </c>
      <c r="AA4" s="302" t="s">
        <v>386</v>
      </c>
      <c r="AB4" s="312" t="s">
        <v>385</v>
      </c>
      <c r="AC4" s="313" t="s">
        <v>387</v>
      </c>
      <c r="AD4" s="302" t="s">
        <v>386</v>
      </c>
      <c r="AE4" s="312" t="s">
        <v>385</v>
      </c>
      <c r="AF4" s="313" t="s">
        <v>387</v>
      </c>
      <c r="AG4" s="302" t="s">
        <v>386</v>
      </c>
      <c r="AH4" s="312" t="s">
        <v>385</v>
      </c>
      <c r="AI4" s="313" t="s">
        <v>387</v>
      </c>
      <c r="AJ4" s="302" t="s">
        <v>386</v>
      </c>
      <c r="AK4" s="294" t="s">
        <v>385</v>
      </c>
      <c r="AL4" s="293" t="s">
        <v>387</v>
      </c>
      <c r="AM4" s="300" t="s">
        <v>386</v>
      </c>
      <c r="AN4" s="294" t="s">
        <v>385</v>
      </c>
      <c r="AO4" s="293" t="s">
        <v>387</v>
      </c>
      <c r="AP4" s="300" t="s">
        <v>386</v>
      </c>
      <c r="AQ4" s="294" t="s">
        <v>385</v>
      </c>
      <c r="AR4" s="293" t="s">
        <v>387</v>
      </c>
      <c r="AS4" s="300" t="s">
        <v>386</v>
      </c>
      <c r="AT4" s="294" t="s">
        <v>385</v>
      </c>
      <c r="AU4" s="293" t="s">
        <v>387</v>
      </c>
      <c r="AV4" s="300" t="s">
        <v>386</v>
      </c>
      <c r="AW4" s="294" t="s">
        <v>385</v>
      </c>
      <c r="AX4" s="293" t="s">
        <v>387</v>
      </c>
      <c r="AY4" s="300" t="s">
        <v>386</v>
      </c>
      <c r="AZ4" s="294" t="s">
        <v>385</v>
      </c>
      <c r="BA4" s="304" t="s">
        <v>388</v>
      </c>
      <c r="BB4" s="304" t="s">
        <v>388</v>
      </c>
      <c r="BC4" s="304" t="s">
        <v>388</v>
      </c>
      <c r="BD4" s="304" t="s">
        <v>388</v>
      </c>
      <c r="BE4" s="304" t="s">
        <v>388</v>
      </c>
    </row>
    <row r="5" spans="1:57" ht="63.75">
      <c r="B5" s="295" t="str">
        <f>'2025_WD_.PX.WYE._.SER.WD'!B2</f>
        <v>WD_.PX.WYE._.SER.WD</v>
      </c>
      <c r="C5" s="164" t="str">
        <f>'2025_WD_.PX.UWY._.SER.WD'!B2</f>
        <v>WD_.PX.UWY._.SER.WD</v>
      </c>
      <c r="D5" s="164" t="str">
        <f>'2027_WD_.PX.WWA._.215.WD'!B2</f>
        <v>WD_.PX.WWA._.215.WD</v>
      </c>
      <c r="E5" s="164" t="str">
        <f>'2028_WD_.PX.BOR._.PTC.WD'!B2</f>
        <v>WD_.PX.BOR._.PTC.WD</v>
      </c>
      <c r="F5" s="164" t="str">
        <f>'2029_WD_.PX.WYE.1.A01.WD'!B2</f>
        <v>WD_.PX.WYE.1.A01.WD</v>
      </c>
      <c r="G5" s="164" t="str">
        <f>'2029_WD_.PX.BDG._.PTC.Bridger.W'!B2</f>
        <v>WD_.PX.BDG._.PTC.Bridger.WD</v>
      </c>
      <c r="H5" s="164" t="str">
        <f>'2029_WD_.PX.WYE._.PTC.WD'!B2</f>
        <v>WD_.PX.WYE._.PTC.WD</v>
      </c>
      <c r="I5" s="164" t="str">
        <f>'2032_WD_.PX.PNC._.PTC.WD'!B2</f>
        <v>WD_.PX.PNC._.PTC.WD</v>
      </c>
      <c r="J5" s="164" t="str">
        <f>'2032_WD_.PX.SOR._.PTC.WD'!B2</f>
        <v>WD_.PX.SOR._.PTC.WD</v>
      </c>
      <c r="K5" s="164" t="str">
        <f>'2032_WD_.PX.WWA._.PTC.WD'!B2</f>
        <v>WD_.PX.WWA._.PTC.WD</v>
      </c>
      <c r="L5" s="164" t="str">
        <f>'2032_WD_.PX.YAK._.PTC.WD'!B2</f>
        <v>WD_.PX.YAK._.PTC.WD</v>
      </c>
      <c r="M5" s="164" t="str">
        <f>'2032_WD_.PX.WYE._.PTC.Djohns.WD'!B2</f>
        <v>WD_.PX.WYE._.PTC.Djohns.WD</v>
      </c>
      <c r="N5" s="164" t="str">
        <f>'2032_WD_.PX.WYN._.PTC.WD'!B2</f>
        <v>WD_.PX.WYN._.PTC.WD</v>
      </c>
      <c r="O5" s="164" t="str">
        <f>'2025_PV_.PX.UTS._.SER.PV'!B2</f>
        <v>PV_.PX.UTS._.SER.PV</v>
      </c>
      <c r="P5" s="164" t="str">
        <f>'2025_PV_.PX.UWY._.SER.PV'!B2</f>
        <v>PV_.PX.UWY._.SER.PV</v>
      </c>
      <c r="Q5" s="164" t="str">
        <f>'2028_PV_.PX.UTS._.PTC.Hunter.PV'!B2</f>
        <v>PV_.PX.UTS._.PTC.Hunter.PV</v>
      </c>
      <c r="R5" s="164" t="str">
        <f>'2028_PV_.PX.UTS._.PTC.Huntingto'!B2</f>
        <v>PV_.PX.UTS._.PTC.Huntington.PV</v>
      </c>
      <c r="S5" s="296" t="str">
        <f>'2028_PV_.PX.BOR._.PTC.PV'!B2</f>
        <v>PV_.PX.BOR._.PTC.PV</v>
      </c>
      <c r="T5" s="164" t="str">
        <f>'2025_PVS.PX.UTS._.SER.PV'!B2</f>
        <v>PVS.PX.UTS._.SER.PV</v>
      </c>
      <c r="U5" s="164" t="str">
        <f>'2025_PVS.PX.UTS._.SER.BAT'!B2</f>
        <v>PVS.PX.UTS._.SER.BAT</v>
      </c>
      <c r="V5" s="296" t="str">
        <f>CONCATENATE(T5," Plus Bat")</f>
        <v>PVS.PX.UTS._.SER.PV Plus Bat</v>
      </c>
      <c r="W5" s="295" t="str">
        <f>'2025_PVS.PX.UWY._.SER.PV'!B2</f>
        <v>PVS.PX.UWY._.SER.PV</v>
      </c>
      <c r="X5" s="164" t="str">
        <f>'2025_PVS.PX.UWY._.SER.BAT'!B2</f>
        <v>PVS.PX.UWY._.SER.BAT</v>
      </c>
      <c r="Y5" s="296" t="str">
        <f>CONCATENATE(W5," Plus Bat")</f>
        <v>PVS.PX.UWY._.SER.PV Plus Bat</v>
      </c>
      <c r="Z5" s="295" t="str">
        <f>'2025_PVS.PX.WYE._.SER.PV'!B2</f>
        <v>PVS.PX.WYE._.SER.PV</v>
      </c>
      <c r="AA5" s="164" t="str">
        <f>'2025_PVS.PX.WYE._.SER.BAT'!B2</f>
        <v>PVS.PX.WYE._.SER.BAT</v>
      </c>
      <c r="AB5" s="296" t="str">
        <f>CONCATENATE(Z5," Plus Bat")</f>
        <v>PVS.PX.WYE._.SER.PV Plus Bat</v>
      </c>
      <c r="AC5" s="295" t="str">
        <f>'2025_PVS.PX.WMV._.222.PV'!B2</f>
        <v>PVS.PX.WMV._.222.PV</v>
      </c>
      <c r="AD5" s="164" t="str">
        <f>'2025_PVS.PX.WMV._.222.BAT'!B2</f>
        <v>PVS.PX.WMV._.222.BAT</v>
      </c>
      <c r="AE5" s="296" t="str">
        <f>CONCATENATE(AC5," Plus Bat")</f>
        <v>PVS.PX.WMV._.222.PV Plus Bat</v>
      </c>
      <c r="AF5" s="295" t="str">
        <f>'2026_PVS.PX.CLV.1.TC4.PV'!B2</f>
        <v>PVS.PX.CLV.1.TC4.PV</v>
      </c>
      <c r="AG5" s="164" t="str">
        <f>'2026_PVS.PX.CLV.1.TC4.BAT'!B2</f>
        <v>PVS.PX.CLV.1.TC4.BAT</v>
      </c>
      <c r="AH5" s="296" t="str">
        <f>CONCATENATE(AF5," Plus Bat")</f>
        <v>PVS.PX.CLV.1.TC4.PV Plus Bat</v>
      </c>
      <c r="AI5" s="295" t="str">
        <f>'2026_PVS.PX.COR._.TC8.PV'!B2</f>
        <v>PVS.PX.COR._.TC8.PV</v>
      </c>
      <c r="AJ5" s="164" t="str">
        <f>'2026_PVS.PX.COR._.TC8.BAT'!B2</f>
        <v>PVS.PX.COR._.TC8.BAT</v>
      </c>
      <c r="AK5" s="296" t="str">
        <f>CONCATENATE(AI5," Plus Bat")</f>
        <v>PVS.PX.COR._.TC8.PV Plus Bat</v>
      </c>
      <c r="AL5" s="295" t="str">
        <f>'2026_PVS.PX.BOR._.2C5.PV'!B2</f>
        <v>PVS.PX.BOR._.2C5.PV</v>
      </c>
      <c r="AM5" s="164" t="str">
        <f>'2026_PVS.PX.BOR._.2C5.BAT'!B2</f>
        <v>PVS.PX.BOR._.2C5.BAT</v>
      </c>
      <c r="AN5" s="296" t="str">
        <f>CONCATENATE(AL5," Plus Bat")</f>
        <v>PVS.PX.BOR._.2C5.PV Plus Bat</v>
      </c>
      <c r="AO5" s="295" t="str">
        <f>'2026_PVS.PX.WMV._.223.PV'!B2</f>
        <v>PVS.PX.WMV._.223.PV</v>
      </c>
      <c r="AP5" s="164" t="str">
        <f>'2026_PVS.PX.WMV._.223.BAT'!B2</f>
        <v>PVS.PX.WMV._.223.BAT</v>
      </c>
      <c r="AQ5" s="296" t="str">
        <f>CONCATENATE(AO5," Plus Bat")</f>
        <v>PVS.PX.WMV._.223.PV Plus Bat</v>
      </c>
      <c r="AR5" s="295" t="str">
        <f>'2026_PVS.PX.YAK._.110.PV'!B2</f>
        <v>PVS.PX.YAK._.110.PV</v>
      </c>
      <c r="AS5" s="164" t="str">
        <f>'2026_PVS.PX.YAK._.110.BAT'!B2</f>
        <v>PVS.PX.YAK._.110.BAT</v>
      </c>
      <c r="AT5" s="296" t="str">
        <f>CONCATENATE(AR5," Plus Bat")</f>
        <v>PVS.PX.YAK._.110.PV Plus Bat</v>
      </c>
      <c r="AU5" s="295" t="str">
        <f>'2027_PVS.PX.WWA._.215.PV'!B2</f>
        <v>PVS.PX.WWA._.215.PV</v>
      </c>
      <c r="AV5" s="164" t="str">
        <f>'2026_PVS.PX.WWA._.215.BAT'!B2</f>
        <v>PVS.PX.WWA._.215.BAT</v>
      </c>
      <c r="AW5" s="296" t="str">
        <f>CONCATENATE(AU5," Plus Bat")</f>
        <v>PVS.PX.WWA._.215.PV Plus Bat</v>
      </c>
      <c r="AX5" s="295" t="str">
        <f>'2029_PVS.PX.GOE.1.A43.PV'!B2</f>
        <v>PVS.PX.GOE.1.A43.PV</v>
      </c>
      <c r="AY5" s="164" t="str">
        <f>'2029_PVS.PX.GOE.1.A43.BAT'!B2</f>
        <v>PVS.PX.GOE.1.A43.BAT</v>
      </c>
      <c r="AZ5" s="296" t="str">
        <f>CONCATENATE(AX5," Plus Bat")</f>
        <v>PVS.PX.GOE.1.A43.PV Plus Bat</v>
      </c>
      <c r="BA5" s="295" t="str">
        <f>'2026_BAT.PX.BPA._.221.Lithium-I'!B2</f>
        <v>BAT.PX.BPA._.221.Lithium-Ion</v>
      </c>
      <c r="BB5" s="295" t="str">
        <f>'2027_BAT.PX.WWA._.215.Lithium-i'!B2</f>
        <v>BAT.PX.WWA._.215.Lithium-ion</v>
      </c>
      <c r="BC5" s="295" t="str">
        <f>'2028_BAT.PX.WYE._.ITC.DJ+Wyodak'!B2</f>
        <v>BAT.PX.WYE._.ITC.DJ+Wyodak</v>
      </c>
      <c r="BD5" s="295" t="str">
        <f>'2028_BAT.PX.BOR._.ITC.Lithium-i'!B2</f>
        <v>BAT.PX.BOR._.ITC.Lithium-ion</v>
      </c>
      <c r="BE5" s="295" t="str">
        <f>'2029_BAT.PX.UTN._.ITC.Lithium-i'!B2</f>
        <v>BAT.PX.UTN._.ITC.Lithium-ion</v>
      </c>
    </row>
    <row r="6" spans="1:57">
      <c r="A6" s="109">
        <v>2022</v>
      </c>
      <c r="B6" s="297">
        <f>'2025_WD_.PX.WYE._.SER.WD'!L16</f>
        <v>0</v>
      </c>
      <c r="C6">
        <f>'2025_WD_.PX.UWY._.SER.WD'!L16</f>
        <v>0</v>
      </c>
      <c r="D6">
        <f>'2027_WD_.PX.WWA._.215.WD'!L16</f>
        <v>0</v>
      </c>
      <c r="E6">
        <f>'2028_WD_.PX.BOR._.PTC.WD'!L16</f>
        <v>0</v>
      </c>
      <c r="F6">
        <f>'2029_WD_.PX.WYE.1.A01.WD'!L16</f>
        <v>0</v>
      </c>
      <c r="G6">
        <f>'2029_WD_.PX.BDG._.PTC.Bridger.W'!L16</f>
        <v>0</v>
      </c>
      <c r="H6">
        <f>'2029_WD_.PX.WYE._.PTC.WD'!L16</f>
        <v>0</v>
      </c>
      <c r="I6">
        <f>'2032_WD_.PX.PNC._.PTC.WD'!L16</f>
        <v>0</v>
      </c>
      <c r="J6">
        <f>'2032_WD_.PX.SOR._.PTC.WD'!L16</f>
        <v>0</v>
      </c>
      <c r="K6">
        <f>'2032_WD_.PX.WWA._.PTC.WD'!L16</f>
        <v>0</v>
      </c>
      <c r="L6">
        <f>'2032_WD_.PX.YAK._.PTC.WD'!L16</f>
        <v>0</v>
      </c>
      <c r="M6">
        <f>'2032_WD_.PX.WYE._.PTC.Djohns.WD'!L16</f>
        <v>0</v>
      </c>
      <c r="N6">
        <f>'2032_WD_.PX.WYN._.PTC.WD'!L16</f>
        <v>0</v>
      </c>
      <c r="O6">
        <f>'2025_PV_.PX.UTS._.SER.PV'!L16</f>
        <v>0</v>
      </c>
      <c r="P6">
        <f>'2025_PV_.PX.UWY._.SER.PV'!L16</f>
        <v>0</v>
      </c>
      <c r="Q6">
        <f>'2028_PV_.PX.UTS._.PTC.Hunter.PV'!L16</f>
        <v>0</v>
      </c>
      <c r="R6">
        <f>'2028_PV_.PX.UTS._.PTC.Huntingto'!L16</f>
        <v>0</v>
      </c>
      <c r="S6" s="298">
        <f>'2028_PV_.PX.BOR._.PTC.PV'!L16</f>
        <v>0</v>
      </c>
      <c r="T6">
        <f>'2025_PVS.PX.UTS._.SER.PV'!L16</f>
        <v>0</v>
      </c>
      <c r="U6">
        <f>'2025_PVS.PX.UTS._.SER.BAT'!K16</f>
        <v>0</v>
      </c>
      <c r="V6" s="298">
        <f t="shared" ref="V6:V8" si="0">T6+U6</f>
        <v>0</v>
      </c>
      <c r="W6" s="297">
        <f>'2025_PVS.PX.UWY._.SER.PV'!L16</f>
        <v>0</v>
      </c>
      <c r="X6">
        <f>'2025_PVS.PX.UWY._.SER.BAT'!K16</f>
        <v>0</v>
      </c>
      <c r="Y6" s="298">
        <f>W6+X6</f>
        <v>0</v>
      </c>
      <c r="Z6" s="297">
        <f>'2025_PVS.PX.WYE._.SER.PV'!L16</f>
        <v>0</v>
      </c>
      <c r="AA6">
        <f>'2025_PVS.PX.WYE._.SER.BAT'!K16</f>
        <v>0</v>
      </c>
      <c r="AB6" s="298">
        <f>Z6+AA6</f>
        <v>0</v>
      </c>
      <c r="AC6" s="297">
        <f>'2025_PVS.PX.WMV._.222.PV'!L16</f>
        <v>0</v>
      </c>
      <c r="AD6">
        <f>'2025_PVS.PX.WMV._.222.BAT'!K16</f>
        <v>0</v>
      </c>
      <c r="AE6" s="298">
        <f>AC6+AD6</f>
        <v>0</v>
      </c>
      <c r="AF6" s="297">
        <f>'2026_PVS.PX.CLV.1.TC4.PV'!L16</f>
        <v>0</v>
      </c>
      <c r="AG6">
        <f>'2026_PVS.PX.CLV.1.TC4.BAT'!K16</f>
        <v>0</v>
      </c>
      <c r="AH6" s="298">
        <f>AF6+AG6</f>
        <v>0</v>
      </c>
      <c r="AI6" s="297">
        <f>'2026_PVS.PX.COR._.TC8.PV'!L16</f>
        <v>0</v>
      </c>
      <c r="AJ6">
        <f>'2026_PVS.PX.COR._.TC8.BAT'!K16</f>
        <v>0</v>
      </c>
      <c r="AK6" s="298">
        <f>AI6+AJ6</f>
        <v>0</v>
      </c>
      <c r="AL6" s="297">
        <f>'2026_PVS.PX.BOR._.2C5.PV'!L16</f>
        <v>0</v>
      </c>
      <c r="AM6">
        <f>'2026_PVS.PX.BOR._.2C5.BAT'!K16</f>
        <v>0</v>
      </c>
      <c r="AN6" s="298">
        <f>AL6+AM6</f>
        <v>0</v>
      </c>
      <c r="AO6" s="297">
        <f>'2026_PVS.PX.WMV._.223.PV'!L16</f>
        <v>0</v>
      </c>
      <c r="AP6">
        <f>'2026_PVS.PX.WMV._.223.BAT'!K16</f>
        <v>0</v>
      </c>
      <c r="AQ6" s="298">
        <f>AO6+AP6</f>
        <v>0</v>
      </c>
      <c r="AR6" s="297">
        <f>'2026_PVS.PX.YAK._.110.PV'!L16</f>
        <v>0</v>
      </c>
      <c r="AS6">
        <f>'2026_PVS.PX.YAK._.110.BAT'!K16</f>
        <v>0</v>
      </c>
      <c r="AT6" s="298">
        <f>AR6+AS6</f>
        <v>0</v>
      </c>
      <c r="AU6" s="297">
        <f>'2027_PVS.PX.WWA._.215.PV'!L16</f>
        <v>0</v>
      </c>
      <c r="AV6">
        <f>'2026_PVS.PX.WWA._.215.BAT'!K16</f>
        <v>0</v>
      </c>
      <c r="AW6" s="298">
        <f>AU6+AV6</f>
        <v>0</v>
      </c>
      <c r="AX6" s="297">
        <f>'2029_PVS.PX.GOE.1.A43.PV'!L16</f>
        <v>0</v>
      </c>
      <c r="AY6">
        <f>'2029_PVS.PX.GOE.1.A43.BAT'!K16</f>
        <v>0</v>
      </c>
      <c r="AZ6" s="298">
        <f>AX6+AY6</f>
        <v>0</v>
      </c>
      <c r="BA6" s="297">
        <f>'2026_BAT.PX.BPA._.221.Lithium-I'!K16</f>
        <v>0</v>
      </c>
      <c r="BB6" s="297">
        <f>'2027_BAT.PX.WWA._.215.Lithium-i'!K16</f>
        <v>0</v>
      </c>
      <c r="BC6" s="297">
        <f>'2028_BAT.PX.WYE._.ITC.DJ+Wyodak'!K16</f>
        <v>0</v>
      </c>
      <c r="BD6" s="297">
        <f>'2028_BAT.PX.BOR._.ITC.Lithium-i'!K16</f>
        <v>0</v>
      </c>
      <c r="BE6" s="297">
        <f>'2029_BAT.PX.UTN._.ITC.Lithium-i'!K16</f>
        <v>0</v>
      </c>
    </row>
    <row r="7" spans="1:57">
      <c r="A7" s="109">
        <v>2023</v>
      </c>
      <c r="B7" s="297">
        <f>'2025_WD_.PX.WYE._.SER.WD'!L17</f>
        <v>0</v>
      </c>
      <c r="C7">
        <f>'2025_WD_.PX.UWY._.SER.WD'!L17</f>
        <v>0</v>
      </c>
      <c r="D7">
        <f>'2027_WD_.PX.WWA._.215.WD'!L17</f>
        <v>0</v>
      </c>
      <c r="E7">
        <f>'2028_WD_.PX.BOR._.PTC.WD'!L17</f>
        <v>0</v>
      </c>
      <c r="F7">
        <f>'2029_WD_.PX.WYE.1.A01.WD'!L17</f>
        <v>0</v>
      </c>
      <c r="G7">
        <f>'2029_WD_.PX.BDG._.PTC.Bridger.W'!L17</f>
        <v>0</v>
      </c>
      <c r="H7">
        <f>'2029_WD_.PX.WYE._.PTC.WD'!L17</f>
        <v>0</v>
      </c>
      <c r="I7">
        <f>'2032_WD_.PX.PNC._.PTC.WD'!L17</f>
        <v>0</v>
      </c>
      <c r="J7">
        <f>'2032_WD_.PX.SOR._.PTC.WD'!L17</f>
        <v>0</v>
      </c>
      <c r="K7">
        <f>'2032_WD_.PX.WWA._.PTC.WD'!L17</f>
        <v>0</v>
      </c>
      <c r="L7">
        <f>'2032_WD_.PX.YAK._.PTC.WD'!L17</f>
        <v>0</v>
      </c>
      <c r="M7">
        <f>'2032_WD_.PX.WYE._.PTC.Djohns.WD'!L17</f>
        <v>0</v>
      </c>
      <c r="N7">
        <f>'2032_WD_.PX.WYN._.PTC.WD'!L17</f>
        <v>0</v>
      </c>
      <c r="O7">
        <f>'2025_PV_.PX.UTS._.SER.PV'!L17</f>
        <v>0</v>
      </c>
      <c r="P7">
        <f>'2025_PV_.PX.UWY._.SER.PV'!L17</f>
        <v>0</v>
      </c>
      <c r="Q7">
        <f>'2028_PV_.PX.UTS._.PTC.Hunter.PV'!L17</f>
        <v>0</v>
      </c>
      <c r="R7">
        <f>'2028_PV_.PX.UTS._.PTC.Huntingto'!L17</f>
        <v>0</v>
      </c>
      <c r="S7" s="298">
        <f>'2028_PV_.PX.BOR._.PTC.PV'!L17</f>
        <v>0</v>
      </c>
      <c r="T7">
        <f>'2025_PVS.PX.UTS._.SER.PV'!L17</f>
        <v>0</v>
      </c>
      <c r="U7">
        <f>'2025_PVS.PX.UTS._.SER.BAT'!K17</f>
        <v>0</v>
      </c>
      <c r="V7" s="298">
        <f t="shared" si="0"/>
        <v>0</v>
      </c>
      <c r="W7" s="297">
        <f>'2025_PVS.PX.UWY._.SER.PV'!L17</f>
        <v>0</v>
      </c>
      <c r="X7">
        <f>'2025_PVS.PX.UWY._.SER.BAT'!K17</f>
        <v>0</v>
      </c>
      <c r="Y7" s="298">
        <f t="shared" ref="Y7:Y26" si="1">W7+X7</f>
        <v>0</v>
      </c>
      <c r="Z7" s="297">
        <f>'2025_PVS.PX.WYE._.SER.PV'!L17</f>
        <v>0</v>
      </c>
      <c r="AA7">
        <f>'2025_PVS.PX.WYE._.SER.BAT'!K17</f>
        <v>0</v>
      </c>
      <c r="AB7" s="298">
        <f t="shared" ref="AB7:AB26" si="2">Z7+AA7</f>
        <v>0</v>
      </c>
      <c r="AC7" s="297">
        <f>'2025_PVS.PX.WMV._.222.PV'!L17</f>
        <v>0</v>
      </c>
      <c r="AD7">
        <f>'2025_PVS.PX.WMV._.222.BAT'!K17</f>
        <v>0</v>
      </c>
      <c r="AE7" s="298">
        <f t="shared" ref="AE7:AE26" si="3">AC7+AD7</f>
        <v>0</v>
      </c>
      <c r="AF7" s="297">
        <f>'2026_PVS.PX.CLV.1.TC4.PV'!L17</f>
        <v>0</v>
      </c>
      <c r="AG7">
        <f>'2026_PVS.PX.CLV.1.TC4.BAT'!K17</f>
        <v>0</v>
      </c>
      <c r="AH7" s="298">
        <f t="shared" ref="AH7:AH26" si="4">AF7+AG7</f>
        <v>0</v>
      </c>
      <c r="AI7" s="297">
        <f>'2026_PVS.PX.COR._.TC8.PV'!L17</f>
        <v>0</v>
      </c>
      <c r="AJ7">
        <f>'2026_PVS.PX.COR._.TC8.BAT'!K17</f>
        <v>0</v>
      </c>
      <c r="AK7" s="298">
        <f t="shared" ref="AK7:AK26" si="5">AI7+AJ7</f>
        <v>0</v>
      </c>
      <c r="AL7" s="297">
        <f>'2026_PVS.PX.BOR._.2C5.PV'!L17</f>
        <v>0</v>
      </c>
      <c r="AM7">
        <f>'2026_PVS.PX.BOR._.2C5.BAT'!K17</f>
        <v>0</v>
      </c>
      <c r="AN7" s="298">
        <f t="shared" ref="AN7:AN26" si="6">AL7+AM7</f>
        <v>0</v>
      </c>
      <c r="AO7" s="297">
        <f>'2026_PVS.PX.WMV._.223.PV'!L17</f>
        <v>0</v>
      </c>
      <c r="AP7">
        <f>'2026_PVS.PX.WMV._.223.BAT'!K17</f>
        <v>0</v>
      </c>
      <c r="AQ7" s="298">
        <f t="shared" ref="AQ7:AQ26" si="7">AO7+AP7</f>
        <v>0</v>
      </c>
      <c r="AR7" s="297">
        <f>'2026_PVS.PX.YAK._.110.PV'!L17</f>
        <v>0</v>
      </c>
      <c r="AS7">
        <f>'2026_PVS.PX.YAK._.110.BAT'!K17</f>
        <v>0</v>
      </c>
      <c r="AT7" s="298">
        <f t="shared" ref="AT7:AW26" si="8">AR7+AS7</f>
        <v>0</v>
      </c>
      <c r="AU7" s="297">
        <f>'2027_PVS.PX.WWA._.215.PV'!L17</f>
        <v>0</v>
      </c>
      <c r="AV7">
        <f>'2026_PVS.PX.WWA._.215.BAT'!K17</f>
        <v>0</v>
      </c>
      <c r="AW7" s="298">
        <f t="shared" si="8"/>
        <v>0</v>
      </c>
      <c r="AX7" s="297">
        <f>'2029_PVS.PX.GOE.1.A43.PV'!L17</f>
        <v>0</v>
      </c>
      <c r="AY7">
        <f>'2029_PVS.PX.GOE.1.A43.BAT'!K17</f>
        <v>0</v>
      </c>
      <c r="AZ7" s="298">
        <f t="shared" ref="AZ7:AZ26" si="9">AX7+AY7</f>
        <v>0</v>
      </c>
      <c r="BA7" s="297">
        <f>'2026_BAT.PX.BPA._.221.Lithium-I'!K17</f>
        <v>0</v>
      </c>
      <c r="BB7" s="297">
        <f>'2027_BAT.PX.WWA._.215.Lithium-i'!K17</f>
        <v>0</v>
      </c>
      <c r="BC7" s="297">
        <f>'2028_BAT.PX.WYE._.ITC.DJ+Wyodak'!K17</f>
        <v>0</v>
      </c>
      <c r="BD7" s="297">
        <f>'2028_BAT.PX.BOR._.ITC.Lithium-i'!K17</f>
        <v>0</v>
      </c>
      <c r="BE7" s="297">
        <f>'2029_BAT.PX.UTN._.ITC.Lithium-i'!K17</f>
        <v>0</v>
      </c>
    </row>
    <row r="8" spans="1:57">
      <c r="A8" s="109">
        <v>2024</v>
      </c>
      <c r="B8" s="297">
        <f>'2025_WD_.PX.WYE._.SER.WD'!L18</f>
        <v>0</v>
      </c>
      <c r="C8">
        <f>'2025_WD_.PX.UWY._.SER.WD'!L18</f>
        <v>0</v>
      </c>
      <c r="D8">
        <f>'2027_WD_.PX.WWA._.215.WD'!L18</f>
        <v>0</v>
      </c>
      <c r="E8">
        <f>'2028_WD_.PX.BOR._.PTC.WD'!L18</f>
        <v>0</v>
      </c>
      <c r="F8">
        <f>'2029_WD_.PX.WYE.1.A01.WD'!L18</f>
        <v>0</v>
      </c>
      <c r="G8">
        <f>'2029_WD_.PX.BDG._.PTC.Bridger.W'!L18</f>
        <v>0</v>
      </c>
      <c r="H8">
        <f>'2029_WD_.PX.WYE._.PTC.WD'!L18</f>
        <v>0</v>
      </c>
      <c r="I8">
        <f>'2032_WD_.PX.PNC._.PTC.WD'!L18</f>
        <v>0</v>
      </c>
      <c r="J8">
        <f>'2032_WD_.PX.SOR._.PTC.WD'!L18</f>
        <v>0</v>
      </c>
      <c r="K8">
        <f>'2032_WD_.PX.WWA._.PTC.WD'!L18</f>
        <v>0</v>
      </c>
      <c r="L8">
        <f>'2032_WD_.PX.YAK._.PTC.WD'!L18</f>
        <v>0</v>
      </c>
      <c r="M8">
        <f>'2032_WD_.PX.WYE._.PTC.Djohns.WD'!L18</f>
        <v>0</v>
      </c>
      <c r="N8">
        <f>'2032_WD_.PX.WYN._.PTC.WD'!L18</f>
        <v>0</v>
      </c>
      <c r="O8">
        <f>'2025_PV_.PX.UTS._.SER.PV'!L18</f>
        <v>0</v>
      </c>
      <c r="P8">
        <f>'2025_PV_.PX.UWY._.SER.PV'!L18</f>
        <v>0</v>
      </c>
      <c r="Q8">
        <f>'2028_PV_.PX.UTS._.PTC.Hunter.PV'!L18</f>
        <v>0</v>
      </c>
      <c r="R8">
        <f>'2028_PV_.PX.UTS._.PTC.Huntingto'!L18</f>
        <v>0</v>
      </c>
      <c r="S8" s="298">
        <f>'2028_PV_.PX.BOR._.PTC.PV'!L18</f>
        <v>0</v>
      </c>
      <c r="T8">
        <f>'2025_PVS.PX.UTS._.SER.PV'!L18</f>
        <v>0</v>
      </c>
      <c r="U8">
        <f>'2025_PVS.PX.UTS._.SER.BAT'!K18</f>
        <v>0</v>
      </c>
      <c r="V8" s="298">
        <f t="shared" si="0"/>
        <v>0</v>
      </c>
      <c r="W8" s="297">
        <f>'2025_PVS.PX.UWY._.SER.PV'!L18</f>
        <v>0</v>
      </c>
      <c r="X8">
        <f>'2025_PVS.PX.UWY._.SER.BAT'!K18</f>
        <v>0</v>
      </c>
      <c r="Y8" s="298">
        <f t="shared" si="1"/>
        <v>0</v>
      </c>
      <c r="Z8" s="297">
        <f>'2025_PVS.PX.WYE._.SER.PV'!L18</f>
        <v>0</v>
      </c>
      <c r="AA8">
        <f>'2025_PVS.PX.WYE._.SER.BAT'!K18</f>
        <v>0</v>
      </c>
      <c r="AB8" s="298">
        <f t="shared" si="2"/>
        <v>0</v>
      </c>
      <c r="AC8" s="297">
        <f>'2025_PVS.PX.WMV._.222.PV'!L18</f>
        <v>0</v>
      </c>
      <c r="AD8">
        <f>'2025_PVS.PX.WMV._.222.BAT'!K18</f>
        <v>0</v>
      </c>
      <c r="AE8" s="298">
        <f t="shared" si="3"/>
        <v>0</v>
      </c>
      <c r="AF8" s="297">
        <f>'2026_PVS.PX.CLV.1.TC4.PV'!L18</f>
        <v>0</v>
      </c>
      <c r="AG8">
        <f>'2026_PVS.PX.CLV.1.TC4.BAT'!K18</f>
        <v>0</v>
      </c>
      <c r="AH8" s="298">
        <f t="shared" si="4"/>
        <v>0</v>
      </c>
      <c r="AI8" s="297">
        <f>'2026_PVS.PX.COR._.TC8.PV'!L18</f>
        <v>0</v>
      </c>
      <c r="AJ8">
        <f>'2026_PVS.PX.COR._.TC8.BAT'!K18</f>
        <v>0</v>
      </c>
      <c r="AK8" s="298">
        <f t="shared" si="5"/>
        <v>0</v>
      </c>
      <c r="AL8" s="297">
        <f>'2026_PVS.PX.BOR._.2C5.PV'!L18</f>
        <v>0</v>
      </c>
      <c r="AM8">
        <f>'2026_PVS.PX.BOR._.2C5.BAT'!K18</f>
        <v>0</v>
      </c>
      <c r="AN8" s="298">
        <f t="shared" si="6"/>
        <v>0</v>
      </c>
      <c r="AO8" s="297">
        <f>'2026_PVS.PX.WMV._.223.PV'!L18</f>
        <v>0</v>
      </c>
      <c r="AP8">
        <f>'2026_PVS.PX.WMV._.223.BAT'!K18</f>
        <v>0</v>
      </c>
      <c r="AQ8" s="298">
        <f t="shared" si="7"/>
        <v>0</v>
      </c>
      <c r="AR8" s="297">
        <f>'2026_PVS.PX.YAK._.110.PV'!L18</f>
        <v>0</v>
      </c>
      <c r="AS8">
        <f>'2026_PVS.PX.YAK._.110.BAT'!K18</f>
        <v>0</v>
      </c>
      <c r="AT8" s="298">
        <f t="shared" si="8"/>
        <v>0</v>
      </c>
      <c r="AU8" s="297">
        <f>'2027_PVS.PX.WWA._.215.PV'!L18</f>
        <v>0</v>
      </c>
      <c r="AV8">
        <f>'2026_PVS.PX.WWA._.215.BAT'!K18</f>
        <v>0</v>
      </c>
      <c r="AW8" s="298">
        <f t="shared" si="8"/>
        <v>0</v>
      </c>
      <c r="AX8" s="297">
        <f>'2029_PVS.PX.GOE.1.A43.PV'!L18</f>
        <v>0</v>
      </c>
      <c r="AY8">
        <f>'2029_PVS.PX.GOE.1.A43.BAT'!K18</f>
        <v>0</v>
      </c>
      <c r="AZ8" s="298">
        <f t="shared" si="9"/>
        <v>0</v>
      </c>
      <c r="BA8" s="297">
        <f>'2026_BAT.PX.BPA._.221.Lithium-I'!K18</f>
        <v>0</v>
      </c>
      <c r="BB8" s="297">
        <f>'2027_BAT.PX.WWA._.215.Lithium-i'!K18</f>
        <v>0</v>
      </c>
      <c r="BC8" s="297">
        <f>'2028_BAT.PX.WYE._.ITC.DJ+Wyodak'!K18</f>
        <v>0</v>
      </c>
      <c r="BD8" s="297">
        <f>'2028_BAT.PX.BOR._.ITC.Lithium-i'!K18</f>
        <v>0</v>
      </c>
      <c r="BE8" s="297">
        <f>'2029_BAT.PX.UTN._.ITC.Lithium-i'!K18</f>
        <v>0</v>
      </c>
    </row>
    <row r="9" spans="1:57">
      <c r="A9" s="109">
        <v>2025</v>
      </c>
      <c r="B9" s="299">
        <f>'2025_WD_.PX.WYE._.SER.WD'!L19</f>
        <v>187.06102680695625</v>
      </c>
      <c r="C9" s="245">
        <f>'2025_WD_.PX.UWY._.SER.WD'!L19</f>
        <v>192.29864761278836</v>
      </c>
      <c r="D9">
        <f>'2027_WD_.PX.WWA._.215.WD'!L19</f>
        <v>0</v>
      </c>
      <c r="E9">
        <f>'2028_WD_.PX.BOR._.PTC.WD'!L19</f>
        <v>0</v>
      </c>
      <c r="F9">
        <f>'2029_WD_.PX.WYE.1.A01.WD'!L19</f>
        <v>0</v>
      </c>
      <c r="G9">
        <f>'2029_WD_.PX.BDG._.PTC.Bridger.W'!L19</f>
        <v>0</v>
      </c>
      <c r="H9">
        <f>'2029_WD_.PX.WYE._.PTC.WD'!L19</f>
        <v>0</v>
      </c>
      <c r="I9">
        <f>'2032_WD_.PX.PNC._.PTC.WD'!L19</f>
        <v>0</v>
      </c>
      <c r="J9">
        <f>'2032_WD_.PX.SOR._.PTC.WD'!L19</f>
        <v>0</v>
      </c>
      <c r="K9">
        <f>'2032_WD_.PX.WWA._.PTC.WD'!L19</f>
        <v>0</v>
      </c>
      <c r="L9">
        <f>'2032_WD_.PX.YAK._.PTC.WD'!L19</f>
        <v>0</v>
      </c>
      <c r="M9">
        <f>'2032_WD_.PX.WYE._.PTC.Djohns.WD'!L19</f>
        <v>0</v>
      </c>
      <c r="N9">
        <f>'2032_WD_.PX.WYN._.PTC.WD'!L19</f>
        <v>0</v>
      </c>
      <c r="O9" s="245">
        <f>'2025_PV_.PX.UTS._.SER.PV'!L19</f>
        <v>100.24143621091373</v>
      </c>
      <c r="P9" s="245">
        <f>'2025_PV_.PX.UWY._.SER.PV'!L19</f>
        <v>103.44707186931842</v>
      </c>
      <c r="Q9">
        <f>'2028_PV_.PX.UTS._.PTC.Hunter.PV'!L19</f>
        <v>0</v>
      </c>
      <c r="R9">
        <f>'2028_PV_.PX.UTS._.PTC.Huntingto'!L19</f>
        <v>0</v>
      </c>
      <c r="S9" s="298">
        <f>'2028_PV_.PX.BOR._.PTC.PV'!L19</f>
        <v>0</v>
      </c>
      <c r="T9" s="245">
        <f>'2025_PVS.PX.UTS._.SER.PV'!L19</f>
        <v>100.2414362109061</v>
      </c>
      <c r="U9" s="245">
        <f>'2025_PVS.PX.UTS._.SER.BAT'!K19</f>
        <v>198.43915534794729</v>
      </c>
      <c r="V9" s="303">
        <f>T9+U9</f>
        <v>298.68059155885339</v>
      </c>
      <c r="W9" s="299">
        <f>'2025_PVS.PX.UWY._.SER.PV'!L19</f>
        <v>103.44707186923958</v>
      </c>
      <c r="X9" s="245">
        <f>'2025_PVS.PX.UWY._.SER.BAT'!K19</f>
        <v>198.43915534794016</v>
      </c>
      <c r="Y9" s="303">
        <f t="shared" si="1"/>
        <v>301.88622721717974</v>
      </c>
      <c r="Z9" s="299">
        <f>'2025_PVS.PX.WYE._.SER.PV'!L19</f>
        <v>103.44707186923782</v>
      </c>
      <c r="AA9" s="245">
        <f>'2025_PVS.PX.WYE._.SER.BAT'!K19</f>
        <v>198.43915534793783</v>
      </c>
      <c r="AB9" s="303">
        <f t="shared" si="2"/>
        <v>301.88622721717564</v>
      </c>
      <c r="AC9" s="299">
        <f>'2025_PVS.PX.WMV._.222.PV'!L19</f>
        <v>108.90617191354505</v>
      </c>
      <c r="AD9" s="245">
        <f>'2025_PVS.PX.WMV._.222.BAT'!K19</f>
        <v>220.84915534781834</v>
      </c>
      <c r="AE9" s="303">
        <f t="shared" si="3"/>
        <v>329.75532726136339</v>
      </c>
      <c r="AF9" s="299">
        <f>'2026_PVS.PX.CLV.1.TC4.PV'!L19</f>
        <v>0</v>
      </c>
      <c r="AG9">
        <f>'2026_PVS.PX.CLV.1.TC4.BAT'!K19</f>
        <v>0</v>
      </c>
      <c r="AH9" s="298">
        <f t="shared" si="4"/>
        <v>0</v>
      </c>
      <c r="AI9" s="297">
        <f>'2026_PVS.PX.COR._.TC8.PV'!L19</f>
        <v>0</v>
      </c>
      <c r="AJ9">
        <f>'2026_PVS.PX.COR._.TC8.BAT'!K19</f>
        <v>0</v>
      </c>
      <c r="AK9" s="298">
        <f t="shared" si="5"/>
        <v>0</v>
      </c>
      <c r="AL9" s="297">
        <f>'2026_PVS.PX.BOR._.2C5.PV'!L19</f>
        <v>0</v>
      </c>
      <c r="AM9">
        <f>'2026_PVS.PX.BOR._.2C5.BAT'!K19</f>
        <v>0</v>
      </c>
      <c r="AN9" s="298">
        <f t="shared" si="6"/>
        <v>0</v>
      </c>
      <c r="AO9" s="297">
        <f>'2026_PVS.PX.WMV._.223.PV'!L19</f>
        <v>0</v>
      </c>
      <c r="AP9">
        <f>'2026_PVS.PX.WMV._.223.BAT'!K19</f>
        <v>0</v>
      </c>
      <c r="AQ9" s="298">
        <f t="shared" si="7"/>
        <v>0</v>
      </c>
      <c r="AR9" s="297">
        <f>'2026_PVS.PX.YAK._.110.PV'!L19</f>
        <v>0</v>
      </c>
      <c r="AS9">
        <f>'2026_PVS.PX.YAK._.110.BAT'!K19</f>
        <v>0</v>
      </c>
      <c r="AT9" s="298">
        <f t="shared" si="8"/>
        <v>0</v>
      </c>
      <c r="AU9" s="297">
        <f>'2027_PVS.PX.WWA._.215.PV'!L19</f>
        <v>0</v>
      </c>
      <c r="AV9">
        <f>'2026_PVS.PX.WWA._.215.BAT'!K19</f>
        <v>0</v>
      </c>
      <c r="AW9" s="298">
        <f t="shared" si="8"/>
        <v>0</v>
      </c>
      <c r="AX9" s="297">
        <f>'2029_PVS.PX.GOE.1.A43.PV'!L19</f>
        <v>0</v>
      </c>
      <c r="AY9">
        <f>'2029_PVS.PX.GOE.1.A43.BAT'!K19</f>
        <v>0</v>
      </c>
      <c r="AZ9" s="298">
        <f t="shared" si="9"/>
        <v>0</v>
      </c>
      <c r="BA9" s="297">
        <f>'2026_BAT.PX.BPA._.221.Lithium-I'!K19</f>
        <v>0</v>
      </c>
      <c r="BB9" s="297">
        <f>'2027_BAT.PX.WWA._.215.Lithium-i'!K19</f>
        <v>0</v>
      </c>
      <c r="BC9" s="297">
        <f>'2028_BAT.PX.WYE._.ITC.DJ+Wyodak'!K19</f>
        <v>0</v>
      </c>
      <c r="BD9" s="297">
        <f>'2028_BAT.PX.BOR._.ITC.Lithium-i'!K19</f>
        <v>0</v>
      </c>
      <c r="BE9" s="297">
        <f>'2029_BAT.PX.UTN._.ITC.Lithium-i'!K19</f>
        <v>0</v>
      </c>
    </row>
    <row r="10" spans="1:57">
      <c r="A10" s="109">
        <v>2026</v>
      </c>
      <c r="B10" s="297">
        <f>'2025_WD_.PX.WYE._.SER.WD'!L20</f>
        <v>191.31</v>
      </c>
      <c r="C10">
        <f>'2025_WD_.PX.UWY._.SER.WD'!L20</f>
        <v>196.66</v>
      </c>
      <c r="D10">
        <f>'2027_WD_.PX.WWA._.215.WD'!L20</f>
        <v>0</v>
      </c>
      <c r="E10">
        <f>'2028_WD_.PX.BOR._.PTC.WD'!L20</f>
        <v>0</v>
      </c>
      <c r="F10">
        <f>'2029_WD_.PX.WYE.1.A01.WD'!L20</f>
        <v>0</v>
      </c>
      <c r="G10">
        <f>'2029_WD_.PX.BDG._.PTC.Bridger.W'!L20</f>
        <v>0</v>
      </c>
      <c r="H10">
        <f>'2029_WD_.PX.WYE._.PTC.WD'!L20</f>
        <v>0</v>
      </c>
      <c r="I10">
        <f>'2032_WD_.PX.PNC._.PTC.WD'!L20</f>
        <v>0</v>
      </c>
      <c r="J10">
        <f>'2032_WD_.PX.SOR._.PTC.WD'!L20</f>
        <v>0</v>
      </c>
      <c r="K10">
        <f>'2032_WD_.PX.WWA._.PTC.WD'!L20</f>
        <v>0</v>
      </c>
      <c r="L10">
        <f>'2032_WD_.PX.YAK._.PTC.WD'!L20</f>
        <v>0</v>
      </c>
      <c r="M10">
        <f>'2032_WD_.PX.WYE._.PTC.Djohns.WD'!L20</f>
        <v>0</v>
      </c>
      <c r="N10">
        <f>'2032_WD_.PX.WYN._.PTC.WD'!L20</f>
        <v>0</v>
      </c>
      <c r="O10">
        <f>'2025_PV_.PX.UTS._.SER.PV'!L20</f>
        <v>102.52</v>
      </c>
      <c r="P10">
        <f>'2025_PV_.PX.UWY._.SER.PV'!L20</f>
        <v>105.78999999999999</v>
      </c>
      <c r="Q10">
        <f>'2028_PV_.PX.UTS._.PTC.Hunter.PV'!L20</f>
        <v>0</v>
      </c>
      <c r="R10">
        <f>'2028_PV_.PX.UTS._.PTC.Huntingto'!L20</f>
        <v>0</v>
      </c>
      <c r="S10" s="298">
        <f>'2028_PV_.PX.BOR._.PTC.PV'!L20</f>
        <v>0</v>
      </c>
      <c r="T10">
        <f>'2025_PVS.PX.UTS._.SER.PV'!L20</f>
        <v>102.52</v>
      </c>
      <c r="U10">
        <f>'2025_PVS.PX.UTS._.SER.BAT'!K20</f>
        <v>202.94</v>
      </c>
      <c r="V10" s="303">
        <f t="shared" ref="V10:V26" si="10">T10+U10</f>
        <v>305.45999999999998</v>
      </c>
      <c r="W10" s="297">
        <f>'2025_PVS.PX.UWY._.SER.PV'!L20</f>
        <v>105.78999999999999</v>
      </c>
      <c r="X10">
        <f>'2025_PVS.PX.UWY._.SER.BAT'!K20</f>
        <v>202.94</v>
      </c>
      <c r="Y10" s="298">
        <f t="shared" si="1"/>
        <v>308.73</v>
      </c>
      <c r="Z10" s="297">
        <f>'2025_PVS.PX.WYE._.SER.PV'!L20</f>
        <v>105.78999999999999</v>
      </c>
      <c r="AA10">
        <f>'2025_PVS.PX.WYE._.SER.BAT'!K20</f>
        <v>202.94</v>
      </c>
      <c r="AB10" s="298">
        <f t="shared" si="2"/>
        <v>308.73</v>
      </c>
      <c r="AC10" s="297">
        <f>'2025_PVS.PX.WMV._.222.PV'!L20</f>
        <v>111.36999999999999</v>
      </c>
      <c r="AD10">
        <f>'2025_PVS.PX.WMV._.222.BAT'!K20</f>
        <v>225.86</v>
      </c>
      <c r="AE10" s="298">
        <f t="shared" si="3"/>
        <v>337.23</v>
      </c>
      <c r="AF10" s="299">
        <f>'2026_PVS.PX.CLV.1.TC4.PV'!L20</f>
        <v>103.76658361880595</v>
      </c>
      <c r="AG10" s="245">
        <f>'2026_PVS.PX.CLV.1.TC4.BAT'!K20</f>
        <v>199.48915534794045</v>
      </c>
      <c r="AH10" s="303">
        <f t="shared" si="4"/>
        <v>303.25573896674643</v>
      </c>
      <c r="AI10" s="299">
        <f>'2026_PVS.PX.COR._.TC8.PV'!L20</f>
        <v>110.82867111200018</v>
      </c>
      <c r="AJ10" s="245">
        <f>'2026_PVS.PX.COR._.TC8.BAT'!K20</f>
        <v>199.48915534793585</v>
      </c>
      <c r="AK10" s="303">
        <f t="shared" si="5"/>
        <v>310.31782645993604</v>
      </c>
      <c r="AL10" s="299">
        <f>'2026_PVS.PX.BOR._.2C5.PV'!L20</f>
        <v>102.40741465503028</v>
      </c>
      <c r="AM10" s="245">
        <f>'2026_PVS.PX.BOR._.2C5.BAT'!K20</f>
        <v>222.40915534793677</v>
      </c>
      <c r="AN10" s="303">
        <f t="shared" si="6"/>
        <v>324.81657000296707</v>
      </c>
      <c r="AO10" s="299">
        <f>'2026_PVS.PX.WMV._.223.PV'!L20</f>
        <v>107.54062070307278</v>
      </c>
      <c r="AP10" s="245">
        <f>'2026_PVS.PX.WMV._.223.BAT'!K20</f>
        <v>222.40915534794004</v>
      </c>
      <c r="AQ10" s="303">
        <f t="shared" si="7"/>
        <v>329.9497760510128</v>
      </c>
      <c r="AR10" s="299">
        <f>'2026_PVS.PX.YAK._.110.PV'!L20</f>
        <v>153.60753894938497</v>
      </c>
      <c r="AS10" s="245">
        <f>'2026_PVS.PX.YAK._.110.BAT'!K20</f>
        <v>199.48915534794111</v>
      </c>
      <c r="AT10" s="303">
        <f t="shared" si="8"/>
        <v>353.09669429732605</v>
      </c>
      <c r="AU10" s="297">
        <f>'2027_PVS.PX.WWA._.215.PV'!L20</f>
        <v>0</v>
      </c>
      <c r="AV10">
        <f>'2026_PVS.PX.WWA._.215.BAT'!K20</f>
        <v>0</v>
      </c>
      <c r="AW10" s="303">
        <f t="shared" si="8"/>
        <v>0</v>
      </c>
      <c r="AX10" s="297">
        <f>'2029_PVS.PX.GOE.1.A43.PV'!L20</f>
        <v>0</v>
      </c>
      <c r="AY10">
        <f>'2029_PVS.PX.GOE.1.A43.BAT'!K20</f>
        <v>0</v>
      </c>
      <c r="AZ10" s="303">
        <f t="shared" si="9"/>
        <v>0</v>
      </c>
      <c r="BA10" s="299">
        <f>'2026_BAT.PX.BPA._.221.Lithium-I'!K20</f>
        <v>206.75078509017413</v>
      </c>
      <c r="BB10" s="297">
        <f>'2027_BAT.PX.WWA._.215.Lithium-i'!K20</f>
        <v>0</v>
      </c>
      <c r="BC10" s="297">
        <f>'2028_BAT.PX.WYE._.ITC.DJ+Wyodak'!K20</f>
        <v>0</v>
      </c>
      <c r="BD10" s="297">
        <f>'2028_BAT.PX.BOR._.ITC.Lithium-i'!K20</f>
        <v>0</v>
      </c>
      <c r="BE10" s="297">
        <f>'2029_BAT.PX.UTN._.ITC.Lithium-i'!K20</f>
        <v>0</v>
      </c>
    </row>
    <row r="11" spans="1:57">
      <c r="A11" s="109">
        <v>2027</v>
      </c>
      <c r="B11" s="297">
        <f>'2025_WD_.PX.WYE._.SER.WD'!L21</f>
        <v>195.64999999999998</v>
      </c>
      <c r="C11">
        <f>'2025_WD_.PX.UWY._.SER.WD'!L21</f>
        <v>201.13</v>
      </c>
      <c r="D11" s="245">
        <f>'2027_WD_.PX.WWA._.215.WD'!L21</f>
        <v>197.78636014498076</v>
      </c>
      <c r="E11">
        <f>'2028_WD_.PX.BOR._.PTC.WD'!L21</f>
        <v>0</v>
      </c>
      <c r="F11">
        <f>'2029_WD_.PX.WYE.1.A01.WD'!L21</f>
        <v>0</v>
      </c>
      <c r="G11">
        <f>'2029_WD_.PX.BDG._.PTC.Bridger.W'!L21</f>
        <v>0</v>
      </c>
      <c r="H11">
        <f>'2029_WD_.PX.WYE._.PTC.WD'!L21</f>
        <v>0</v>
      </c>
      <c r="I11">
        <f>'2032_WD_.PX.PNC._.PTC.WD'!L21</f>
        <v>0</v>
      </c>
      <c r="J11">
        <f>'2032_WD_.PX.SOR._.PTC.WD'!L21</f>
        <v>0</v>
      </c>
      <c r="K11">
        <f>'2032_WD_.PX.WWA._.PTC.WD'!L21</f>
        <v>0</v>
      </c>
      <c r="L11">
        <f>'2032_WD_.PX.YAK._.PTC.WD'!L21</f>
        <v>0</v>
      </c>
      <c r="M11">
        <f>'2032_WD_.PX.WYE._.PTC.Djohns.WD'!L21</f>
        <v>0</v>
      </c>
      <c r="N11">
        <f>'2032_WD_.PX.WYN._.PTC.WD'!L21</f>
        <v>0</v>
      </c>
      <c r="O11">
        <f>'2025_PV_.PX.UTS._.SER.PV'!L21</f>
        <v>104.85</v>
      </c>
      <c r="P11">
        <f>'2025_PV_.PX.UWY._.SER.PV'!L21</f>
        <v>108.19</v>
      </c>
      <c r="Q11">
        <f>'2028_PV_.PX.UTS._.PTC.Hunter.PV'!L21</f>
        <v>0</v>
      </c>
      <c r="R11">
        <f>'2028_PV_.PX.UTS._.PTC.Huntingto'!L21</f>
        <v>0</v>
      </c>
      <c r="S11" s="298">
        <f>'2028_PV_.PX.BOR._.PTC.PV'!L21</f>
        <v>0</v>
      </c>
      <c r="T11">
        <f>'2025_PVS.PX.UTS._.SER.PV'!L21</f>
        <v>104.85</v>
      </c>
      <c r="U11">
        <f>'2025_PVS.PX.UTS._.SER.BAT'!K21</f>
        <v>207.55</v>
      </c>
      <c r="V11" s="303">
        <f t="shared" si="10"/>
        <v>312.39999999999998</v>
      </c>
      <c r="W11" s="297">
        <f>'2025_PVS.PX.UWY._.SER.PV'!L21</f>
        <v>108.19</v>
      </c>
      <c r="X11">
        <f>'2025_PVS.PX.UWY._.SER.BAT'!K21</f>
        <v>207.55</v>
      </c>
      <c r="Y11" s="298">
        <f t="shared" si="1"/>
        <v>315.74</v>
      </c>
      <c r="Z11" s="297">
        <f>'2025_PVS.PX.WYE._.SER.PV'!L21</f>
        <v>108.19</v>
      </c>
      <c r="AA11">
        <f>'2025_PVS.PX.WYE._.SER.BAT'!K21</f>
        <v>207.55</v>
      </c>
      <c r="AB11" s="298">
        <f t="shared" si="2"/>
        <v>315.74</v>
      </c>
      <c r="AC11" s="297">
        <f>'2025_PVS.PX.WMV._.222.PV'!L21</f>
        <v>113.9</v>
      </c>
      <c r="AD11">
        <f>'2025_PVS.PX.WMV._.222.BAT'!K21</f>
        <v>230.99</v>
      </c>
      <c r="AE11" s="298">
        <f t="shared" si="3"/>
        <v>344.89</v>
      </c>
      <c r="AF11" s="297">
        <f>'2026_PVS.PX.CLV.1.TC4.PV'!L21</f>
        <v>106.13</v>
      </c>
      <c r="AG11">
        <f>'2026_PVS.PX.CLV.1.TC4.BAT'!K21</f>
        <v>204.02</v>
      </c>
      <c r="AH11" s="298">
        <f t="shared" si="4"/>
        <v>310.14999999999998</v>
      </c>
      <c r="AI11" s="297">
        <f>'2026_PVS.PX.COR._.TC8.PV'!L21</f>
        <v>113.34</v>
      </c>
      <c r="AJ11">
        <f>'2026_PVS.PX.COR._.TC8.BAT'!K21</f>
        <v>204.02</v>
      </c>
      <c r="AK11" s="298">
        <f t="shared" si="5"/>
        <v>317.36</v>
      </c>
      <c r="AL11" s="297">
        <f>'2026_PVS.PX.BOR._.2C5.PV'!L21</f>
        <v>104.74000000000001</v>
      </c>
      <c r="AM11">
        <f>'2026_PVS.PX.BOR._.2C5.BAT'!K21</f>
        <v>227.46</v>
      </c>
      <c r="AN11" s="298">
        <f t="shared" si="6"/>
        <v>332.20000000000005</v>
      </c>
      <c r="AO11" s="297">
        <f>'2026_PVS.PX.WMV._.223.PV'!L21</f>
        <v>109.97999999999999</v>
      </c>
      <c r="AP11">
        <f>'2026_PVS.PX.WMV._.223.BAT'!K21</f>
        <v>227.46</v>
      </c>
      <c r="AQ11" s="298">
        <f t="shared" si="7"/>
        <v>337.44</v>
      </c>
      <c r="AR11" s="297">
        <f>'2026_PVS.PX.YAK._.110.PV'!L21</f>
        <v>157.08999999999997</v>
      </c>
      <c r="AS11">
        <f>'2026_PVS.PX.YAK._.110.BAT'!K21</f>
        <v>204.02</v>
      </c>
      <c r="AT11" s="298">
        <f t="shared" si="8"/>
        <v>361.11</v>
      </c>
      <c r="AU11" s="299">
        <f>'2027_PVS.PX.WWA._.215.PV'!L21</f>
        <v>112.22161550904914</v>
      </c>
      <c r="AV11" s="245">
        <f>'2026_PVS.PX.WWA._.215.BAT'!K21</f>
        <v>223.99915534793399</v>
      </c>
      <c r="AW11" s="303">
        <f t="shared" si="8"/>
        <v>336.22077085698311</v>
      </c>
      <c r="AX11" s="297">
        <f>'2029_PVS.PX.GOE.1.A43.PV'!L21</f>
        <v>0</v>
      </c>
      <c r="AY11">
        <f>'2029_PVS.PX.GOE.1.A43.BAT'!K21</f>
        <v>0</v>
      </c>
      <c r="AZ11" s="303">
        <f t="shared" si="9"/>
        <v>0</v>
      </c>
      <c r="BA11" s="297">
        <f>'2026_BAT.PX.BPA._.221.Lithium-I'!K21</f>
        <v>211.45000000000002</v>
      </c>
      <c r="BB11" s="299">
        <f>'2027_BAT.PX.WWA._.215.Lithium-i'!K21</f>
        <v>230.14621961457277</v>
      </c>
      <c r="BC11" s="297">
        <f>'2028_BAT.PX.WYE._.ITC.DJ+Wyodak'!K21</f>
        <v>0</v>
      </c>
      <c r="BD11" s="297">
        <f>'2028_BAT.PX.BOR._.ITC.Lithium-i'!K21</f>
        <v>0</v>
      </c>
      <c r="BE11" s="297">
        <f>'2029_BAT.PX.UTN._.ITC.Lithium-i'!K21</f>
        <v>0</v>
      </c>
    </row>
    <row r="12" spans="1:57">
      <c r="A12" s="109">
        <v>2028</v>
      </c>
      <c r="B12" s="297">
        <f>'2025_WD_.PX.WYE._.SER.WD'!L22</f>
        <v>200.08999999999997</v>
      </c>
      <c r="C12">
        <f>'2025_WD_.PX.UWY._.SER.WD'!L22</f>
        <v>205.69</v>
      </c>
      <c r="D12">
        <f>'2027_WD_.PX.WWA._.215.WD'!L22</f>
        <v>202.28</v>
      </c>
      <c r="E12" s="245">
        <f>'2028_WD_.PX.BOR._.PTC.WD'!L22</f>
        <v>240.933712845462</v>
      </c>
      <c r="F12">
        <f>'2029_WD_.PX.WYE.1.A01.WD'!L22</f>
        <v>0</v>
      </c>
      <c r="G12">
        <f>'2029_WD_.PX.BDG._.PTC.Bridger.W'!L22</f>
        <v>0</v>
      </c>
      <c r="H12">
        <f>'2029_WD_.PX.WYE._.PTC.WD'!L22</f>
        <v>0</v>
      </c>
      <c r="I12">
        <f>'2032_WD_.PX.PNC._.PTC.WD'!L22</f>
        <v>0</v>
      </c>
      <c r="J12">
        <f>'2032_WD_.PX.SOR._.PTC.WD'!L22</f>
        <v>0</v>
      </c>
      <c r="K12">
        <f>'2032_WD_.PX.WWA._.PTC.WD'!L22</f>
        <v>0</v>
      </c>
      <c r="L12">
        <f>'2032_WD_.PX.YAK._.PTC.WD'!L22</f>
        <v>0</v>
      </c>
      <c r="M12">
        <f>'2032_WD_.PX.WYE._.PTC.Djohns.WD'!L22</f>
        <v>0</v>
      </c>
      <c r="N12">
        <f>'2032_WD_.PX.WYN._.PTC.WD'!L22</f>
        <v>0</v>
      </c>
      <c r="O12">
        <f>'2025_PV_.PX.UTS._.SER.PV'!L22</f>
        <v>107.22999999999999</v>
      </c>
      <c r="P12">
        <f>'2025_PV_.PX.UWY._.SER.PV'!L22</f>
        <v>110.64999999999999</v>
      </c>
      <c r="Q12" s="245">
        <f>'2028_PV_.PX.UTS._.PTC.Hunter.PV'!L22</f>
        <v>103.02489582078</v>
      </c>
      <c r="R12" s="245">
        <f>'2028_PV_.PX.UTS._.PTC.Huntingto'!L22</f>
        <v>103.02489582077587</v>
      </c>
      <c r="S12" s="303">
        <f>'2028_PV_.PX.BOR._.PTC.PV'!L22</f>
        <v>158.85149010204242</v>
      </c>
      <c r="T12">
        <f>'2025_PVS.PX.UTS._.SER.PV'!L22</f>
        <v>107.22999999999999</v>
      </c>
      <c r="U12">
        <f>'2025_PVS.PX.UTS._.SER.BAT'!K22</f>
        <v>212.26</v>
      </c>
      <c r="V12" s="303">
        <f t="shared" si="10"/>
        <v>319.49</v>
      </c>
      <c r="W12" s="297">
        <f>'2025_PVS.PX.UWY._.SER.PV'!L22</f>
        <v>110.64999999999999</v>
      </c>
      <c r="X12">
        <f>'2025_PVS.PX.UWY._.SER.BAT'!K22</f>
        <v>212.26</v>
      </c>
      <c r="Y12" s="298">
        <f t="shared" si="1"/>
        <v>322.90999999999997</v>
      </c>
      <c r="Z12" s="297">
        <f>'2025_PVS.PX.WYE._.SER.PV'!L22</f>
        <v>110.64999999999999</v>
      </c>
      <c r="AA12">
        <f>'2025_PVS.PX.WYE._.SER.BAT'!K22</f>
        <v>212.26</v>
      </c>
      <c r="AB12" s="298">
        <f t="shared" si="2"/>
        <v>322.90999999999997</v>
      </c>
      <c r="AC12" s="297">
        <f>'2025_PVS.PX.WMV._.222.PV'!L22</f>
        <v>116.48</v>
      </c>
      <c r="AD12">
        <f>'2025_PVS.PX.WMV._.222.BAT'!K22</f>
        <v>236.23000000000002</v>
      </c>
      <c r="AE12" s="298">
        <f t="shared" si="3"/>
        <v>352.71000000000004</v>
      </c>
      <c r="AF12" s="297">
        <f>'2026_PVS.PX.CLV.1.TC4.PV'!L22</f>
        <v>108.53999999999999</v>
      </c>
      <c r="AG12">
        <f>'2026_PVS.PX.CLV.1.TC4.BAT'!K22</f>
        <v>208.65</v>
      </c>
      <c r="AH12" s="298">
        <f t="shared" si="4"/>
        <v>317.19</v>
      </c>
      <c r="AI12" s="297">
        <f>'2026_PVS.PX.COR._.TC8.PV'!L22</f>
        <v>115.92</v>
      </c>
      <c r="AJ12">
        <f>'2026_PVS.PX.COR._.TC8.BAT'!K22</f>
        <v>208.65</v>
      </c>
      <c r="AK12" s="298">
        <f t="shared" si="5"/>
        <v>324.57</v>
      </c>
      <c r="AL12" s="297">
        <f>'2026_PVS.PX.BOR._.2C5.PV'!L22</f>
        <v>107.12</v>
      </c>
      <c r="AM12">
        <f>'2026_PVS.PX.BOR._.2C5.BAT'!K22</f>
        <v>232.62</v>
      </c>
      <c r="AN12" s="298">
        <f t="shared" si="6"/>
        <v>339.74</v>
      </c>
      <c r="AO12" s="297">
        <f>'2026_PVS.PX.WMV._.223.PV'!L22</f>
        <v>112.47999999999999</v>
      </c>
      <c r="AP12">
        <f>'2026_PVS.PX.WMV._.223.BAT'!K22</f>
        <v>232.62</v>
      </c>
      <c r="AQ12" s="298">
        <f t="shared" si="7"/>
        <v>345.1</v>
      </c>
      <c r="AR12" s="297">
        <f>'2026_PVS.PX.YAK._.110.PV'!L22</f>
        <v>160.66</v>
      </c>
      <c r="AS12">
        <f>'2026_PVS.PX.YAK._.110.BAT'!K22</f>
        <v>208.65</v>
      </c>
      <c r="AT12" s="298">
        <f t="shared" si="8"/>
        <v>369.31</v>
      </c>
      <c r="AU12" s="297">
        <f>'2027_PVS.PX.WWA._.215.PV'!L22</f>
        <v>114.77</v>
      </c>
      <c r="AV12">
        <f>'2026_PVS.PX.WWA._.215.BAT'!K22</f>
        <v>229.08</v>
      </c>
      <c r="AW12" s="298">
        <f t="shared" si="8"/>
        <v>343.85</v>
      </c>
      <c r="AX12" s="297">
        <f>'2029_PVS.PX.GOE.1.A43.PV'!L22</f>
        <v>0</v>
      </c>
      <c r="AY12">
        <f>'2029_PVS.PX.GOE.1.A43.BAT'!K22</f>
        <v>0</v>
      </c>
      <c r="AZ12" s="298">
        <f t="shared" si="9"/>
        <v>0</v>
      </c>
      <c r="BA12" s="297">
        <f>'2026_BAT.PX.BPA._.221.Lithium-I'!K22</f>
        <v>216.25</v>
      </c>
      <c r="BB12" s="297">
        <f>'2027_BAT.PX.WWA._.215.Lithium-i'!K22</f>
        <v>235.37</v>
      </c>
      <c r="BC12" s="299">
        <f>'2028_BAT.PX.WYE._.ITC.DJ+Wyodak'!K22</f>
        <v>201.80496356711404</v>
      </c>
      <c r="BD12" s="299">
        <f>'2028_BAT.PX.BOR._.ITC.Lithium-i'!K22</f>
        <v>263.76704299633786</v>
      </c>
      <c r="BE12" s="297">
        <f>'2029_BAT.PX.UTN._.ITC.Lithium-i'!K22</f>
        <v>0</v>
      </c>
    </row>
    <row r="13" spans="1:57">
      <c r="A13" s="109">
        <v>2029</v>
      </c>
      <c r="B13" s="297">
        <f>'2025_WD_.PX.WYE._.SER.WD'!L23</f>
        <v>204.64</v>
      </c>
      <c r="C13">
        <f>'2025_WD_.PX.UWY._.SER.WD'!L23</f>
        <v>210.35999999999999</v>
      </c>
      <c r="D13">
        <f>'2027_WD_.PX.WWA._.215.WD'!L23</f>
        <v>206.87</v>
      </c>
      <c r="E13">
        <f>'2028_WD_.PX.BOR._.PTC.WD'!L23</f>
        <v>246.41000000000003</v>
      </c>
      <c r="F13" s="245">
        <f>'2029_WD_.PX.WYE.1.A01.WD'!L23</f>
        <v>173.9166418406883</v>
      </c>
      <c r="G13" s="245">
        <f>'2029_WD_.PX.BDG._.PTC.Bridger.W'!L23</f>
        <v>216.03964426464711</v>
      </c>
      <c r="H13" s="245">
        <f>'2029_WD_.PX.WYE._.PTC.WD'!L23</f>
        <v>353.19589482054994</v>
      </c>
      <c r="I13" s="245">
        <f>'2032_WD_.PX.PNC._.PTC.WD'!L23</f>
        <v>0</v>
      </c>
      <c r="J13" s="245">
        <f>'2032_WD_.PX.SOR._.PTC.WD'!L23</f>
        <v>0</v>
      </c>
      <c r="K13" s="245">
        <f>'2032_WD_.PX.WWA._.PTC.WD'!L23</f>
        <v>0</v>
      </c>
      <c r="L13" s="245">
        <f>'2032_WD_.PX.YAK._.PTC.WD'!L23</f>
        <v>0</v>
      </c>
      <c r="M13" s="245">
        <f>'2032_WD_.PX.WYE._.PTC.Djohns.WD'!L23</f>
        <v>0</v>
      </c>
      <c r="N13" s="245">
        <f>'2032_WD_.PX.WYN._.PTC.WD'!L23</f>
        <v>0</v>
      </c>
      <c r="O13">
        <f>'2025_PV_.PX.UTS._.SER.PV'!L23</f>
        <v>109.66</v>
      </c>
      <c r="P13">
        <f>'2025_PV_.PX.UWY._.SER.PV'!L23</f>
        <v>113.16</v>
      </c>
      <c r="Q13">
        <f>'2028_PV_.PX.UTS._.PTC.Hunter.PV'!L23</f>
        <v>105.37</v>
      </c>
      <c r="R13">
        <f>'2028_PV_.PX.UTS._.PTC.Huntingto'!L23</f>
        <v>105.37</v>
      </c>
      <c r="S13" s="298">
        <f>'2028_PV_.PX.BOR._.PTC.PV'!L23</f>
        <v>162.46</v>
      </c>
      <c r="T13">
        <f>'2025_PVS.PX.UTS._.SER.PV'!L23</f>
        <v>109.66</v>
      </c>
      <c r="U13">
        <f>'2025_PVS.PX.UTS._.SER.BAT'!K23</f>
        <v>217.07999999999998</v>
      </c>
      <c r="V13" s="303">
        <f t="shared" si="10"/>
        <v>326.74</v>
      </c>
      <c r="W13" s="297">
        <f>'2025_PVS.PX.UWY._.SER.PV'!L23</f>
        <v>113.16</v>
      </c>
      <c r="X13">
        <f>'2025_PVS.PX.UWY._.SER.BAT'!K23</f>
        <v>217.07999999999998</v>
      </c>
      <c r="Y13" s="298">
        <f t="shared" si="1"/>
        <v>330.24</v>
      </c>
      <c r="Z13" s="297">
        <f>'2025_PVS.PX.WYE._.SER.PV'!L23</f>
        <v>113.16</v>
      </c>
      <c r="AA13">
        <f>'2025_PVS.PX.WYE._.SER.BAT'!K23</f>
        <v>217.07999999999998</v>
      </c>
      <c r="AB13" s="298">
        <f t="shared" si="2"/>
        <v>330.24</v>
      </c>
      <c r="AC13" s="297">
        <f>'2025_PVS.PX.WMV._.222.PV'!L23</f>
        <v>119.11999999999999</v>
      </c>
      <c r="AD13">
        <f>'2025_PVS.PX.WMV._.222.BAT'!K23</f>
        <v>241.58999999999997</v>
      </c>
      <c r="AE13" s="298">
        <f t="shared" si="3"/>
        <v>360.71</v>
      </c>
      <c r="AF13" s="297">
        <f>'2026_PVS.PX.CLV.1.TC4.PV'!L23</f>
        <v>111</v>
      </c>
      <c r="AG13">
        <f>'2026_PVS.PX.CLV.1.TC4.BAT'!K23</f>
        <v>213.39</v>
      </c>
      <c r="AH13" s="298">
        <f t="shared" si="4"/>
        <v>324.39</v>
      </c>
      <c r="AI13" s="297">
        <f>'2026_PVS.PX.COR._.TC8.PV'!L23</f>
        <v>118.55000000000001</v>
      </c>
      <c r="AJ13">
        <f>'2026_PVS.PX.COR._.TC8.BAT'!K23</f>
        <v>213.39</v>
      </c>
      <c r="AK13" s="298">
        <f t="shared" si="5"/>
        <v>331.94</v>
      </c>
      <c r="AL13" s="297">
        <f>'2026_PVS.PX.BOR._.2C5.PV'!L23</f>
        <v>109.55</v>
      </c>
      <c r="AM13">
        <f>'2026_PVS.PX.BOR._.2C5.BAT'!K23</f>
        <v>237.89999999999998</v>
      </c>
      <c r="AN13" s="298">
        <f t="shared" si="6"/>
        <v>347.45</v>
      </c>
      <c r="AO13" s="297">
        <f>'2026_PVS.PX.WMV._.223.PV'!L23</f>
        <v>115.03</v>
      </c>
      <c r="AP13">
        <f>'2026_PVS.PX.WMV._.223.BAT'!K23</f>
        <v>237.89999999999998</v>
      </c>
      <c r="AQ13" s="298">
        <f t="shared" si="7"/>
        <v>352.92999999999995</v>
      </c>
      <c r="AR13" s="297">
        <f>'2026_PVS.PX.YAK._.110.PV'!L23</f>
        <v>164.3</v>
      </c>
      <c r="AS13">
        <f>'2026_PVS.PX.YAK._.110.BAT'!K23</f>
        <v>213.39</v>
      </c>
      <c r="AT13" s="298">
        <f t="shared" si="8"/>
        <v>377.69</v>
      </c>
      <c r="AU13" s="297">
        <f>'2027_PVS.PX.WWA._.215.PV'!L23</f>
        <v>117.37</v>
      </c>
      <c r="AV13">
        <f>'2026_PVS.PX.WWA._.215.BAT'!K23</f>
        <v>234.28000000000003</v>
      </c>
      <c r="AW13" s="298">
        <f t="shared" si="8"/>
        <v>351.65000000000003</v>
      </c>
      <c r="AX13" s="299">
        <f>'2029_PVS.PX.GOE.1.A43.PV'!L23</f>
        <v>108.40175392934469</v>
      </c>
      <c r="AY13" s="245">
        <f>'2029_PVS.PX.GOE.1.A43.BAT'!K23</f>
        <v>197.61777453949207</v>
      </c>
      <c r="AZ13" s="303">
        <f t="shared" si="9"/>
        <v>306.01952846883677</v>
      </c>
      <c r="BA13" s="297">
        <f>'2026_BAT.PX.BPA._.221.Lithium-I'!K23</f>
        <v>221.16</v>
      </c>
      <c r="BB13" s="297">
        <f>'2027_BAT.PX.WWA._.215.Lithium-i'!K23</f>
        <v>240.71000000000004</v>
      </c>
      <c r="BC13" s="297">
        <f>'2028_BAT.PX.WYE._.ITC.DJ+Wyodak'!K23</f>
        <v>206.38</v>
      </c>
      <c r="BD13" s="297">
        <f>'2028_BAT.PX.BOR._.ITC.Lithium-i'!K23</f>
        <v>268.34207942922126</v>
      </c>
      <c r="BE13" s="299">
        <f>'2029_BAT.PX.UTN._.ITC.Lithium-i'!K23</f>
        <v>197.61777453948787</v>
      </c>
    </row>
    <row r="14" spans="1:57">
      <c r="A14" s="109">
        <v>2030</v>
      </c>
      <c r="B14" s="297">
        <f>'2025_WD_.PX.WYE._.SER.WD'!L24</f>
        <v>209.28</v>
      </c>
      <c r="C14">
        <f>'2025_WD_.PX.UWY._.SER.WD'!L24</f>
        <v>215.13</v>
      </c>
      <c r="D14">
        <f>'2027_WD_.PX.WWA._.215.WD'!L24</f>
        <v>211.57000000000002</v>
      </c>
      <c r="E14">
        <f>'2028_WD_.PX.BOR._.PTC.WD'!L24</f>
        <v>252.01</v>
      </c>
      <c r="F14">
        <f>'2029_WD_.PX.WYE.1.A01.WD'!L24</f>
        <v>177.87</v>
      </c>
      <c r="G14">
        <f>'2029_WD_.PX.BDG._.PTC.Bridger.W'!L24</f>
        <v>223.43149198734559</v>
      </c>
      <c r="H14">
        <f>'2029_WD_.PX.WYE._.PTC.WD'!L24</f>
        <v>361.21000000000004</v>
      </c>
      <c r="I14">
        <f>'2032_WD_.PX.PNC._.PTC.WD'!L24</f>
        <v>0</v>
      </c>
      <c r="J14">
        <f>'2032_WD_.PX.SOR._.PTC.WD'!L24</f>
        <v>0</v>
      </c>
      <c r="K14">
        <f>'2032_WD_.PX.WWA._.PTC.WD'!L24</f>
        <v>0</v>
      </c>
      <c r="L14">
        <f>'2032_WD_.PX.YAK._.PTC.WD'!L24</f>
        <v>0</v>
      </c>
      <c r="M14">
        <f>'2032_WD_.PX.WYE._.PTC.Djohns.WD'!L24</f>
        <v>0</v>
      </c>
      <c r="N14">
        <f>'2032_WD_.PX.WYN._.PTC.WD'!L24</f>
        <v>0</v>
      </c>
      <c r="O14">
        <f>'2025_PV_.PX.UTS._.SER.PV'!L24</f>
        <v>112.14</v>
      </c>
      <c r="P14">
        <f>'2025_PV_.PX.UWY._.SER.PV'!L24</f>
        <v>115.72</v>
      </c>
      <c r="Q14">
        <f>'2028_PV_.PX.UTS._.PTC.Hunter.PV'!L24</f>
        <v>107.76</v>
      </c>
      <c r="R14">
        <f>'2028_PV_.PX.UTS._.PTC.Huntingto'!L24</f>
        <v>107.76</v>
      </c>
      <c r="S14" s="298">
        <f>'2028_PV_.PX.BOR._.PTC.PV'!L24</f>
        <v>166.15</v>
      </c>
      <c r="T14">
        <f>'2025_PVS.PX.UTS._.SER.PV'!L24</f>
        <v>112.14</v>
      </c>
      <c r="U14">
        <f>'2025_PVS.PX.UTS._.SER.BAT'!K24</f>
        <v>222.01</v>
      </c>
      <c r="V14" s="303">
        <f t="shared" si="10"/>
        <v>334.15</v>
      </c>
      <c r="W14" s="297">
        <f>'2025_PVS.PX.UWY._.SER.PV'!L24</f>
        <v>115.72</v>
      </c>
      <c r="X14">
        <f>'2025_PVS.PX.UWY._.SER.BAT'!K24</f>
        <v>222.01</v>
      </c>
      <c r="Y14" s="298">
        <f t="shared" si="1"/>
        <v>337.73</v>
      </c>
      <c r="Z14" s="297">
        <f>'2025_PVS.PX.WYE._.SER.PV'!L24</f>
        <v>115.72</v>
      </c>
      <c r="AA14">
        <f>'2025_PVS.PX.WYE._.SER.BAT'!K24</f>
        <v>222.01</v>
      </c>
      <c r="AB14" s="298">
        <f t="shared" si="2"/>
        <v>337.73</v>
      </c>
      <c r="AC14" s="297">
        <f>'2025_PVS.PX.WMV._.222.PV'!L24</f>
        <v>121.82000000000001</v>
      </c>
      <c r="AD14">
        <f>'2025_PVS.PX.WMV._.222.BAT'!K24</f>
        <v>247.07999999999998</v>
      </c>
      <c r="AE14" s="298">
        <f t="shared" si="3"/>
        <v>368.9</v>
      </c>
      <c r="AF14" s="297">
        <f>'2026_PVS.PX.CLV.1.TC4.PV'!L24</f>
        <v>113.50999999999999</v>
      </c>
      <c r="AG14">
        <f>'2026_PVS.PX.CLV.1.TC4.BAT'!K24</f>
        <v>218.23</v>
      </c>
      <c r="AH14" s="298">
        <f t="shared" si="4"/>
        <v>331.74</v>
      </c>
      <c r="AI14" s="297">
        <f>'2026_PVS.PX.COR._.TC8.PV'!L24</f>
        <v>121.24</v>
      </c>
      <c r="AJ14">
        <f>'2026_PVS.PX.COR._.TC8.BAT'!K24</f>
        <v>218.23</v>
      </c>
      <c r="AK14" s="298">
        <f t="shared" si="5"/>
        <v>339.46999999999997</v>
      </c>
      <c r="AL14" s="297">
        <f>'2026_PVS.PX.BOR._.2C5.PV'!L24</f>
        <v>112.03</v>
      </c>
      <c r="AM14">
        <f>'2026_PVS.PX.BOR._.2C5.BAT'!K24</f>
        <v>243.3</v>
      </c>
      <c r="AN14" s="298">
        <f t="shared" si="6"/>
        <v>355.33000000000004</v>
      </c>
      <c r="AO14" s="297">
        <f>'2026_PVS.PX.WMV._.223.PV'!L24</f>
        <v>117.64</v>
      </c>
      <c r="AP14">
        <f>'2026_PVS.PX.WMV._.223.BAT'!K24</f>
        <v>243.3</v>
      </c>
      <c r="AQ14" s="298">
        <f t="shared" si="7"/>
        <v>360.94</v>
      </c>
      <c r="AR14" s="297">
        <f>'2026_PVS.PX.YAK._.110.PV'!L24</f>
        <v>168.02999999999997</v>
      </c>
      <c r="AS14">
        <f>'2026_PVS.PX.YAK._.110.BAT'!K24</f>
        <v>218.23</v>
      </c>
      <c r="AT14" s="298">
        <f t="shared" si="8"/>
        <v>386.26</v>
      </c>
      <c r="AU14" s="297">
        <f>'2027_PVS.PX.WWA._.215.PV'!L24</f>
        <v>120.03</v>
      </c>
      <c r="AV14">
        <f>'2026_PVS.PX.WWA._.215.BAT'!K24</f>
        <v>239.6</v>
      </c>
      <c r="AW14" s="298">
        <f t="shared" si="8"/>
        <v>359.63</v>
      </c>
      <c r="AX14" s="297">
        <f>'2029_PVS.PX.GOE.1.A43.PV'!L24</f>
        <v>110.87</v>
      </c>
      <c r="AY14">
        <f>'2029_PVS.PX.GOE.1.A43.BAT'!K24</f>
        <v>202.1</v>
      </c>
      <c r="AZ14" s="298">
        <f t="shared" si="9"/>
        <v>312.97000000000003</v>
      </c>
      <c r="BA14" s="297">
        <f>'2026_BAT.PX.BPA._.221.Lithium-I'!K24</f>
        <v>226.17999999999998</v>
      </c>
      <c r="BB14" s="297">
        <f>'2027_BAT.PX.WWA._.215.Lithium-i'!K24</f>
        <v>246.18</v>
      </c>
      <c r="BC14" s="297">
        <f>'2028_BAT.PX.WYE._.ITC.DJ+Wyodak'!K24</f>
        <v>211.06</v>
      </c>
      <c r="BD14" s="297">
        <f>'2028_BAT.PX.BOR._.ITC.Lithium-i'!K24</f>
        <v>273.02207942922121</v>
      </c>
      <c r="BE14" s="297">
        <f>'2029_BAT.PX.UTN._.ITC.Lithium-i'!K24</f>
        <v>202.1</v>
      </c>
    </row>
    <row r="15" spans="1:57">
      <c r="A15" s="109">
        <v>2031</v>
      </c>
      <c r="B15" s="297">
        <f>'2025_WD_.PX.WYE._.SER.WD'!L25</f>
        <v>214.03</v>
      </c>
      <c r="C15">
        <f>'2025_WD_.PX.UWY._.SER.WD'!L25</f>
        <v>220.01999999999998</v>
      </c>
      <c r="D15">
        <f>'2027_WD_.PX.WWA._.215.WD'!L25</f>
        <v>216.36999999999998</v>
      </c>
      <c r="E15">
        <f>'2028_WD_.PX.BOR._.PTC.WD'!L25</f>
        <v>257.73</v>
      </c>
      <c r="F15">
        <f>'2029_WD_.PX.WYE.1.A01.WD'!L25</f>
        <v>181.91</v>
      </c>
      <c r="G15">
        <f>'2029_WD_.PX.BDG._.PTC.Bridger.W'!L25</f>
        <v>228.51</v>
      </c>
      <c r="H15">
        <f>'2029_WD_.PX.WYE._.PTC.WD'!L25</f>
        <v>369.40999999999997</v>
      </c>
      <c r="I15">
        <f>'2032_WD_.PX.PNC._.PTC.WD'!L25</f>
        <v>0</v>
      </c>
      <c r="J15">
        <f>'2032_WD_.PX.SOR._.PTC.WD'!L25</f>
        <v>0</v>
      </c>
      <c r="K15">
        <f>'2032_WD_.PX.WWA._.PTC.WD'!L25</f>
        <v>0</v>
      </c>
      <c r="L15">
        <f>'2032_WD_.PX.YAK._.PTC.WD'!L25</f>
        <v>0</v>
      </c>
      <c r="M15">
        <f>'2032_WD_.PX.WYE._.PTC.Djohns.WD'!L25</f>
        <v>0</v>
      </c>
      <c r="N15">
        <f>'2032_WD_.PX.WYN._.PTC.WD'!L25</f>
        <v>0</v>
      </c>
      <c r="O15">
        <f>'2025_PV_.PX.UTS._.SER.PV'!L25</f>
        <v>114.69</v>
      </c>
      <c r="P15">
        <f>'2025_PV_.PX.UWY._.SER.PV'!L25</f>
        <v>118.35</v>
      </c>
      <c r="Q15">
        <f>'2028_PV_.PX.UTS._.PTC.Hunter.PV'!L25</f>
        <v>110.21</v>
      </c>
      <c r="R15">
        <f>'2028_PV_.PX.UTS._.PTC.Huntingto'!L25</f>
        <v>110.21</v>
      </c>
      <c r="S15" s="298">
        <f>'2028_PV_.PX.BOR._.PTC.PV'!L25</f>
        <v>169.92999999999998</v>
      </c>
      <c r="T15">
        <f>'2025_PVS.PX.UTS._.SER.PV'!L25</f>
        <v>114.69</v>
      </c>
      <c r="U15">
        <f>'2025_PVS.PX.UTS._.SER.BAT'!K25</f>
        <v>227.05</v>
      </c>
      <c r="V15" s="303">
        <f t="shared" si="10"/>
        <v>341.74</v>
      </c>
      <c r="W15" s="297">
        <f>'2025_PVS.PX.UWY._.SER.PV'!L25</f>
        <v>118.35</v>
      </c>
      <c r="X15">
        <f>'2025_PVS.PX.UWY._.SER.BAT'!K25</f>
        <v>227.05</v>
      </c>
      <c r="Y15" s="298">
        <f t="shared" si="1"/>
        <v>345.4</v>
      </c>
      <c r="Z15" s="297">
        <f>'2025_PVS.PX.WYE._.SER.PV'!L25</f>
        <v>118.35</v>
      </c>
      <c r="AA15">
        <f>'2025_PVS.PX.WYE._.SER.BAT'!K25</f>
        <v>227.05</v>
      </c>
      <c r="AB15" s="298">
        <f t="shared" si="2"/>
        <v>345.4</v>
      </c>
      <c r="AC15" s="297">
        <f>'2025_PVS.PX.WMV._.222.PV'!L25</f>
        <v>124.59</v>
      </c>
      <c r="AD15">
        <f>'2025_PVS.PX.WMV._.222.BAT'!K25</f>
        <v>252.69</v>
      </c>
      <c r="AE15" s="298">
        <f t="shared" si="3"/>
        <v>377.28</v>
      </c>
      <c r="AF15" s="297">
        <f>'2026_PVS.PX.CLV.1.TC4.PV'!L25</f>
        <v>116.08000000000001</v>
      </c>
      <c r="AG15">
        <f>'2026_PVS.PX.CLV.1.TC4.BAT'!K25</f>
        <v>223.19</v>
      </c>
      <c r="AH15" s="298">
        <f t="shared" si="4"/>
        <v>339.27</v>
      </c>
      <c r="AI15" s="297">
        <f>'2026_PVS.PX.COR._.TC8.PV'!L25</f>
        <v>123.99</v>
      </c>
      <c r="AJ15">
        <f>'2026_PVS.PX.COR._.TC8.BAT'!K25</f>
        <v>223.19</v>
      </c>
      <c r="AK15" s="298">
        <f t="shared" si="5"/>
        <v>347.18</v>
      </c>
      <c r="AL15" s="297">
        <f>'2026_PVS.PX.BOR._.2C5.PV'!L25</f>
        <v>114.56999999999998</v>
      </c>
      <c r="AM15">
        <f>'2026_PVS.PX.BOR._.2C5.BAT'!K25</f>
        <v>248.82999999999998</v>
      </c>
      <c r="AN15" s="298">
        <f t="shared" si="6"/>
        <v>363.4</v>
      </c>
      <c r="AO15" s="297">
        <f>'2026_PVS.PX.WMV._.223.PV'!L25</f>
        <v>120.31000000000002</v>
      </c>
      <c r="AP15">
        <f>'2026_PVS.PX.WMV._.223.BAT'!K25</f>
        <v>248.82999999999998</v>
      </c>
      <c r="AQ15" s="298">
        <f t="shared" si="7"/>
        <v>369.14</v>
      </c>
      <c r="AR15" s="297">
        <f>'2026_PVS.PX.YAK._.110.PV'!L25</f>
        <v>171.84</v>
      </c>
      <c r="AS15">
        <f>'2026_PVS.PX.YAK._.110.BAT'!K25</f>
        <v>223.19</v>
      </c>
      <c r="AT15" s="298">
        <f t="shared" si="8"/>
        <v>395.03</v>
      </c>
      <c r="AU15" s="297">
        <f>'2027_PVS.PX.WWA._.215.PV'!L25</f>
        <v>122.76</v>
      </c>
      <c r="AV15">
        <f>'2026_PVS.PX.WWA._.215.BAT'!K25</f>
        <v>245.04</v>
      </c>
      <c r="AW15" s="298">
        <f t="shared" si="8"/>
        <v>367.8</v>
      </c>
      <c r="AX15" s="297">
        <f>'2029_PVS.PX.GOE.1.A43.PV'!L25</f>
        <v>113.38999999999999</v>
      </c>
      <c r="AY15">
        <f>'2029_PVS.PX.GOE.1.A43.BAT'!K25</f>
        <v>206.69</v>
      </c>
      <c r="AZ15" s="298">
        <f t="shared" si="9"/>
        <v>320.08</v>
      </c>
      <c r="BA15" s="297">
        <f>'2026_BAT.PX.BPA._.221.Lithium-I'!K25</f>
        <v>231.32</v>
      </c>
      <c r="BB15" s="297">
        <f>'2027_BAT.PX.WWA._.215.Lithium-i'!K25</f>
        <v>251.76999999999998</v>
      </c>
      <c r="BC15" s="297">
        <f>'2028_BAT.PX.WYE._.ITC.DJ+Wyodak'!K25</f>
        <v>215.85</v>
      </c>
      <c r="BD15" s="297">
        <f>'2028_BAT.PX.BOR._.ITC.Lithium-i'!K25</f>
        <v>277.81207942922123</v>
      </c>
      <c r="BE15" s="297">
        <f>'2029_BAT.PX.UTN._.ITC.Lithium-i'!K25</f>
        <v>206.69</v>
      </c>
    </row>
    <row r="16" spans="1:57">
      <c r="A16" s="109">
        <v>2032</v>
      </c>
      <c r="B16" s="297">
        <f>'2025_WD_.PX.WYE._.SER.WD'!L26</f>
        <v>218.88</v>
      </c>
      <c r="C16">
        <f>'2025_WD_.PX.UWY._.SER.WD'!L26</f>
        <v>225.01</v>
      </c>
      <c r="D16">
        <f>'2027_WD_.PX.WWA._.215.WD'!L26</f>
        <v>221.28</v>
      </c>
      <c r="E16">
        <f>'2028_WD_.PX.BOR._.PTC.WD'!L26</f>
        <v>263.58</v>
      </c>
      <c r="F16">
        <f>'2029_WD_.PX.WYE.1.A01.WD'!L26</f>
        <v>186.04</v>
      </c>
      <c r="G16">
        <f>'2029_WD_.PX.BDG._.PTC.Bridger.W'!L26</f>
        <v>233.7</v>
      </c>
      <c r="H16">
        <f>'2029_WD_.PX.WYE._.PTC.WD'!L26</f>
        <v>377.79999999999995</v>
      </c>
      <c r="I16" s="245">
        <f>'2032_WD_.PX.PNC._.PTC.WD'!L26</f>
        <v>188.34412440058946</v>
      </c>
      <c r="J16" s="245">
        <f>'2032_WD_.PX.SOR._.PTC.WD'!L26</f>
        <v>151.34412440057275</v>
      </c>
      <c r="K16" s="245">
        <f>'2032_WD_.PX.WWA._.PTC.WD'!L26</f>
        <v>166.93682193123638</v>
      </c>
      <c r="L16" s="245">
        <f>'2032_WD_.PX.YAK._.PTC.WD'!L26</f>
        <v>212.9977632498055</v>
      </c>
      <c r="M16" s="245">
        <f>'2032_WD_.PX.WYE._.PTC.Djohns.WD'!L26</f>
        <v>151.38031139859649</v>
      </c>
      <c r="N16" s="245">
        <f>'2032_WD_.PX.WYN._.PTC.WD'!L26</f>
        <v>340.42031139859716</v>
      </c>
      <c r="O16">
        <f>'2025_PV_.PX.UTS._.SER.PV'!L26</f>
        <v>117.29</v>
      </c>
      <c r="P16">
        <f>'2025_PV_.PX.UWY._.SER.PV'!L26</f>
        <v>121.04</v>
      </c>
      <c r="Q16">
        <f>'2028_PV_.PX.UTS._.PTC.Hunter.PV'!L26</f>
        <v>112.71</v>
      </c>
      <c r="R16">
        <f>'2028_PV_.PX.UTS._.PTC.Huntingto'!L26</f>
        <v>112.71</v>
      </c>
      <c r="S16" s="298">
        <f>'2028_PV_.PX.BOR._.PTC.PV'!L26</f>
        <v>173.79</v>
      </c>
      <c r="T16">
        <f>'2025_PVS.PX.UTS._.SER.PV'!L26</f>
        <v>117.29</v>
      </c>
      <c r="U16">
        <f>'2025_PVS.PX.UTS._.SER.BAT'!K26</f>
        <v>232.2</v>
      </c>
      <c r="V16" s="303">
        <f t="shared" si="10"/>
        <v>349.49</v>
      </c>
      <c r="W16" s="297">
        <f>'2025_PVS.PX.UWY._.SER.PV'!L26</f>
        <v>121.04</v>
      </c>
      <c r="X16">
        <f>'2025_PVS.PX.UWY._.SER.BAT'!K26</f>
        <v>232.2</v>
      </c>
      <c r="Y16" s="298">
        <f t="shared" si="1"/>
        <v>353.24</v>
      </c>
      <c r="Z16" s="297">
        <f>'2025_PVS.PX.WYE._.SER.PV'!L26</f>
        <v>121.04</v>
      </c>
      <c r="AA16">
        <f>'2025_PVS.PX.WYE._.SER.BAT'!K26</f>
        <v>232.2</v>
      </c>
      <c r="AB16" s="298">
        <f t="shared" si="2"/>
        <v>353.24</v>
      </c>
      <c r="AC16" s="297">
        <f>'2025_PVS.PX.WMV._.222.PV'!L26</f>
        <v>127.42000000000002</v>
      </c>
      <c r="AD16">
        <f>'2025_PVS.PX.WMV._.222.BAT'!K26</f>
        <v>258.43</v>
      </c>
      <c r="AE16" s="298">
        <f t="shared" si="3"/>
        <v>385.85</v>
      </c>
      <c r="AF16" s="297">
        <f>'2026_PVS.PX.CLV.1.TC4.PV'!L26</f>
        <v>118.72000000000001</v>
      </c>
      <c r="AG16">
        <f>'2026_PVS.PX.CLV.1.TC4.BAT'!K26</f>
        <v>228.25</v>
      </c>
      <c r="AH16" s="298">
        <f t="shared" si="4"/>
        <v>346.97</v>
      </c>
      <c r="AI16" s="297">
        <f>'2026_PVS.PX.COR._.TC8.PV'!L26</f>
        <v>126.80000000000001</v>
      </c>
      <c r="AJ16">
        <f>'2026_PVS.PX.COR._.TC8.BAT'!K26</f>
        <v>228.25</v>
      </c>
      <c r="AK16" s="298">
        <f t="shared" si="5"/>
        <v>355.05</v>
      </c>
      <c r="AL16" s="297">
        <f>'2026_PVS.PX.BOR._.2C5.PV'!L26</f>
        <v>117.17</v>
      </c>
      <c r="AM16">
        <f>'2026_PVS.PX.BOR._.2C5.BAT'!K26</f>
        <v>254.48000000000002</v>
      </c>
      <c r="AN16" s="298">
        <f t="shared" si="6"/>
        <v>371.65000000000003</v>
      </c>
      <c r="AO16" s="297">
        <f>'2026_PVS.PX.WMV._.223.PV'!L26</f>
        <v>123.04</v>
      </c>
      <c r="AP16">
        <f>'2026_PVS.PX.WMV._.223.BAT'!K26</f>
        <v>254.48000000000002</v>
      </c>
      <c r="AQ16" s="298">
        <f t="shared" si="7"/>
        <v>377.52000000000004</v>
      </c>
      <c r="AR16" s="297">
        <f>'2026_PVS.PX.YAK._.110.PV'!L26</f>
        <v>175.73999999999998</v>
      </c>
      <c r="AS16">
        <f>'2026_PVS.PX.YAK._.110.BAT'!K26</f>
        <v>228.25</v>
      </c>
      <c r="AT16" s="298">
        <f t="shared" si="8"/>
        <v>403.99</v>
      </c>
      <c r="AU16" s="297">
        <f>'2027_PVS.PX.WWA._.215.PV'!L26</f>
        <v>125.54</v>
      </c>
      <c r="AV16">
        <f>'2026_PVS.PX.WWA._.215.BAT'!K26</f>
        <v>250.61</v>
      </c>
      <c r="AW16" s="298">
        <f t="shared" si="8"/>
        <v>376.15000000000003</v>
      </c>
      <c r="AX16" s="297">
        <f>'2029_PVS.PX.GOE.1.A43.PV'!L26</f>
        <v>115.96000000000001</v>
      </c>
      <c r="AY16">
        <f>'2029_PVS.PX.GOE.1.A43.BAT'!K26</f>
        <v>211.38</v>
      </c>
      <c r="AZ16" s="298">
        <f t="shared" si="9"/>
        <v>327.34000000000003</v>
      </c>
      <c r="BA16" s="297">
        <f>'2026_BAT.PX.BPA._.221.Lithium-I'!K26</f>
        <v>236.56</v>
      </c>
      <c r="BB16" s="297">
        <f>'2027_BAT.PX.WWA._.215.Lithium-i'!K26</f>
        <v>257.49</v>
      </c>
      <c r="BC16" s="297">
        <f>'2028_BAT.PX.WYE._.ITC.DJ+Wyodak'!K26</f>
        <v>220.75</v>
      </c>
      <c r="BD16" s="297">
        <f>'2028_BAT.PX.BOR._.ITC.Lithium-i'!K26</f>
        <v>282.71207942922126</v>
      </c>
      <c r="BE16" s="297">
        <f>'2029_BAT.PX.UTN._.ITC.Lithium-i'!K26</f>
        <v>211.38</v>
      </c>
    </row>
    <row r="17" spans="1:57">
      <c r="A17" s="109">
        <v>2033</v>
      </c>
      <c r="B17" s="297">
        <f>'2025_WD_.PX.WYE._.SER.WD'!L27</f>
        <v>223.85</v>
      </c>
      <c r="C17">
        <f>'2025_WD_.PX.UWY._.SER.WD'!L27</f>
        <v>230.12</v>
      </c>
      <c r="D17">
        <f>'2027_WD_.PX.WWA._.215.WD'!L27</f>
        <v>226.31</v>
      </c>
      <c r="E17">
        <f>'2028_WD_.PX.BOR._.PTC.WD'!L27</f>
        <v>269.57</v>
      </c>
      <c r="F17">
        <f>'2029_WD_.PX.WYE.1.A01.WD'!L27</f>
        <v>190.26</v>
      </c>
      <c r="G17">
        <f>'2029_WD_.PX.BDG._.PTC.Bridger.W'!L27</f>
        <v>239.01000000000002</v>
      </c>
      <c r="H17">
        <f>'2029_WD_.PX.WYE._.PTC.WD'!L27</f>
        <v>386.38</v>
      </c>
      <c r="I17">
        <f>'2032_WD_.PX.PNC._.PTC.WD'!L27</f>
        <v>192.62</v>
      </c>
      <c r="J17">
        <f>'2032_WD_.PX.SOR._.PTC.WD'!L27</f>
        <v>154.78</v>
      </c>
      <c r="K17">
        <f>'2032_WD_.PX.WWA._.PTC.WD'!L27</f>
        <v>170.73</v>
      </c>
      <c r="L17">
        <f>'2032_WD_.PX.YAK._.PTC.WD'!L27</f>
        <v>217.82999999999998</v>
      </c>
      <c r="M17">
        <f>'2032_WD_.PX.WYE._.PTC.Djohns.WD'!L27</f>
        <v>154.82</v>
      </c>
      <c r="N17">
        <f>'2032_WD_.PX.WYN._.PTC.WD'!L27</f>
        <v>348.15</v>
      </c>
      <c r="O17">
        <f>'2025_PV_.PX.UTS._.SER.PV'!L27</f>
        <v>119.94999999999999</v>
      </c>
      <c r="P17">
        <f>'2025_PV_.PX.UWY._.SER.PV'!L27</f>
        <v>123.78</v>
      </c>
      <c r="Q17">
        <f>'2028_PV_.PX.UTS._.PTC.Hunter.PV'!L27</f>
        <v>115.26</v>
      </c>
      <c r="R17">
        <f>'2028_PV_.PX.UTS._.PTC.Huntingto'!L27</f>
        <v>115.26</v>
      </c>
      <c r="S17" s="298">
        <f>'2028_PV_.PX.BOR._.PTC.PV'!L27</f>
        <v>177.73</v>
      </c>
      <c r="T17">
        <f>'2025_PVS.PX.UTS._.SER.PV'!L27</f>
        <v>119.94999999999999</v>
      </c>
      <c r="U17">
        <f>'2025_PVS.PX.UTS._.SER.BAT'!K27</f>
        <v>237.47</v>
      </c>
      <c r="V17" s="303">
        <f t="shared" si="10"/>
        <v>357.41999999999996</v>
      </c>
      <c r="W17" s="297">
        <f>'2025_PVS.PX.UWY._.SER.PV'!L27</f>
        <v>123.78</v>
      </c>
      <c r="X17">
        <f>'2025_PVS.PX.UWY._.SER.BAT'!K27</f>
        <v>237.47</v>
      </c>
      <c r="Y17" s="298">
        <f t="shared" si="1"/>
        <v>361.25</v>
      </c>
      <c r="Z17" s="297">
        <f>'2025_PVS.PX.WYE._.SER.PV'!L27</f>
        <v>123.78</v>
      </c>
      <c r="AA17">
        <f>'2025_PVS.PX.WYE._.SER.BAT'!K27</f>
        <v>237.47</v>
      </c>
      <c r="AB17" s="298">
        <f t="shared" si="2"/>
        <v>361.25</v>
      </c>
      <c r="AC17" s="297">
        <f>'2025_PVS.PX.WMV._.222.PV'!L27</f>
        <v>130.31</v>
      </c>
      <c r="AD17">
        <f>'2025_PVS.PX.WMV._.222.BAT'!K27</f>
        <v>264.3</v>
      </c>
      <c r="AE17" s="298">
        <f t="shared" si="3"/>
        <v>394.61</v>
      </c>
      <c r="AF17" s="297">
        <f>'2026_PVS.PX.CLV.1.TC4.PV'!L27</f>
        <v>121.41</v>
      </c>
      <c r="AG17">
        <f>'2026_PVS.PX.CLV.1.TC4.BAT'!K27</f>
        <v>233.43</v>
      </c>
      <c r="AH17" s="298">
        <f t="shared" si="4"/>
        <v>354.84000000000003</v>
      </c>
      <c r="AI17" s="297">
        <f>'2026_PVS.PX.COR._.TC8.PV'!L27</f>
        <v>129.68</v>
      </c>
      <c r="AJ17">
        <f>'2026_PVS.PX.COR._.TC8.BAT'!K27</f>
        <v>233.43</v>
      </c>
      <c r="AK17" s="298">
        <f t="shared" si="5"/>
        <v>363.11</v>
      </c>
      <c r="AL17" s="297">
        <f>'2026_PVS.PX.BOR._.2C5.PV'!L27</f>
        <v>119.82</v>
      </c>
      <c r="AM17">
        <f>'2026_PVS.PX.BOR._.2C5.BAT'!K27</f>
        <v>260.26</v>
      </c>
      <c r="AN17" s="298">
        <f t="shared" si="6"/>
        <v>380.08</v>
      </c>
      <c r="AO17" s="297">
        <f>'2026_PVS.PX.WMV._.223.PV'!L27</f>
        <v>125.83</v>
      </c>
      <c r="AP17">
        <f>'2026_PVS.PX.WMV._.223.BAT'!K27</f>
        <v>260.26</v>
      </c>
      <c r="AQ17" s="298">
        <f t="shared" si="7"/>
        <v>386.09</v>
      </c>
      <c r="AR17" s="297">
        <f>'2026_PVS.PX.YAK._.110.PV'!L27</f>
        <v>179.73000000000002</v>
      </c>
      <c r="AS17">
        <f>'2026_PVS.PX.YAK._.110.BAT'!K27</f>
        <v>233.43</v>
      </c>
      <c r="AT17" s="298">
        <f t="shared" si="8"/>
        <v>413.16</v>
      </c>
      <c r="AU17" s="297">
        <f>'2027_PVS.PX.WWA._.215.PV'!L27</f>
        <v>128.38999999999999</v>
      </c>
      <c r="AV17">
        <f>'2026_PVS.PX.WWA._.215.BAT'!K27</f>
        <v>256.3</v>
      </c>
      <c r="AW17" s="298">
        <f t="shared" si="8"/>
        <v>384.69</v>
      </c>
      <c r="AX17" s="297">
        <f>'2029_PVS.PX.GOE.1.A43.PV'!L27</f>
        <v>118.58999999999999</v>
      </c>
      <c r="AY17">
        <f>'2029_PVS.PX.GOE.1.A43.BAT'!K27</f>
        <v>216.18</v>
      </c>
      <c r="AZ17" s="298">
        <f t="shared" si="9"/>
        <v>334.77</v>
      </c>
      <c r="BA17" s="297">
        <f>'2026_BAT.PX.BPA._.221.Lithium-I'!K27</f>
        <v>241.93</v>
      </c>
      <c r="BB17" s="297">
        <f>'2027_BAT.PX.WWA._.215.Lithium-i'!K27</f>
        <v>263.34000000000003</v>
      </c>
      <c r="BC17" s="297">
        <f>'2028_BAT.PX.WYE._.ITC.DJ+Wyodak'!K27</f>
        <v>225.76</v>
      </c>
      <c r="BD17" s="297">
        <f>'2028_BAT.PX.BOR._.ITC.Lithium-i'!K27</f>
        <v>287.72207942922125</v>
      </c>
      <c r="BE17" s="297">
        <f>'2029_BAT.PX.UTN._.ITC.Lithium-i'!K27</f>
        <v>216.18</v>
      </c>
    </row>
    <row r="18" spans="1:57">
      <c r="A18" s="109">
        <v>2034</v>
      </c>
      <c r="B18" s="297">
        <f>'2025_WD_.PX.WYE._.SER.WD'!L28</f>
        <v>228.92999999999998</v>
      </c>
      <c r="C18">
        <f>'2025_WD_.PX.UWY._.SER.WD'!L28</f>
        <v>235.34</v>
      </c>
      <c r="D18">
        <f>'2027_WD_.PX.WWA._.215.WD'!L28</f>
        <v>231.44</v>
      </c>
      <c r="E18">
        <f>'2028_WD_.PX.BOR._.PTC.WD'!L28</f>
        <v>275.69</v>
      </c>
      <c r="F18">
        <f>'2029_WD_.PX.WYE.1.A01.WD'!L28</f>
        <v>194.57999999999998</v>
      </c>
      <c r="G18">
        <f>'2029_WD_.PX.BDG._.PTC.Bridger.W'!L28</f>
        <v>244.43</v>
      </c>
      <c r="H18">
        <f>'2029_WD_.PX.WYE._.PTC.WD'!L28</f>
        <v>395.15</v>
      </c>
      <c r="I18">
        <f>'2032_WD_.PX.PNC._.PTC.WD'!L28</f>
        <v>197</v>
      </c>
      <c r="J18">
        <f>'2032_WD_.PX.SOR._.PTC.WD'!L28</f>
        <v>158.30000000000001</v>
      </c>
      <c r="K18">
        <f>'2032_WD_.PX.WWA._.PTC.WD'!L28</f>
        <v>174.60999999999999</v>
      </c>
      <c r="L18">
        <f>'2032_WD_.PX.YAK._.PTC.WD'!L28</f>
        <v>222.78</v>
      </c>
      <c r="M18">
        <f>'2032_WD_.PX.WYE._.PTC.Djohns.WD'!L28</f>
        <v>158.34</v>
      </c>
      <c r="N18">
        <f>'2032_WD_.PX.WYN._.PTC.WD'!L28</f>
        <v>356.06</v>
      </c>
      <c r="O18">
        <f>'2025_PV_.PX.UTS._.SER.PV'!L28</f>
        <v>122.68</v>
      </c>
      <c r="P18">
        <f>'2025_PV_.PX.UWY._.SER.PV'!L28</f>
        <v>126.59</v>
      </c>
      <c r="Q18">
        <f>'2028_PV_.PX.UTS._.PTC.Hunter.PV'!L28</f>
        <v>117.88000000000001</v>
      </c>
      <c r="R18">
        <f>'2028_PV_.PX.UTS._.PTC.Huntingto'!L28</f>
        <v>117.88000000000001</v>
      </c>
      <c r="S18" s="298">
        <f>'2028_PV_.PX.BOR._.PTC.PV'!L28</f>
        <v>181.76999999999998</v>
      </c>
      <c r="T18">
        <f>'2025_PVS.PX.UTS._.SER.PV'!L28</f>
        <v>122.68</v>
      </c>
      <c r="U18">
        <f>'2025_PVS.PX.UTS._.SER.BAT'!K28</f>
        <v>242.85999999999999</v>
      </c>
      <c r="V18" s="303">
        <f t="shared" si="10"/>
        <v>365.53999999999996</v>
      </c>
      <c r="W18" s="297">
        <f>'2025_PVS.PX.UWY._.SER.PV'!L28</f>
        <v>126.59</v>
      </c>
      <c r="X18">
        <f>'2025_PVS.PX.UWY._.SER.BAT'!K28</f>
        <v>242.85999999999999</v>
      </c>
      <c r="Y18" s="298">
        <f t="shared" si="1"/>
        <v>369.45</v>
      </c>
      <c r="Z18" s="297">
        <f>'2025_PVS.PX.WYE._.SER.PV'!L28</f>
        <v>126.59</v>
      </c>
      <c r="AA18">
        <f>'2025_PVS.PX.WYE._.SER.BAT'!K28</f>
        <v>242.85999999999999</v>
      </c>
      <c r="AB18" s="298">
        <f t="shared" si="2"/>
        <v>369.45</v>
      </c>
      <c r="AC18" s="297">
        <f>'2025_PVS.PX.WMV._.222.PV'!L28</f>
        <v>133.27000000000001</v>
      </c>
      <c r="AD18">
        <f>'2025_PVS.PX.WMV._.222.BAT'!K28</f>
        <v>270.29999999999995</v>
      </c>
      <c r="AE18" s="298">
        <f t="shared" si="3"/>
        <v>403.56999999999994</v>
      </c>
      <c r="AF18" s="297">
        <f>'2026_PVS.PX.CLV.1.TC4.PV'!L28</f>
        <v>124.17</v>
      </c>
      <c r="AG18">
        <f>'2026_PVS.PX.CLV.1.TC4.BAT'!K28</f>
        <v>238.73</v>
      </c>
      <c r="AH18" s="298">
        <f t="shared" si="4"/>
        <v>362.9</v>
      </c>
      <c r="AI18" s="297">
        <f>'2026_PVS.PX.COR._.TC8.PV'!L28</f>
        <v>132.63</v>
      </c>
      <c r="AJ18">
        <f>'2026_PVS.PX.COR._.TC8.BAT'!K28</f>
        <v>238.73</v>
      </c>
      <c r="AK18" s="298">
        <f t="shared" si="5"/>
        <v>371.36</v>
      </c>
      <c r="AL18" s="297">
        <f>'2026_PVS.PX.BOR._.2C5.PV'!L28</f>
        <v>122.54</v>
      </c>
      <c r="AM18">
        <f>'2026_PVS.PX.BOR._.2C5.BAT'!K28</f>
        <v>266.16999999999996</v>
      </c>
      <c r="AN18" s="298">
        <f t="shared" si="6"/>
        <v>388.71</v>
      </c>
      <c r="AO18" s="297">
        <f>'2026_PVS.PX.WMV._.223.PV'!L28</f>
        <v>128.69</v>
      </c>
      <c r="AP18">
        <f>'2026_PVS.PX.WMV._.223.BAT'!K28</f>
        <v>266.16999999999996</v>
      </c>
      <c r="AQ18" s="298">
        <f t="shared" si="7"/>
        <v>394.85999999999996</v>
      </c>
      <c r="AR18" s="297">
        <f>'2026_PVS.PX.YAK._.110.PV'!L28</f>
        <v>183.81</v>
      </c>
      <c r="AS18">
        <f>'2026_PVS.PX.YAK._.110.BAT'!K28</f>
        <v>238.73</v>
      </c>
      <c r="AT18" s="298">
        <f t="shared" si="8"/>
        <v>422.53999999999996</v>
      </c>
      <c r="AU18" s="297">
        <f>'2027_PVS.PX.WWA._.215.PV'!L28</f>
        <v>131.31</v>
      </c>
      <c r="AV18">
        <f>'2026_PVS.PX.WWA._.215.BAT'!K28</f>
        <v>262.12</v>
      </c>
      <c r="AW18" s="298">
        <f t="shared" si="8"/>
        <v>393.43</v>
      </c>
      <c r="AX18" s="297">
        <f>'2029_PVS.PX.GOE.1.A43.PV'!L28</f>
        <v>121.28</v>
      </c>
      <c r="AY18">
        <f>'2029_PVS.PX.GOE.1.A43.BAT'!K28</f>
        <v>221.09</v>
      </c>
      <c r="AZ18" s="298">
        <f t="shared" si="9"/>
        <v>342.37</v>
      </c>
      <c r="BA18" s="297">
        <f>'2026_BAT.PX.BPA._.221.Lithium-I'!K28</f>
        <v>247.42</v>
      </c>
      <c r="BB18" s="297">
        <f>'2027_BAT.PX.WWA._.215.Lithium-i'!K28</f>
        <v>269.32</v>
      </c>
      <c r="BC18" s="297">
        <f>'2028_BAT.PX.WYE._.ITC.DJ+Wyodak'!K28</f>
        <v>230.88</v>
      </c>
      <c r="BD18" s="297">
        <f>'2028_BAT.PX.BOR._.ITC.Lithium-i'!K28</f>
        <v>292.84207942922126</v>
      </c>
      <c r="BE18" s="297">
        <f>'2029_BAT.PX.UTN._.ITC.Lithium-i'!K28</f>
        <v>221.09</v>
      </c>
    </row>
    <row r="19" spans="1:57">
      <c r="A19" s="109">
        <v>2035</v>
      </c>
      <c r="B19" s="297">
        <f>'2025_WD_.PX.WYE._.SER.WD'!L29</f>
        <v>234.13</v>
      </c>
      <c r="C19">
        <f>'2025_WD_.PX.UWY._.SER.WD'!L29</f>
        <v>240.68</v>
      </c>
      <c r="D19">
        <f>'2027_WD_.PX.WWA._.215.WD'!L29</f>
        <v>236.69</v>
      </c>
      <c r="E19">
        <f>'2028_WD_.PX.BOR._.PTC.WD'!L29</f>
        <v>281.95</v>
      </c>
      <c r="F19">
        <f>'2029_WD_.PX.WYE.1.A01.WD'!L29</f>
        <v>199</v>
      </c>
      <c r="G19">
        <f>'2029_WD_.PX.BDG._.PTC.Bridger.W'!L29</f>
        <v>249.98</v>
      </c>
      <c r="H19">
        <f>'2029_WD_.PX.WYE._.PTC.WD'!L29</f>
        <v>404.12</v>
      </c>
      <c r="I19">
        <f>'2032_WD_.PX.PNC._.PTC.WD'!L29</f>
        <v>201.48000000000002</v>
      </c>
      <c r="J19">
        <f>'2032_WD_.PX.SOR._.PTC.WD'!L29</f>
        <v>161.9</v>
      </c>
      <c r="K19">
        <f>'2032_WD_.PX.WWA._.PTC.WD'!L29</f>
        <v>178.58</v>
      </c>
      <c r="L19">
        <f>'2032_WD_.PX.YAK._.PTC.WD'!L29</f>
        <v>227.84000000000003</v>
      </c>
      <c r="M19">
        <f>'2032_WD_.PX.WYE._.PTC.Djohns.WD'!L29</f>
        <v>161.94</v>
      </c>
      <c r="N19">
        <f>'2032_WD_.PX.WYN._.PTC.WD'!L29</f>
        <v>364.15</v>
      </c>
      <c r="O19">
        <f>'2025_PV_.PX.UTS._.SER.PV'!L29</f>
        <v>125.46</v>
      </c>
      <c r="P19">
        <f>'2025_PV_.PX.UWY._.SER.PV'!L29</f>
        <v>129.46</v>
      </c>
      <c r="Q19">
        <f>'2028_PV_.PX.UTS._.PTC.Hunter.PV'!L29</f>
        <v>120.55</v>
      </c>
      <c r="R19">
        <f>'2028_PV_.PX.UTS._.PTC.Huntingto'!L29</f>
        <v>120.55</v>
      </c>
      <c r="S19" s="298">
        <f>'2028_PV_.PX.BOR._.PTC.PV'!L29</f>
        <v>185.89</v>
      </c>
      <c r="T19">
        <f>'2025_PVS.PX.UTS._.SER.PV'!L29</f>
        <v>125.46</v>
      </c>
      <c r="U19">
        <f>'2025_PVS.PX.UTS._.SER.BAT'!K29</f>
        <v>248.38</v>
      </c>
      <c r="V19" s="303">
        <f t="shared" si="10"/>
        <v>373.84</v>
      </c>
      <c r="W19" s="297">
        <f>'2025_PVS.PX.UWY._.SER.PV'!L29</f>
        <v>129.46</v>
      </c>
      <c r="X19">
        <f>'2025_PVS.PX.UWY._.SER.BAT'!K29</f>
        <v>248.38</v>
      </c>
      <c r="Y19" s="298">
        <f t="shared" si="1"/>
        <v>377.84000000000003</v>
      </c>
      <c r="Z19" s="297">
        <f>'2025_PVS.PX.WYE._.SER.PV'!L29</f>
        <v>129.46</v>
      </c>
      <c r="AA19">
        <f>'2025_PVS.PX.WYE._.SER.BAT'!K29</f>
        <v>248.38</v>
      </c>
      <c r="AB19" s="298">
        <f t="shared" si="2"/>
        <v>377.84000000000003</v>
      </c>
      <c r="AC19" s="297">
        <f>'2025_PVS.PX.WMV._.222.PV'!L29</f>
        <v>136.30000000000001</v>
      </c>
      <c r="AD19">
        <f>'2025_PVS.PX.WMV._.222.BAT'!K29</f>
        <v>276.44</v>
      </c>
      <c r="AE19" s="298">
        <f t="shared" si="3"/>
        <v>412.74</v>
      </c>
      <c r="AF19" s="297">
        <f>'2026_PVS.PX.CLV.1.TC4.PV'!L29</f>
        <v>126.99</v>
      </c>
      <c r="AG19">
        <f>'2026_PVS.PX.CLV.1.TC4.BAT'!K29</f>
        <v>244.14999999999998</v>
      </c>
      <c r="AH19" s="298">
        <f t="shared" si="4"/>
        <v>371.14</v>
      </c>
      <c r="AI19" s="297">
        <f>'2026_PVS.PX.COR._.TC8.PV'!L29</f>
        <v>135.64000000000001</v>
      </c>
      <c r="AJ19">
        <f>'2026_PVS.PX.COR._.TC8.BAT'!K29</f>
        <v>244.14999999999998</v>
      </c>
      <c r="AK19" s="298">
        <f t="shared" si="5"/>
        <v>379.78999999999996</v>
      </c>
      <c r="AL19" s="297">
        <f>'2026_PVS.PX.BOR._.2C5.PV'!L29</f>
        <v>125.32000000000001</v>
      </c>
      <c r="AM19">
        <f>'2026_PVS.PX.BOR._.2C5.BAT'!K29</f>
        <v>272.20999999999998</v>
      </c>
      <c r="AN19" s="298">
        <f t="shared" si="6"/>
        <v>397.53</v>
      </c>
      <c r="AO19" s="297">
        <f>'2026_PVS.PX.WMV._.223.PV'!L29</f>
        <v>131.61000000000001</v>
      </c>
      <c r="AP19">
        <f>'2026_PVS.PX.WMV._.223.BAT'!K29</f>
        <v>272.20999999999998</v>
      </c>
      <c r="AQ19" s="298">
        <f t="shared" si="7"/>
        <v>403.82</v>
      </c>
      <c r="AR19" s="297">
        <f>'2026_PVS.PX.YAK._.110.PV'!L29</f>
        <v>187.98</v>
      </c>
      <c r="AS19">
        <f>'2026_PVS.PX.YAK._.110.BAT'!K29</f>
        <v>244.14999999999998</v>
      </c>
      <c r="AT19" s="298">
        <f t="shared" si="8"/>
        <v>432.13</v>
      </c>
      <c r="AU19" s="297">
        <f>'2027_PVS.PX.WWA._.215.PV'!L29</f>
        <v>134.29</v>
      </c>
      <c r="AV19">
        <f>'2026_PVS.PX.WWA._.215.BAT'!K29</f>
        <v>268.07</v>
      </c>
      <c r="AW19" s="298">
        <f t="shared" si="8"/>
        <v>402.36</v>
      </c>
      <c r="AX19" s="297">
        <f>'2029_PVS.PX.GOE.1.A43.PV'!L29</f>
        <v>124.03999999999999</v>
      </c>
      <c r="AY19">
        <f>'2029_PVS.PX.GOE.1.A43.BAT'!K29</f>
        <v>226.11</v>
      </c>
      <c r="AZ19" s="298">
        <f t="shared" si="9"/>
        <v>350.15</v>
      </c>
      <c r="BA19" s="297">
        <f>'2026_BAT.PX.BPA._.221.Lithium-I'!K29</f>
        <v>253.03999999999996</v>
      </c>
      <c r="BB19" s="297">
        <f>'2027_BAT.PX.WWA._.215.Lithium-i'!K29</f>
        <v>275.43</v>
      </c>
      <c r="BC19" s="297">
        <f>'2028_BAT.PX.WYE._.ITC.DJ+Wyodak'!K29</f>
        <v>236.12</v>
      </c>
      <c r="BD19" s="297">
        <f>'2028_BAT.PX.BOR._.ITC.Lithium-i'!K29</f>
        <v>298.08207942922127</v>
      </c>
      <c r="BE19" s="297">
        <f>'2029_BAT.PX.UTN._.ITC.Lithium-i'!K29</f>
        <v>226.11</v>
      </c>
    </row>
    <row r="20" spans="1:57">
      <c r="A20" s="109">
        <v>2036</v>
      </c>
      <c r="B20" s="297">
        <f>'2025_WD_.PX.WYE._.SER.WD'!L30</f>
        <v>239.45</v>
      </c>
      <c r="C20">
        <f>'2025_WD_.PX.UWY._.SER.WD'!L30</f>
        <v>246.15</v>
      </c>
      <c r="D20">
        <f>'2027_WD_.PX.WWA._.215.WD'!L30</f>
        <v>242.06</v>
      </c>
      <c r="E20">
        <f>'2028_WD_.PX.BOR._.PTC.WD'!L30</f>
        <v>288.35000000000002</v>
      </c>
      <c r="F20">
        <f>'2029_WD_.PX.WYE.1.A01.WD'!L30</f>
        <v>203.51000000000002</v>
      </c>
      <c r="G20">
        <f>'2029_WD_.PX.BDG._.PTC.Bridger.W'!L30</f>
        <v>255.65</v>
      </c>
      <c r="H20">
        <f>'2029_WD_.PX.WYE._.PTC.WD'!L30</f>
        <v>413.29</v>
      </c>
      <c r="I20">
        <f>'2032_WD_.PX.PNC._.PTC.WD'!L30</f>
        <v>206.05999999999997</v>
      </c>
      <c r="J20">
        <f>'2032_WD_.PX.SOR._.PTC.WD'!L30</f>
        <v>165.57999999999998</v>
      </c>
      <c r="K20">
        <f>'2032_WD_.PX.WWA._.PTC.WD'!L30</f>
        <v>182.63000000000002</v>
      </c>
      <c r="L20">
        <f>'2032_WD_.PX.YAK._.PTC.WD'!L30</f>
        <v>233.01000000000002</v>
      </c>
      <c r="M20">
        <f>'2032_WD_.PX.WYE._.PTC.Djohns.WD'!L30</f>
        <v>165.62</v>
      </c>
      <c r="N20">
        <f>'2032_WD_.PX.WYN._.PTC.WD'!L30</f>
        <v>372.42</v>
      </c>
      <c r="O20">
        <f>'2025_PV_.PX.UTS._.SER.PV'!L30</f>
        <v>128.30000000000001</v>
      </c>
      <c r="P20">
        <f>'2025_PV_.PX.UWY._.SER.PV'!L30</f>
        <v>132.38999999999999</v>
      </c>
      <c r="Q20">
        <f>'2028_PV_.PX.UTS._.PTC.Hunter.PV'!L30</f>
        <v>123.28999999999999</v>
      </c>
      <c r="R20">
        <f>'2028_PV_.PX.UTS._.PTC.Huntingto'!L30</f>
        <v>123.28999999999999</v>
      </c>
      <c r="S20" s="298">
        <f>'2028_PV_.PX.BOR._.PTC.PV'!L30</f>
        <v>190.10000000000002</v>
      </c>
      <c r="T20">
        <f>'2025_PVS.PX.UTS._.SER.PV'!L30</f>
        <v>128.30000000000001</v>
      </c>
      <c r="U20">
        <f>'2025_PVS.PX.UTS._.SER.BAT'!K30</f>
        <v>254.01999999999998</v>
      </c>
      <c r="V20" s="303">
        <f t="shared" si="10"/>
        <v>382.32</v>
      </c>
      <c r="W20" s="297">
        <f>'2025_PVS.PX.UWY._.SER.PV'!L30</f>
        <v>132.38999999999999</v>
      </c>
      <c r="X20">
        <f>'2025_PVS.PX.UWY._.SER.BAT'!K30</f>
        <v>254.01999999999998</v>
      </c>
      <c r="Y20" s="298">
        <f t="shared" si="1"/>
        <v>386.40999999999997</v>
      </c>
      <c r="Z20" s="297">
        <f>'2025_PVS.PX.WYE._.SER.PV'!L30</f>
        <v>132.38999999999999</v>
      </c>
      <c r="AA20">
        <f>'2025_PVS.PX.WYE._.SER.BAT'!K30</f>
        <v>254.01999999999998</v>
      </c>
      <c r="AB20" s="298">
        <f t="shared" si="2"/>
        <v>386.40999999999997</v>
      </c>
      <c r="AC20" s="297">
        <f>'2025_PVS.PX.WMV._.222.PV'!L30</f>
        <v>139.39000000000001</v>
      </c>
      <c r="AD20">
        <f>'2025_PVS.PX.WMV._.222.BAT'!K30</f>
        <v>282.70999999999998</v>
      </c>
      <c r="AE20" s="298">
        <f t="shared" si="3"/>
        <v>422.1</v>
      </c>
      <c r="AF20" s="297">
        <f>'2026_PVS.PX.CLV.1.TC4.PV'!L30</f>
        <v>129.86000000000001</v>
      </c>
      <c r="AG20">
        <f>'2026_PVS.PX.CLV.1.TC4.BAT'!K30</f>
        <v>249.7</v>
      </c>
      <c r="AH20" s="298">
        <f t="shared" si="4"/>
        <v>379.56</v>
      </c>
      <c r="AI20" s="297">
        <f>'2026_PVS.PX.COR._.TC8.PV'!L30</f>
        <v>138.71</v>
      </c>
      <c r="AJ20">
        <f>'2026_PVS.PX.COR._.TC8.BAT'!K30</f>
        <v>249.7</v>
      </c>
      <c r="AK20" s="298">
        <f t="shared" si="5"/>
        <v>388.40999999999997</v>
      </c>
      <c r="AL20" s="297">
        <f>'2026_PVS.PX.BOR._.2C5.PV'!L30</f>
        <v>128.16</v>
      </c>
      <c r="AM20">
        <f>'2026_PVS.PX.BOR._.2C5.BAT'!K30</f>
        <v>278.39</v>
      </c>
      <c r="AN20" s="298">
        <f t="shared" si="6"/>
        <v>406.54999999999995</v>
      </c>
      <c r="AO20" s="297">
        <f>'2026_PVS.PX.WMV._.223.PV'!L30</f>
        <v>134.60000000000002</v>
      </c>
      <c r="AP20">
        <f>'2026_PVS.PX.WMV._.223.BAT'!K30</f>
        <v>278.39</v>
      </c>
      <c r="AQ20" s="298">
        <f t="shared" si="7"/>
        <v>412.99</v>
      </c>
      <c r="AR20" s="297">
        <f>'2026_PVS.PX.YAK._.110.PV'!L30</f>
        <v>192.25</v>
      </c>
      <c r="AS20">
        <f>'2026_PVS.PX.YAK._.110.BAT'!K30</f>
        <v>249.7</v>
      </c>
      <c r="AT20" s="298">
        <f t="shared" si="8"/>
        <v>441.95</v>
      </c>
      <c r="AU20" s="297">
        <f>'2027_PVS.PX.WWA._.215.PV'!L30</f>
        <v>137.34</v>
      </c>
      <c r="AV20">
        <f>'2026_PVS.PX.WWA._.215.BAT'!K30</f>
        <v>274.14999999999998</v>
      </c>
      <c r="AW20" s="298">
        <f t="shared" si="8"/>
        <v>411.49</v>
      </c>
      <c r="AX20" s="297">
        <f>'2029_PVS.PX.GOE.1.A43.PV'!L30</f>
        <v>126.85000000000001</v>
      </c>
      <c r="AY20">
        <f>'2029_PVS.PX.GOE.1.A43.BAT'!K30</f>
        <v>231.25</v>
      </c>
      <c r="AZ20" s="298">
        <f t="shared" si="9"/>
        <v>358.1</v>
      </c>
      <c r="BA20" s="297">
        <f>'2026_BAT.PX.BPA._.221.Lithium-I'!K30</f>
        <v>258.78999999999996</v>
      </c>
      <c r="BB20" s="297">
        <f>'2027_BAT.PX.WWA._.215.Lithium-i'!K30</f>
        <v>281.67999999999995</v>
      </c>
      <c r="BC20" s="297">
        <f>'2028_BAT.PX.WYE._.ITC.DJ+Wyodak'!K30</f>
        <v>241.48</v>
      </c>
      <c r="BD20" s="297">
        <f>'2028_BAT.PX.BOR._.ITC.Lithium-i'!K30</f>
        <v>303.44207942922122</v>
      </c>
      <c r="BE20" s="297">
        <f>'2029_BAT.PX.UTN._.ITC.Lithium-i'!K30</f>
        <v>231.25</v>
      </c>
    </row>
    <row r="21" spans="1:57">
      <c r="A21" s="109">
        <v>2037</v>
      </c>
      <c r="B21" s="297">
        <f>'2025_WD_.PX.WYE._.SER.WD'!L31</f>
        <v>244.89</v>
      </c>
      <c r="C21">
        <f>'2025_WD_.PX.UWY._.SER.WD'!L31</f>
        <v>251.74</v>
      </c>
      <c r="D21">
        <f>'2027_WD_.PX.WWA._.215.WD'!L31</f>
        <v>247.56</v>
      </c>
      <c r="E21">
        <f>'2028_WD_.PX.BOR._.PTC.WD'!L31</f>
        <v>294.89999999999998</v>
      </c>
      <c r="F21">
        <f>'2029_WD_.PX.WYE.1.A01.WD'!L31</f>
        <v>208.13</v>
      </c>
      <c r="G21">
        <f>'2029_WD_.PX.BDG._.PTC.Bridger.W'!L31</f>
        <v>261.46000000000004</v>
      </c>
      <c r="H21">
        <f>'2029_WD_.PX.WYE._.PTC.WD'!L31</f>
        <v>422.67</v>
      </c>
      <c r="I21">
        <f>'2032_WD_.PX.PNC._.PTC.WD'!L31</f>
        <v>210.74</v>
      </c>
      <c r="J21">
        <f>'2032_WD_.PX.SOR._.PTC.WD'!L31</f>
        <v>169.34</v>
      </c>
      <c r="K21">
        <f>'2032_WD_.PX.WWA._.PTC.WD'!L31</f>
        <v>186.78</v>
      </c>
      <c r="L21">
        <f>'2032_WD_.PX.YAK._.PTC.WD'!L31</f>
        <v>238.3</v>
      </c>
      <c r="M21">
        <f>'2032_WD_.PX.WYE._.PTC.Djohns.WD'!L31</f>
        <v>169.38</v>
      </c>
      <c r="N21">
        <f>'2032_WD_.PX.WYN._.PTC.WD'!L31</f>
        <v>380.87</v>
      </c>
      <c r="O21">
        <f>'2025_PV_.PX.UTS._.SER.PV'!L31</f>
        <v>131.20999999999998</v>
      </c>
      <c r="P21">
        <f>'2025_PV_.PX.UWY._.SER.PV'!L31</f>
        <v>135.4</v>
      </c>
      <c r="Q21">
        <f>'2028_PV_.PX.UTS._.PTC.Hunter.PV'!L31</f>
        <v>126.09</v>
      </c>
      <c r="R21">
        <f>'2028_PV_.PX.UTS._.PTC.Huntingto'!L31</f>
        <v>126.09</v>
      </c>
      <c r="S21" s="298">
        <f>'2028_PV_.PX.BOR._.PTC.PV'!L31</f>
        <v>194.42000000000002</v>
      </c>
      <c r="T21">
        <f>'2025_PVS.PX.UTS._.SER.PV'!L31</f>
        <v>131.20999999999998</v>
      </c>
      <c r="U21">
        <f>'2025_PVS.PX.UTS._.SER.BAT'!K31</f>
        <v>259.79000000000002</v>
      </c>
      <c r="V21" s="303">
        <f t="shared" si="10"/>
        <v>391</v>
      </c>
      <c r="W21" s="297">
        <f>'2025_PVS.PX.UWY._.SER.PV'!L31</f>
        <v>135.4</v>
      </c>
      <c r="X21">
        <f>'2025_PVS.PX.UWY._.SER.BAT'!K31</f>
        <v>259.79000000000002</v>
      </c>
      <c r="Y21" s="298">
        <f t="shared" si="1"/>
        <v>395.19000000000005</v>
      </c>
      <c r="Z21" s="297">
        <f>'2025_PVS.PX.WYE._.SER.PV'!L31</f>
        <v>135.4</v>
      </c>
      <c r="AA21">
        <f>'2025_PVS.PX.WYE._.SER.BAT'!K31</f>
        <v>259.79000000000002</v>
      </c>
      <c r="AB21" s="298">
        <f t="shared" si="2"/>
        <v>395.19000000000005</v>
      </c>
      <c r="AC21" s="297">
        <f>'2025_PVS.PX.WMV._.222.PV'!L31</f>
        <v>142.54999999999998</v>
      </c>
      <c r="AD21">
        <f>'2025_PVS.PX.WMV._.222.BAT'!K31</f>
        <v>289.13</v>
      </c>
      <c r="AE21" s="298">
        <f t="shared" si="3"/>
        <v>431.67999999999995</v>
      </c>
      <c r="AF21" s="297">
        <f>'2026_PVS.PX.CLV.1.TC4.PV'!L31</f>
        <v>132.81</v>
      </c>
      <c r="AG21">
        <f>'2026_PVS.PX.CLV.1.TC4.BAT'!K31</f>
        <v>255.37</v>
      </c>
      <c r="AH21" s="298">
        <f t="shared" si="4"/>
        <v>388.18</v>
      </c>
      <c r="AI21" s="297">
        <f>'2026_PVS.PX.COR._.TC8.PV'!L31</f>
        <v>141.85999999999999</v>
      </c>
      <c r="AJ21">
        <f>'2026_PVS.PX.COR._.TC8.BAT'!K31</f>
        <v>255.37</v>
      </c>
      <c r="AK21" s="298">
        <f t="shared" si="5"/>
        <v>397.23</v>
      </c>
      <c r="AL21" s="297">
        <f>'2026_PVS.PX.BOR._.2C5.PV'!L31</f>
        <v>131.07000000000002</v>
      </c>
      <c r="AM21">
        <f>'2026_PVS.PX.BOR._.2C5.BAT'!K31</f>
        <v>284.70999999999998</v>
      </c>
      <c r="AN21" s="298">
        <f t="shared" si="6"/>
        <v>415.78</v>
      </c>
      <c r="AO21" s="297">
        <f>'2026_PVS.PX.WMV._.223.PV'!L31</f>
        <v>137.66000000000003</v>
      </c>
      <c r="AP21">
        <f>'2026_PVS.PX.WMV._.223.BAT'!K31</f>
        <v>284.70999999999998</v>
      </c>
      <c r="AQ21" s="298">
        <f t="shared" si="7"/>
        <v>422.37</v>
      </c>
      <c r="AR21" s="297">
        <f>'2026_PVS.PX.YAK._.110.PV'!L31</f>
        <v>196.61</v>
      </c>
      <c r="AS21">
        <f>'2026_PVS.PX.YAK._.110.BAT'!K31</f>
        <v>255.37</v>
      </c>
      <c r="AT21" s="298">
        <f t="shared" si="8"/>
        <v>451.98</v>
      </c>
      <c r="AU21" s="297">
        <f>'2027_PVS.PX.WWA._.215.PV'!L31</f>
        <v>140.45999999999998</v>
      </c>
      <c r="AV21">
        <f>'2026_PVS.PX.WWA._.215.BAT'!K31</f>
        <v>280.38</v>
      </c>
      <c r="AW21" s="298">
        <f t="shared" si="8"/>
        <v>420.84</v>
      </c>
      <c r="AX21" s="297">
        <f>'2029_PVS.PX.GOE.1.A43.PV'!L31</f>
        <v>129.72999999999999</v>
      </c>
      <c r="AY21">
        <f>'2029_PVS.PX.GOE.1.A43.BAT'!K31</f>
        <v>236.5</v>
      </c>
      <c r="AZ21" s="298">
        <f t="shared" si="9"/>
        <v>366.23</v>
      </c>
      <c r="BA21" s="297">
        <f>'2026_BAT.PX.BPA._.221.Lithium-I'!K31</f>
        <v>264.67</v>
      </c>
      <c r="BB21" s="297">
        <f>'2027_BAT.PX.WWA._.215.Lithium-i'!K31</f>
        <v>288.08</v>
      </c>
      <c r="BC21" s="297">
        <f>'2028_BAT.PX.WYE._.ITC.DJ+Wyodak'!K31</f>
        <v>246.95999999999998</v>
      </c>
      <c r="BD21" s="297">
        <f>'2028_BAT.PX.BOR._.ITC.Lithium-i'!K31</f>
        <v>308.92207942922118</v>
      </c>
      <c r="BE21" s="297">
        <f>'2029_BAT.PX.UTN._.ITC.Lithium-i'!K31</f>
        <v>236.5</v>
      </c>
    </row>
    <row r="22" spans="1:57">
      <c r="A22" s="109">
        <v>2038</v>
      </c>
      <c r="B22" s="297">
        <f>'2025_WD_.PX.WYE._.SER.WD'!L32</f>
        <v>250.45000000000002</v>
      </c>
      <c r="C22">
        <f>'2025_WD_.PX.UWY._.SER.WD'!L32</f>
        <v>257.46000000000004</v>
      </c>
      <c r="D22">
        <f>'2027_WD_.PX.WWA._.215.WD'!L32</f>
        <v>253.18</v>
      </c>
      <c r="E22">
        <f>'2028_WD_.PX.BOR._.PTC.WD'!L32</f>
        <v>301.58999999999997</v>
      </c>
      <c r="F22">
        <f>'2029_WD_.PX.WYE.1.A01.WD'!L32</f>
        <v>212.86</v>
      </c>
      <c r="G22">
        <f>'2029_WD_.PX.BDG._.PTC.Bridger.W'!L32</f>
        <v>267.40000000000003</v>
      </c>
      <c r="H22">
        <f>'2029_WD_.PX.WYE._.PTC.WD'!L32</f>
        <v>432.27</v>
      </c>
      <c r="I22">
        <f>'2032_WD_.PX.PNC._.PTC.WD'!L32</f>
        <v>215.52</v>
      </c>
      <c r="J22">
        <f>'2032_WD_.PX.SOR._.PTC.WD'!L32</f>
        <v>173.18</v>
      </c>
      <c r="K22">
        <f>'2032_WD_.PX.WWA._.PTC.WD'!L32</f>
        <v>191.02</v>
      </c>
      <c r="L22">
        <f>'2032_WD_.PX.YAK._.PTC.WD'!L32</f>
        <v>243.71</v>
      </c>
      <c r="M22">
        <f>'2032_WD_.PX.WYE._.PTC.Djohns.WD'!L32</f>
        <v>173.22</v>
      </c>
      <c r="N22">
        <f>'2032_WD_.PX.WYN._.PTC.WD'!L32</f>
        <v>389.51</v>
      </c>
      <c r="O22">
        <f>'2025_PV_.PX.UTS._.SER.PV'!L32</f>
        <v>134.19</v>
      </c>
      <c r="P22">
        <f>'2025_PV_.PX.UWY._.SER.PV'!L32</f>
        <v>138.47</v>
      </c>
      <c r="Q22">
        <f>'2028_PV_.PX.UTS._.PTC.Hunter.PV'!L32</f>
        <v>128.94999999999999</v>
      </c>
      <c r="R22">
        <f>'2028_PV_.PX.UTS._.PTC.Huntingto'!L32</f>
        <v>128.94999999999999</v>
      </c>
      <c r="S22" s="298">
        <f>'2028_PV_.PX.BOR._.PTC.PV'!L32</f>
        <v>198.83</v>
      </c>
      <c r="T22">
        <f>'2025_PVS.PX.UTS._.SER.PV'!L32</f>
        <v>134.19</v>
      </c>
      <c r="U22">
        <f>'2025_PVS.PX.UTS._.SER.BAT'!K32</f>
        <v>265.69</v>
      </c>
      <c r="V22" s="303">
        <f t="shared" si="10"/>
        <v>399.88</v>
      </c>
      <c r="W22" s="297">
        <f>'2025_PVS.PX.UWY._.SER.PV'!L32</f>
        <v>138.47</v>
      </c>
      <c r="X22">
        <f>'2025_PVS.PX.UWY._.SER.BAT'!K32</f>
        <v>265.69</v>
      </c>
      <c r="Y22" s="298">
        <f t="shared" si="1"/>
        <v>404.15999999999997</v>
      </c>
      <c r="Z22" s="297">
        <f>'2025_PVS.PX.WYE._.SER.PV'!L32</f>
        <v>138.47</v>
      </c>
      <c r="AA22">
        <f>'2025_PVS.PX.WYE._.SER.BAT'!K32</f>
        <v>265.69</v>
      </c>
      <c r="AB22" s="298">
        <f t="shared" si="2"/>
        <v>404.15999999999997</v>
      </c>
      <c r="AC22" s="297">
        <f>'2025_PVS.PX.WMV._.222.PV'!L32</f>
        <v>145.78</v>
      </c>
      <c r="AD22">
        <f>'2025_PVS.PX.WMV._.222.BAT'!K32</f>
        <v>295.69</v>
      </c>
      <c r="AE22" s="298">
        <f t="shared" si="3"/>
        <v>441.47</v>
      </c>
      <c r="AF22" s="297">
        <f>'2026_PVS.PX.CLV.1.TC4.PV'!L32</f>
        <v>135.82</v>
      </c>
      <c r="AG22">
        <f>'2026_PVS.PX.CLV.1.TC4.BAT'!K32</f>
        <v>261.17</v>
      </c>
      <c r="AH22" s="298">
        <f t="shared" si="4"/>
        <v>396.99</v>
      </c>
      <c r="AI22" s="297">
        <f>'2026_PVS.PX.COR._.TC8.PV'!L32</f>
        <v>145.08000000000001</v>
      </c>
      <c r="AJ22">
        <f>'2026_PVS.PX.COR._.TC8.BAT'!K32</f>
        <v>261.17</v>
      </c>
      <c r="AK22" s="298">
        <f t="shared" si="5"/>
        <v>406.25</v>
      </c>
      <c r="AL22" s="297">
        <f>'2026_PVS.PX.BOR._.2C5.PV'!L32</f>
        <v>134.04</v>
      </c>
      <c r="AM22">
        <f>'2026_PVS.PX.BOR._.2C5.BAT'!K32</f>
        <v>291.17</v>
      </c>
      <c r="AN22" s="298">
        <f t="shared" si="6"/>
        <v>425.21000000000004</v>
      </c>
      <c r="AO22" s="297">
        <f>'2026_PVS.PX.WMV._.223.PV'!L32</f>
        <v>140.78000000000003</v>
      </c>
      <c r="AP22">
        <f>'2026_PVS.PX.WMV._.223.BAT'!K32</f>
        <v>291.17</v>
      </c>
      <c r="AQ22" s="298">
        <f t="shared" si="7"/>
        <v>431.95000000000005</v>
      </c>
      <c r="AR22" s="297">
        <f>'2026_PVS.PX.YAK._.110.PV'!L32</f>
        <v>201.07</v>
      </c>
      <c r="AS22">
        <f>'2026_PVS.PX.YAK._.110.BAT'!K32</f>
        <v>261.17</v>
      </c>
      <c r="AT22" s="298">
        <f t="shared" si="8"/>
        <v>462.24</v>
      </c>
      <c r="AU22" s="297">
        <f>'2027_PVS.PX.WWA._.215.PV'!L32</f>
        <v>143.64000000000001</v>
      </c>
      <c r="AV22">
        <f>'2026_PVS.PX.WWA._.215.BAT'!K32</f>
        <v>286.74</v>
      </c>
      <c r="AW22" s="298">
        <f t="shared" si="8"/>
        <v>430.38</v>
      </c>
      <c r="AX22" s="297">
        <f>'2029_PVS.PX.GOE.1.A43.PV'!L32</f>
        <v>132.66999999999999</v>
      </c>
      <c r="AY22">
        <f>'2029_PVS.PX.GOE.1.A43.BAT'!K32</f>
        <v>241.87</v>
      </c>
      <c r="AZ22" s="298">
        <f t="shared" si="9"/>
        <v>374.53999999999996</v>
      </c>
      <c r="BA22" s="297">
        <f>'2026_BAT.PX.BPA._.221.Lithium-I'!K32</f>
        <v>270.68</v>
      </c>
      <c r="BB22" s="297">
        <f>'2027_BAT.PX.WWA._.215.Lithium-i'!K32</f>
        <v>294.61</v>
      </c>
      <c r="BC22" s="297">
        <f>'2028_BAT.PX.WYE._.ITC.DJ+Wyodak'!K32</f>
        <v>252.57</v>
      </c>
      <c r="BD22" s="297">
        <f>'2028_BAT.PX.BOR._.ITC.Lithium-i'!K32</f>
        <v>314.5320794292212</v>
      </c>
      <c r="BE22" s="297">
        <f>'2029_BAT.PX.UTN._.ITC.Lithium-i'!K32</f>
        <v>241.87</v>
      </c>
    </row>
    <row r="23" spans="1:57">
      <c r="A23" s="109">
        <v>2039</v>
      </c>
      <c r="B23" s="297">
        <f>'2025_WD_.PX.WYE._.SER.WD'!L33</f>
        <v>256.14</v>
      </c>
      <c r="C23">
        <f>'2025_WD_.PX.UWY._.SER.WD'!L33</f>
        <v>263.31</v>
      </c>
      <c r="D23">
        <f>'2027_WD_.PX.WWA._.215.WD'!L33</f>
        <v>258.93</v>
      </c>
      <c r="E23">
        <f>'2028_WD_.PX.BOR._.PTC.WD'!L33</f>
        <v>308.43</v>
      </c>
      <c r="F23">
        <f>'2029_WD_.PX.WYE.1.A01.WD'!L33</f>
        <v>217.68</v>
      </c>
      <c r="G23">
        <f>'2029_WD_.PX.BDG._.PTC.Bridger.W'!L33</f>
        <v>273.47000000000003</v>
      </c>
      <c r="H23">
        <f>'2029_WD_.PX.WYE._.PTC.WD'!L33</f>
        <v>442.08</v>
      </c>
      <c r="I23">
        <f>'2032_WD_.PX.PNC._.PTC.WD'!L33</f>
        <v>220.41000000000003</v>
      </c>
      <c r="J23">
        <f>'2032_WD_.PX.SOR._.PTC.WD'!L33</f>
        <v>177.11</v>
      </c>
      <c r="K23">
        <f>'2032_WD_.PX.WWA._.PTC.WD'!L33</f>
        <v>195.35</v>
      </c>
      <c r="L23">
        <f>'2032_WD_.PX.YAK._.PTC.WD'!L33</f>
        <v>249.23000000000002</v>
      </c>
      <c r="M23">
        <f>'2032_WD_.PX.WYE._.PTC.Djohns.WD'!L33</f>
        <v>177.15</v>
      </c>
      <c r="N23">
        <f>'2032_WD_.PX.WYN._.PTC.WD'!L33</f>
        <v>398.35</v>
      </c>
      <c r="O23">
        <f>'2025_PV_.PX.UTS._.SER.PV'!L33</f>
        <v>137.24</v>
      </c>
      <c r="P23">
        <f>'2025_PV_.PX.UWY._.SER.PV'!L33</f>
        <v>141.60999999999999</v>
      </c>
      <c r="Q23">
        <f>'2028_PV_.PX.UTS._.PTC.Hunter.PV'!L33</f>
        <v>131.87</v>
      </c>
      <c r="R23">
        <f>'2028_PV_.PX.UTS._.PTC.Huntingto'!L33</f>
        <v>131.87</v>
      </c>
      <c r="S23" s="298">
        <f>'2028_PV_.PX.BOR._.PTC.PV'!L33</f>
        <v>203.34999999999997</v>
      </c>
      <c r="T23">
        <f>'2025_PVS.PX.UTS._.SER.PV'!L33</f>
        <v>137.24</v>
      </c>
      <c r="U23">
        <f>'2025_PVS.PX.UTS._.SER.BAT'!K33</f>
        <v>271.72000000000003</v>
      </c>
      <c r="V23" s="303">
        <f t="shared" si="10"/>
        <v>408.96000000000004</v>
      </c>
      <c r="W23" s="297">
        <f>'2025_PVS.PX.UWY._.SER.PV'!L33</f>
        <v>141.60999999999999</v>
      </c>
      <c r="X23">
        <f>'2025_PVS.PX.UWY._.SER.BAT'!K33</f>
        <v>271.72000000000003</v>
      </c>
      <c r="Y23" s="298">
        <f t="shared" si="1"/>
        <v>413.33000000000004</v>
      </c>
      <c r="Z23" s="297">
        <f>'2025_PVS.PX.WYE._.SER.PV'!L33</f>
        <v>141.60999999999999</v>
      </c>
      <c r="AA23">
        <f>'2025_PVS.PX.WYE._.SER.BAT'!K33</f>
        <v>271.72000000000003</v>
      </c>
      <c r="AB23" s="298">
        <f t="shared" si="2"/>
        <v>413.33000000000004</v>
      </c>
      <c r="AC23" s="297">
        <f>'2025_PVS.PX.WMV._.222.PV'!L33</f>
        <v>149.09</v>
      </c>
      <c r="AD23">
        <f>'2025_PVS.PX.WMV._.222.BAT'!K33</f>
        <v>302.39999999999998</v>
      </c>
      <c r="AE23" s="298">
        <f t="shared" si="3"/>
        <v>451.49</v>
      </c>
      <c r="AF23" s="297">
        <f>'2026_PVS.PX.CLV.1.TC4.PV'!L33</f>
        <v>138.91</v>
      </c>
      <c r="AG23">
        <f>'2026_PVS.PX.CLV.1.TC4.BAT'!K33</f>
        <v>267.10000000000002</v>
      </c>
      <c r="AH23" s="298">
        <f t="shared" si="4"/>
        <v>406.01</v>
      </c>
      <c r="AI23" s="297">
        <f>'2026_PVS.PX.COR._.TC8.PV'!L33</f>
        <v>148.38</v>
      </c>
      <c r="AJ23">
        <f>'2026_PVS.PX.COR._.TC8.BAT'!K33</f>
        <v>267.10000000000002</v>
      </c>
      <c r="AK23" s="298">
        <f t="shared" si="5"/>
        <v>415.48</v>
      </c>
      <c r="AL23" s="297">
        <f>'2026_PVS.PX.BOR._.2C5.PV'!L33</f>
        <v>137.08000000000001</v>
      </c>
      <c r="AM23">
        <f>'2026_PVS.PX.BOR._.2C5.BAT'!K33</f>
        <v>297.77999999999997</v>
      </c>
      <c r="AN23" s="298">
        <f t="shared" si="6"/>
        <v>434.86</v>
      </c>
      <c r="AO23" s="297">
        <f>'2026_PVS.PX.WMV._.223.PV'!L33</f>
        <v>143.97999999999999</v>
      </c>
      <c r="AP23">
        <f>'2026_PVS.PX.WMV._.223.BAT'!K33</f>
        <v>297.77999999999997</v>
      </c>
      <c r="AQ23" s="298">
        <f t="shared" si="7"/>
        <v>441.76</v>
      </c>
      <c r="AR23" s="297">
        <f>'2026_PVS.PX.YAK._.110.PV'!L33</f>
        <v>205.63</v>
      </c>
      <c r="AS23">
        <f>'2026_PVS.PX.YAK._.110.BAT'!K33</f>
        <v>267.10000000000002</v>
      </c>
      <c r="AT23" s="298">
        <f t="shared" si="8"/>
        <v>472.73</v>
      </c>
      <c r="AU23" s="297">
        <f>'2027_PVS.PX.WWA._.215.PV'!L33</f>
        <v>146.9</v>
      </c>
      <c r="AV23">
        <f>'2026_PVS.PX.WWA._.215.BAT'!K33</f>
        <v>293.25</v>
      </c>
      <c r="AW23" s="298">
        <f t="shared" si="8"/>
        <v>440.15</v>
      </c>
      <c r="AX23" s="297">
        <f>'2029_PVS.PX.GOE.1.A43.PV'!L33</f>
        <v>135.69</v>
      </c>
      <c r="AY23">
        <f>'2029_PVS.PX.GOE.1.A43.BAT'!K33</f>
        <v>247.36</v>
      </c>
      <c r="AZ23" s="298">
        <f t="shared" si="9"/>
        <v>383.05</v>
      </c>
      <c r="BA23" s="297">
        <f>'2026_BAT.PX.BPA._.221.Lithium-I'!K33</f>
        <v>276.83000000000004</v>
      </c>
      <c r="BB23" s="297">
        <f>'2027_BAT.PX.WWA._.215.Lithium-i'!K33</f>
        <v>301.3</v>
      </c>
      <c r="BC23" s="297">
        <f>'2028_BAT.PX.WYE._.ITC.DJ+Wyodak'!K33</f>
        <v>258.3</v>
      </c>
      <c r="BD23" s="297">
        <f>'2028_BAT.PX.BOR._.ITC.Lithium-i'!K33</f>
        <v>320.26207942922122</v>
      </c>
      <c r="BE23" s="297">
        <f>'2029_BAT.PX.UTN._.ITC.Lithium-i'!K33</f>
        <v>247.36</v>
      </c>
    </row>
    <row r="24" spans="1:57">
      <c r="A24" s="109">
        <v>2040</v>
      </c>
      <c r="B24" s="297">
        <f>'2025_WD_.PX.WYE._.SER.WD'!L34</f>
        <v>261.95</v>
      </c>
      <c r="C24">
        <f>'2025_WD_.PX.UWY._.SER.WD'!L34</f>
        <v>269.29000000000002</v>
      </c>
      <c r="D24">
        <f>'2027_WD_.PX.WWA._.215.WD'!L34</f>
        <v>264.8</v>
      </c>
      <c r="E24">
        <f>'2028_WD_.PX.BOR._.PTC.WD'!L34</f>
        <v>315.43</v>
      </c>
      <c r="F24">
        <f>'2029_WD_.PX.WYE.1.A01.WD'!L34</f>
        <v>222.62</v>
      </c>
      <c r="G24">
        <f>'2029_WD_.PX.BDG._.PTC.Bridger.W'!L34</f>
        <v>279.66999999999996</v>
      </c>
      <c r="H24">
        <f>'2029_WD_.PX.WYE._.PTC.WD'!L34</f>
        <v>452.11</v>
      </c>
      <c r="I24">
        <f>'2032_WD_.PX.PNC._.PTC.WD'!L34</f>
        <v>225.41</v>
      </c>
      <c r="J24">
        <f>'2032_WD_.PX.SOR._.PTC.WD'!L34</f>
        <v>181.13</v>
      </c>
      <c r="K24">
        <f>'2032_WD_.PX.WWA._.PTC.WD'!L34</f>
        <v>199.78</v>
      </c>
      <c r="L24">
        <f>'2032_WD_.PX.YAK._.PTC.WD'!L34</f>
        <v>254.89000000000001</v>
      </c>
      <c r="M24">
        <f>'2032_WD_.PX.WYE._.PTC.Djohns.WD'!L34</f>
        <v>181.17000000000002</v>
      </c>
      <c r="N24">
        <f>'2032_WD_.PX.WYN._.PTC.WD'!L34</f>
        <v>407.39</v>
      </c>
      <c r="O24">
        <f>'2025_PV_.PX.UTS._.SER.PV'!L34</f>
        <v>140.35</v>
      </c>
      <c r="P24">
        <f>'2025_PV_.PX.UWY._.SER.PV'!L34</f>
        <v>144.82</v>
      </c>
      <c r="Q24">
        <f>'2028_PV_.PX.UTS._.PTC.Hunter.PV'!L34</f>
        <v>134.85999999999999</v>
      </c>
      <c r="R24">
        <f>'2028_PV_.PX.UTS._.PTC.Huntingto'!L34</f>
        <v>134.85999999999999</v>
      </c>
      <c r="S24" s="298">
        <f>'2028_PV_.PX.BOR._.PTC.PV'!L34</f>
        <v>207.97000000000003</v>
      </c>
      <c r="T24">
        <f>'2025_PVS.PX.UTS._.SER.PV'!L34</f>
        <v>140.35</v>
      </c>
      <c r="U24">
        <f>'2025_PVS.PX.UTS._.SER.BAT'!K34</f>
        <v>277.89</v>
      </c>
      <c r="V24" s="303">
        <f t="shared" si="10"/>
        <v>418.24</v>
      </c>
      <c r="W24" s="297">
        <f>'2025_PVS.PX.UWY._.SER.PV'!L34</f>
        <v>144.82</v>
      </c>
      <c r="X24">
        <f>'2025_PVS.PX.UWY._.SER.BAT'!K34</f>
        <v>277.89</v>
      </c>
      <c r="Y24" s="298">
        <f t="shared" si="1"/>
        <v>422.71</v>
      </c>
      <c r="Z24" s="297">
        <f>'2025_PVS.PX.WYE._.SER.PV'!L34</f>
        <v>144.82</v>
      </c>
      <c r="AA24">
        <f>'2025_PVS.PX.WYE._.SER.BAT'!K34</f>
        <v>277.89</v>
      </c>
      <c r="AB24" s="298">
        <f t="shared" si="2"/>
        <v>422.71</v>
      </c>
      <c r="AC24" s="297">
        <f>'2025_PVS.PX.WMV._.222.PV'!L34</f>
        <v>152.46999999999997</v>
      </c>
      <c r="AD24">
        <f>'2025_PVS.PX.WMV._.222.BAT'!K34</f>
        <v>309.27</v>
      </c>
      <c r="AE24" s="298">
        <f t="shared" si="3"/>
        <v>461.73999999999995</v>
      </c>
      <c r="AF24" s="297">
        <f>'2026_PVS.PX.CLV.1.TC4.PV'!L34</f>
        <v>142.06</v>
      </c>
      <c r="AG24">
        <f>'2026_PVS.PX.CLV.1.TC4.BAT'!K34</f>
        <v>273.15999999999997</v>
      </c>
      <c r="AH24" s="298">
        <f t="shared" si="4"/>
        <v>415.21999999999997</v>
      </c>
      <c r="AI24" s="297">
        <f>'2026_PVS.PX.COR._.TC8.PV'!L34</f>
        <v>151.73999999999998</v>
      </c>
      <c r="AJ24">
        <f>'2026_PVS.PX.COR._.TC8.BAT'!K34</f>
        <v>273.15999999999997</v>
      </c>
      <c r="AK24" s="298">
        <f t="shared" si="5"/>
        <v>424.9</v>
      </c>
      <c r="AL24" s="297">
        <f>'2026_PVS.PX.BOR._.2C5.PV'!L34</f>
        <v>140.19000000000003</v>
      </c>
      <c r="AM24">
        <f>'2026_PVS.PX.BOR._.2C5.BAT'!K34</f>
        <v>304.54000000000002</v>
      </c>
      <c r="AN24" s="298">
        <f t="shared" si="6"/>
        <v>444.73</v>
      </c>
      <c r="AO24" s="297">
        <f>'2026_PVS.PX.WMV._.223.PV'!L34</f>
        <v>147.23999999999998</v>
      </c>
      <c r="AP24">
        <f>'2026_PVS.PX.WMV._.223.BAT'!K34</f>
        <v>304.54000000000002</v>
      </c>
      <c r="AQ24" s="298">
        <f t="shared" si="7"/>
        <v>451.78</v>
      </c>
      <c r="AR24" s="297">
        <f>'2026_PVS.PX.YAK._.110.PV'!L34</f>
        <v>210.29000000000002</v>
      </c>
      <c r="AS24">
        <f>'2026_PVS.PX.YAK._.110.BAT'!K34</f>
        <v>273.15999999999997</v>
      </c>
      <c r="AT24" s="298">
        <f t="shared" si="8"/>
        <v>483.45</v>
      </c>
      <c r="AU24" s="297">
        <f>'2027_PVS.PX.WWA._.215.PV'!L34</f>
        <v>150.22999999999999</v>
      </c>
      <c r="AV24">
        <f>'2026_PVS.PX.WWA._.215.BAT'!K34</f>
        <v>299.90999999999997</v>
      </c>
      <c r="AW24" s="298">
        <f t="shared" si="8"/>
        <v>450.14</v>
      </c>
      <c r="AX24" s="297">
        <f>'2029_PVS.PX.GOE.1.A43.PV'!L34</f>
        <v>138.76</v>
      </c>
      <c r="AY24">
        <f>'2029_PVS.PX.GOE.1.A43.BAT'!K34</f>
        <v>252.97</v>
      </c>
      <c r="AZ24" s="298">
        <f t="shared" si="9"/>
        <v>391.73</v>
      </c>
      <c r="BA24" s="297">
        <f>'2026_BAT.PX.BPA._.221.Lithium-I'!K34</f>
        <v>283.10999999999996</v>
      </c>
      <c r="BB24" s="297">
        <f>'2027_BAT.PX.WWA._.215.Lithium-i'!K34</f>
        <v>308.14</v>
      </c>
      <c r="BC24" s="297">
        <f>'2028_BAT.PX.WYE._.ITC.DJ+Wyodak'!K34</f>
        <v>264.16000000000003</v>
      </c>
      <c r="BD24" s="297">
        <f>'2028_BAT.PX.BOR._.ITC.Lithium-i'!K34</f>
        <v>326.12207942922123</v>
      </c>
      <c r="BE24" s="297">
        <f>'2029_BAT.PX.UTN._.ITC.Lithium-i'!K34</f>
        <v>252.97</v>
      </c>
    </row>
    <row r="25" spans="1:57">
      <c r="A25" s="109">
        <v>2041</v>
      </c>
      <c r="B25" s="297">
        <f>'2025_WD_.PX.WYE._.SER.WD'!L35</f>
        <v>267.89</v>
      </c>
      <c r="C25">
        <f>'2025_WD_.PX.UWY._.SER.WD'!L35</f>
        <v>275.39999999999998</v>
      </c>
      <c r="D25">
        <f>'2027_WD_.PX.WWA._.215.WD'!L35</f>
        <v>270.82</v>
      </c>
      <c r="E25">
        <f>'2028_WD_.PX.BOR._.PTC.WD'!L35</f>
        <v>322.58999999999997</v>
      </c>
      <c r="F25">
        <f>'2029_WD_.PX.WYE.1.A01.WD'!L35</f>
        <v>227.67000000000002</v>
      </c>
      <c r="G25">
        <f>'2029_WD_.PX.BDG._.PTC.Bridger.W'!L35</f>
        <v>286.02</v>
      </c>
      <c r="H25">
        <f>'2029_WD_.PX.WYE._.PTC.WD'!L35</f>
        <v>462.38</v>
      </c>
      <c r="I25">
        <f>'2032_WD_.PX.PNC._.PTC.WD'!L35</f>
        <v>230.53</v>
      </c>
      <c r="J25">
        <f>'2032_WD_.PX.SOR._.PTC.WD'!L35</f>
        <v>185.24</v>
      </c>
      <c r="K25">
        <f>'2032_WD_.PX.WWA._.PTC.WD'!L35</f>
        <v>204.31</v>
      </c>
      <c r="L25">
        <f>'2032_WD_.PX.YAK._.PTC.WD'!L35</f>
        <v>260.67</v>
      </c>
      <c r="M25">
        <f>'2032_WD_.PX.WYE._.PTC.Djohns.WD'!L35</f>
        <v>185.27999999999997</v>
      </c>
      <c r="N25">
        <f>'2032_WD_.PX.WYN._.PTC.WD'!L35</f>
        <v>416.64</v>
      </c>
      <c r="O25">
        <f>'2025_PV_.PX.UTS._.SER.PV'!L35</f>
        <v>143.54</v>
      </c>
      <c r="P25">
        <f>'2025_PV_.PX.UWY._.SER.PV'!L35</f>
        <v>148.11000000000001</v>
      </c>
      <c r="Q25">
        <f>'2028_PV_.PX.UTS._.PTC.Hunter.PV'!L35</f>
        <v>137.93</v>
      </c>
      <c r="R25">
        <f>'2028_PV_.PX.UTS._.PTC.Huntingto'!L35</f>
        <v>137.93</v>
      </c>
      <c r="S25" s="298">
        <f>'2028_PV_.PX.BOR._.PTC.PV'!L35</f>
        <v>212.69</v>
      </c>
      <c r="T25">
        <f>'2025_PVS.PX.UTS._.SER.PV'!L35</f>
        <v>143.54</v>
      </c>
      <c r="U25">
        <f>'2025_PVS.PX.UTS._.SER.BAT'!K35</f>
        <v>284.19</v>
      </c>
      <c r="V25" s="303">
        <f t="shared" si="10"/>
        <v>427.73</v>
      </c>
      <c r="W25" s="297">
        <f>'2025_PVS.PX.UWY._.SER.PV'!L35</f>
        <v>148.11000000000001</v>
      </c>
      <c r="X25">
        <f>'2025_PVS.PX.UWY._.SER.BAT'!K35</f>
        <v>284.19</v>
      </c>
      <c r="Y25" s="298">
        <f t="shared" si="1"/>
        <v>432.3</v>
      </c>
      <c r="Z25" s="297">
        <f>'2025_PVS.PX.WYE._.SER.PV'!L35</f>
        <v>148.11000000000001</v>
      </c>
      <c r="AA25">
        <f>'2025_PVS.PX.WYE._.SER.BAT'!K35</f>
        <v>284.19</v>
      </c>
      <c r="AB25" s="298">
        <f t="shared" si="2"/>
        <v>432.3</v>
      </c>
      <c r="AC25" s="297">
        <f>'2025_PVS.PX.WMV._.222.PV'!L35</f>
        <v>155.92999999999998</v>
      </c>
      <c r="AD25">
        <f>'2025_PVS.PX.WMV._.222.BAT'!K35</f>
        <v>316.29000000000002</v>
      </c>
      <c r="AE25" s="298">
        <f t="shared" si="3"/>
        <v>472.22</v>
      </c>
      <c r="AF25" s="297">
        <f>'2026_PVS.PX.CLV.1.TC4.PV'!L35</f>
        <v>145.28</v>
      </c>
      <c r="AG25">
        <f>'2026_PVS.PX.CLV.1.TC4.BAT'!K35</f>
        <v>279.36</v>
      </c>
      <c r="AH25" s="298">
        <f t="shared" si="4"/>
        <v>424.64</v>
      </c>
      <c r="AI25" s="297">
        <f>'2026_PVS.PX.COR._.TC8.PV'!L35</f>
        <v>155.17999999999998</v>
      </c>
      <c r="AJ25">
        <f>'2026_PVS.PX.COR._.TC8.BAT'!K35</f>
        <v>279.36</v>
      </c>
      <c r="AK25" s="298">
        <f t="shared" si="5"/>
        <v>434.53999999999996</v>
      </c>
      <c r="AL25" s="297">
        <f>'2026_PVS.PX.BOR._.2C5.PV'!L35</f>
        <v>143.38</v>
      </c>
      <c r="AM25">
        <f>'2026_PVS.PX.BOR._.2C5.BAT'!K35</f>
        <v>311.45999999999998</v>
      </c>
      <c r="AN25" s="298">
        <f t="shared" si="6"/>
        <v>454.84</v>
      </c>
      <c r="AO25" s="297">
        <f>'2026_PVS.PX.WMV._.223.PV'!L35</f>
        <v>150.57999999999998</v>
      </c>
      <c r="AP25">
        <f>'2026_PVS.PX.WMV._.223.BAT'!K35</f>
        <v>311.45999999999998</v>
      </c>
      <c r="AQ25" s="298">
        <f t="shared" si="7"/>
        <v>462.03999999999996</v>
      </c>
      <c r="AR25" s="297">
        <f>'2026_PVS.PX.YAK._.110.PV'!L35</f>
        <v>215.05999999999997</v>
      </c>
      <c r="AS25">
        <f>'2026_PVS.PX.YAK._.110.BAT'!K35</f>
        <v>279.36</v>
      </c>
      <c r="AT25" s="298">
        <f t="shared" si="8"/>
        <v>494.41999999999996</v>
      </c>
      <c r="AU25" s="297">
        <f>'2027_PVS.PX.WWA._.215.PV'!L35</f>
        <v>153.63999999999999</v>
      </c>
      <c r="AV25">
        <f>'2026_PVS.PX.WWA._.215.BAT'!K35</f>
        <v>306.72000000000003</v>
      </c>
      <c r="AW25" s="298">
        <f t="shared" si="8"/>
        <v>460.36</v>
      </c>
      <c r="AX25" s="297">
        <f>'2029_PVS.PX.GOE.1.A43.PV'!L35</f>
        <v>141.91</v>
      </c>
      <c r="AY25">
        <f>'2029_PVS.PX.GOE.1.A43.BAT'!K35</f>
        <v>258.71000000000004</v>
      </c>
      <c r="AZ25" s="298">
        <f t="shared" si="9"/>
        <v>400.62</v>
      </c>
      <c r="BA25" s="297">
        <f>'2026_BAT.PX.BPA._.221.Lithium-I'!K35</f>
        <v>289.54000000000002</v>
      </c>
      <c r="BB25" s="297">
        <f>'2027_BAT.PX.WWA._.215.Lithium-i'!K35</f>
        <v>315.14000000000004</v>
      </c>
      <c r="BC25" s="297">
        <f>'2028_BAT.PX.WYE._.ITC.DJ+Wyodak'!K35</f>
        <v>270.15999999999997</v>
      </c>
      <c r="BD25" s="297">
        <f>'2028_BAT.PX.BOR._.ITC.Lithium-i'!K35</f>
        <v>332.12207942922123</v>
      </c>
      <c r="BE25" s="297">
        <f>'2029_BAT.PX.UTN._.ITC.Lithium-i'!K35</f>
        <v>258.71000000000004</v>
      </c>
    </row>
    <row r="26" spans="1:57">
      <c r="A26" s="109">
        <v>2042</v>
      </c>
      <c r="B26" s="297">
        <f>'2025_WD_.PX.WYE._.SER.WD'!L36</f>
        <v>273.98</v>
      </c>
      <c r="C26">
        <f>'2025_WD_.PX.UWY._.SER.WD'!L36</f>
        <v>281.65999999999997</v>
      </c>
      <c r="D26">
        <f>'2027_WD_.PX.WWA._.215.WD'!L36</f>
        <v>276.97000000000003</v>
      </c>
      <c r="E26">
        <f>'2028_WD_.PX.BOR._.PTC.WD'!L36</f>
        <v>329.90999999999997</v>
      </c>
      <c r="F26">
        <f>'2029_WD_.PX.WYE.1.A01.WD'!L36</f>
        <v>232.84</v>
      </c>
      <c r="G26">
        <f>'2029_WD_.PX.BDG._.PTC.Bridger.W'!L36</f>
        <v>292.51</v>
      </c>
      <c r="H26">
        <f>'2029_WD_.PX.WYE._.PTC.WD'!L36</f>
        <v>472.87</v>
      </c>
      <c r="I26">
        <f>'2032_WD_.PX.PNC._.PTC.WD'!L36</f>
        <v>235.76999999999998</v>
      </c>
      <c r="J26">
        <f>'2032_WD_.PX.SOR._.PTC.WD'!L36</f>
        <v>189.45</v>
      </c>
      <c r="K26">
        <f>'2032_WD_.PX.WWA._.PTC.WD'!L36</f>
        <v>208.96</v>
      </c>
      <c r="L26">
        <f>'2032_WD_.PX.YAK._.PTC.WD'!L36</f>
        <v>266.60000000000002</v>
      </c>
      <c r="M26">
        <f>'2032_WD_.PX.WYE._.PTC.Djohns.WD'!L36</f>
        <v>189.49</v>
      </c>
      <c r="N26">
        <f>'2032_WD_.PX.WYN._.PTC.WD'!L36</f>
        <v>426.1</v>
      </c>
      <c r="O26">
        <f>'2025_PV_.PX.UTS._.SER.PV'!L36</f>
        <v>146.80000000000001</v>
      </c>
      <c r="P26">
        <f>'2025_PV_.PX.UWY._.SER.PV'!L36</f>
        <v>151.48000000000002</v>
      </c>
      <c r="Q26">
        <f>'2028_PV_.PX.UTS._.PTC.Hunter.PV'!L36</f>
        <v>141.06</v>
      </c>
      <c r="R26">
        <f>'2028_PV_.PX.UTS._.PTC.Huntingto'!L36</f>
        <v>141.06</v>
      </c>
      <c r="S26" s="298">
        <f>'2028_PV_.PX.BOR._.PTC.PV'!L36</f>
        <v>217.52</v>
      </c>
      <c r="T26">
        <f>'2025_PVS.PX.UTS._.SER.PV'!L36</f>
        <v>146.80000000000001</v>
      </c>
      <c r="U26">
        <f>'2025_PVS.PX.UTS._.SER.BAT'!K36</f>
        <v>290.64</v>
      </c>
      <c r="V26" s="303">
        <f t="shared" si="10"/>
        <v>437.44</v>
      </c>
      <c r="W26" s="297">
        <f>'2025_PVS.PX.UWY._.SER.PV'!L36</f>
        <v>151.48000000000002</v>
      </c>
      <c r="X26">
        <f>'2025_PVS.PX.UWY._.SER.BAT'!K36</f>
        <v>290.64</v>
      </c>
      <c r="Y26" s="298">
        <f t="shared" si="1"/>
        <v>442.12</v>
      </c>
      <c r="Z26" s="297">
        <f>'2025_PVS.PX.WYE._.SER.PV'!L36</f>
        <v>151.48000000000002</v>
      </c>
      <c r="AA26">
        <f>'2025_PVS.PX.WYE._.SER.BAT'!K36</f>
        <v>290.64</v>
      </c>
      <c r="AB26" s="298">
        <f t="shared" si="2"/>
        <v>442.12</v>
      </c>
      <c r="AC26" s="297">
        <f>'2025_PVS.PX.WMV._.222.PV'!L36</f>
        <v>159.47999999999999</v>
      </c>
      <c r="AD26">
        <f>'2025_PVS.PX.WMV._.222.BAT'!K36</f>
        <v>323.47000000000003</v>
      </c>
      <c r="AE26" s="298">
        <f t="shared" si="3"/>
        <v>482.95000000000005</v>
      </c>
      <c r="AF26" s="297">
        <f>'2026_PVS.PX.CLV.1.TC4.PV'!L36</f>
        <v>148.58999999999997</v>
      </c>
      <c r="AG26">
        <f>'2026_PVS.PX.CLV.1.TC4.BAT'!K36</f>
        <v>285.7</v>
      </c>
      <c r="AH26" s="298">
        <f t="shared" si="4"/>
        <v>434.28999999999996</v>
      </c>
      <c r="AI26" s="297">
        <f>'2026_PVS.PX.COR._.TC8.PV'!L36</f>
        <v>158.70999999999998</v>
      </c>
      <c r="AJ26">
        <f>'2026_PVS.PX.COR._.TC8.BAT'!K36</f>
        <v>285.7</v>
      </c>
      <c r="AK26" s="298">
        <f t="shared" si="5"/>
        <v>444.40999999999997</v>
      </c>
      <c r="AL26" s="297">
        <f>'2026_PVS.PX.BOR._.2C5.PV'!L36</f>
        <v>146.64000000000001</v>
      </c>
      <c r="AM26">
        <f>'2026_PVS.PX.BOR._.2C5.BAT'!K36</f>
        <v>318.52999999999997</v>
      </c>
      <c r="AN26" s="298">
        <f t="shared" si="6"/>
        <v>465.16999999999996</v>
      </c>
      <c r="AO26" s="297">
        <f>'2026_PVS.PX.WMV._.223.PV'!L36</f>
        <v>153.99999999999997</v>
      </c>
      <c r="AP26">
        <f>'2026_PVS.PX.WMV._.223.BAT'!K36</f>
        <v>318.52999999999997</v>
      </c>
      <c r="AQ26" s="298">
        <f t="shared" si="7"/>
        <v>472.53</v>
      </c>
      <c r="AR26" s="297">
        <f>'2026_PVS.PX.YAK._.110.PV'!L36</f>
        <v>219.94</v>
      </c>
      <c r="AS26">
        <f>'2026_PVS.PX.YAK._.110.BAT'!K36</f>
        <v>285.7</v>
      </c>
      <c r="AT26" s="298">
        <f t="shared" si="8"/>
        <v>505.64</v>
      </c>
      <c r="AU26" s="297">
        <f>'2027_PVS.PX.WWA._.215.PV'!L36</f>
        <v>157.13</v>
      </c>
      <c r="AV26">
        <f>'2026_PVS.PX.WWA._.215.BAT'!K36</f>
        <v>313.69</v>
      </c>
      <c r="AW26" s="298">
        <f t="shared" si="8"/>
        <v>470.82</v>
      </c>
      <c r="AX26" s="297">
        <f>'2029_PVS.PX.GOE.1.A43.PV'!L36</f>
        <v>145.13999999999999</v>
      </c>
      <c r="AY26">
        <f>'2029_PVS.PX.GOE.1.A43.BAT'!K36</f>
        <v>264.59000000000003</v>
      </c>
      <c r="AZ26" s="298">
        <f t="shared" si="9"/>
        <v>409.73</v>
      </c>
      <c r="BA26" s="297">
        <f>'2026_BAT.PX.BPA._.221.Lithium-I'!K36</f>
        <v>296.11</v>
      </c>
      <c r="BB26" s="297">
        <f>'2027_BAT.PX.WWA._.215.Lithium-i'!K36</f>
        <v>322.3</v>
      </c>
      <c r="BC26" s="297">
        <f>'2028_BAT.PX.WYE._.ITC.DJ+Wyodak'!K36</f>
        <v>276.29000000000002</v>
      </c>
      <c r="BD26" s="297">
        <f>'2028_BAT.PX.BOR._.ITC.Lithium-i'!K36</f>
        <v>338.25207942922123</v>
      </c>
      <c r="BE26" s="297">
        <f>'2029_BAT.PX.UTN._.ITC.Lithium-i'!K36</f>
        <v>264.59000000000003</v>
      </c>
    </row>
    <row r="27" spans="1:57">
      <c r="A27" s="109"/>
      <c r="B27" s="308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S27" s="298"/>
      <c r="V27" s="303"/>
      <c r="W27" s="297"/>
      <c r="Y27" s="298"/>
      <c r="Z27" s="297"/>
      <c r="AB27" s="298"/>
      <c r="AC27" s="297"/>
      <c r="AE27" s="298"/>
      <c r="AF27" s="297"/>
      <c r="AH27" s="298"/>
      <c r="AI27" s="297"/>
      <c r="AK27" s="298"/>
      <c r="AL27" s="297"/>
      <c r="AN27" s="298"/>
      <c r="AO27" s="297"/>
      <c r="AQ27" s="298"/>
      <c r="AR27" s="297"/>
      <c r="AT27" s="298"/>
      <c r="AU27" s="297"/>
      <c r="AW27" s="298"/>
      <c r="AX27" s="297"/>
      <c r="AZ27" s="298"/>
      <c r="BA27" s="297"/>
      <c r="BB27" s="297"/>
      <c r="BC27" s="297"/>
      <c r="BD27" s="297"/>
      <c r="BE27" s="297"/>
    </row>
    <row r="29" spans="1:57" s="326" customFormat="1">
      <c r="A29" s="325" t="s">
        <v>9</v>
      </c>
      <c r="B29" s="415">
        <f>-PMT(Discount_Rate,COUNT(B9:B26),NPV(Discount_Rate,B9:B26))</f>
        <v>219.19606909313566</v>
      </c>
      <c r="C29" s="415">
        <f>-PMT(Discount_Rate,COUNT(C9:C26),NPV(Discount_Rate,C9:C26))</f>
        <v>225.3314054159186</v>
      </c>
      <c r="D29" s="415">
        <f>-PMT(Discount_Rate,COUNT(D11:D26),NPV(Discount_Rate,D11:D26))</f>
        <v>228.1463191568451</v>
      </c>
      <c r="E29" s="415">
        <f>-PMT(Discount_Rate,COUNT(E12:E26),NPV(Discount_Rate,E12:E26))</f>
        <v>275.67389551156634</v>
      </c>
      <c r="F29" s="415">
        <f>-PMT(Discount_Rate,COUNT(F13:F26),NPV(Discount_Rate,F13:F26))</f>
        <v>197.33292047119477</v>
      </c>
      <c r="G29" s="415">
        <f>-PMT(Discount_Rate,COUNT(G13:G26),NPV(Discount_Rate,G13:G26))</f>
        <v>247.63530421206741</v>
      </c>
      <c r="H29" s="415">
        <f>-PMT(Discount_Rate,COUNT(H13:H26),NPV(Discount_Rate,H13:H26))</f>
        <v>400.74399410756945</v>
      </c>
      <c r="I29" s="415">
        <f t="shared" ref="I29:N29" si="11">-PMT(Discount_Rate,COUNT(I16:I26),NPV(Discount_Rate,I16:I26))</f>
        <v>208.19311155641677</v>
      </c>
      <c r="J29" s="415">
        <f t="shared" si="11"/>
        <v>167.29345382865947</v>
      </c>
      <c r="K29" s="415">
        <f t="shared" si="11"/>
        <v>184.52512454973407</v>
      </c>
      <c r="L29" s="415">
        <f t="shared" si="11"/>
        <v>235.42761741043802</v>
      </c>
      <c r="M29" s="415">
        <f t="shared" si="11"/>
        <v>167.33298302179745</v>
      </c>
      <c r="N29" s="415">
        <f t="shared" si="11"/>
        <v>376.27898342029511</v>
      </c>
      <c r="O29" s="415">
        <f>-PMT(Discount_Rate,COUNT(O9:O26),NPV(Discount_Rate,O9:O26))</f>
        <v>117.45663080831442</v>
      </c>
      <c r="P29" s="415">
        <f>-PMT(Discount_Rate,COUNT(P9:P26),NPV(Discount_Rate,P9:P26))</f>
        <v>121.2036868104729</v>
      </c>
      <c r="Q29" s="415">
        <f>-PMT(Discount_Rate,COUNT(Q12:Q26),NPV(Discount_Rate,Q12:Q26))</f>
        <v>117.87390199289499</v>
      </c>
      <c r="R29" s="415">
        <f>-PMT(Discount_Rate,COUNT(R12:R26),NPV(Discount_Rate,R12:R26))</f>
        <v>117.87390199289456</v>
      </c>
      <c r="S29" s="415">
        <f>-PMT(Discount_Rate,COUNT(S12:S26),NPV(Discount_Rate,S12:S26))</f>
        <v>181.75442216730093</v>
      </c>
      <c r="T29" s="415">
        <f t="shared" ref="T29:AE29" si="12">-PMT(Discount_Rate,COUNT(T9:T26),NPV(Discount_Rate,T9:T26))</f>
        <v>117.4566308083137</v>
      </c>
      <c r="U29" s="415">
        <f t="shared" si="12"/>
        <v>232.52997204410829</v>
      </c>
      <c r="V29" s="415">
        <f t="shared" si="12"/>
        <v>349.98660285242204</v>
      </c>
      <c r="W29" s="415">
        <f t="shared" si="12"/>
        <v>121.20368681046568</v>
      </c>
      <c r="X29" s="415">
        <f t="shared" si="12"/>
        <v>232.52997204410764</v>
      </c>
      <c r="Y29" s="415">
        <f t="shared" si="12"/>
        <v>353.73365885457332</v>
      </c>
      <c r="Z29" s="415">
        <f t="shared" si="12"/>
        <v>121.20368681046554</v>
      </c>
      <c r="AA29" s="415">
        <f t="shared" si="12"/>
        <v>232.52997204410741</v>
      </c>
      <c r="AB29" s="415">
        <f t="shared" si="12"/>
        <v>353.73365885457287</v>
      </c>
      <c r="AC29" s="415">
        <f t="shared" si="12"/>
        <v>127.59889156240168</v>
      </c>
      <c r="AD29" s="415">
        <f t="shared" si="12"/>
        <v>258.79192060596517</v>
      </c>
      <c r="AE29" s="415">
        <f t="shared" si="12"/>
        <v>386.39081216836684</v>
      </c>
      <c r="AF29" s="415">
        <f t="shared" ref="AF29:AT29" si="13">-PMT(Discount_Rate,COUNT(AF10:AF26),NPV(Discount_Rate,AF10:AF26))</f>
        <v>120.64360611239447</v>
      </c>
      <c r="AG29" s="415">
        <f t="shared" si="13"/>
        <v>231.95273441200399</v>
      </c>
      <c r="AH29" s="415">
        <f t="shared" si="13"/>
        <v>352.59634052439833</v>
      </c>
      <c r="AI29" s="415">
        <f t="shared" si="13"/>
        <v>128.85821126129053</v>
      </c>
      <c r="AJ29" s="415">
        <f t="shared" si="13"/>
        <v>231.95273441200354</v>
      </c>
      <c r="AK29" s="415">
        <f t="shared" si="13"/>
        <v>360.81094567329404</v>
      </c>
      <c r="AL29" s="415">
        <f t="shared" si="13"/>
        <v>119.06401785538583</v>
      </c>
      <c r="AM29" s="415">
        <f t="shared" si="13"/>
        <v>258.60295738345951</v>
      </c>
      <c r="AN29" s="415">
        <f t="shared" si="13"/>
        <v>377.66697523884528</v>
      </c>
      <c r="AO29" s="415">
        <f t="shared" si="13"/>
        <v>125.03531378854905</v>
      </c>
      <c r="AP29" s="415">
        <f t="shared" si="13"/>
        <v>258.6029573834598</v>
      </c>
      <c r="AQ29" s="415">
        <f t="shared" si="13"/>
        <v>383.63827117200879</v>
      </c>
      <c r="AR29" s="415">
        <f t="shared" si="13"/>
        <v>178.58798478626176</v>
      </c>
      <c r="AS29" s="415">
        <f t="shared" si="13"/>
        <v>231.95273441200411</v>
      </c>
      <c r="AT29" s="415">
        <f t="shared" si="13"/>
        <v>410.54071919826583</v>
      </c>
      <c r="AU29" s="415">
        <f>-PMT(Discount_Rate,COUNT(AU11:AU26),NPV(Discount_Rate,AU11:AU26))</f>
        <v>129.43947923762653</v>
      </c>
      <c r="AV29" s="415">
        <f>-PMT(Discount_Rate,COUNT(AV11:AV26),NPV(Discount_Rate,AV11:AV26))</f>
        <v>258.38430471196057</v>
      </c>
      <c r="AW29" s="415">
        <f>-PMT(Discount_Rate,COUNT(AW11:AW26),NPV(Discount_Rate,AW11:AW26))</f>
        <v>387.82378394958715</v>
      </c>
      <c r="AX29" s="415">
        <f>-PMT(Discount_Rate,COUNT(AX13:AX26),NPV(Discount_Rate,AX13:AX26))</f>
        <v>122.99994300863723</v>
      </c>
      <c r="AY29" s="415">
        <f>-PMT(Discount_Rate,COUNT(AY13:AY26),NPV(Discount_Rate,AY13:AY26))</f>
        <v>224.22399631707393</v>
      </c>
      <c r="AZ29" s="415">
        <f>-PMT(Discount_Rate,COUNT(AZ13:AZ26),NPV(Discount_Rate,AZ13:AZ26))</f>
        <v>347.22393932571106</v>
      </c>
      <c r="BA29" s="415">
        <f>-PMT(Discount_Rate,COUNT(BA10:BA26),NPV(Discount_Rate,BA10:BA26))</f>
        <v>240.39983290736373</v>
      </c>
      <c r="BB29" s="415">
        <f>-PMT(Discount_Rate,COUNT(BB11:BB26),NPV(Discount_Rate,BB11:BB26))</f>
        <v>265.47839266279266</v>
      </c>
      <c r="BC29" s="415">
        <f>-PMT(Discount_Rate,COUNT(BC12:BC26),NPV(Discount_Rate,BC12:BC26))</f>
        <v>230.8744676601103</v>
      </c>
      <c r="BD29" s="415">
        <f>-PMT(Discount_Rate,COUNT(BD12:BD26),NPV(Discount_Rate,BD12:BD26))</f>
        <v>292.8365470893317</v>
      </c>
      <c r="BE29" s="415">
        <f>-PMT(Discount_Rate,COUNT(BE13:BE26),NPV(Discount_Rate,BE13:BE26))</f>
        <v>224.2239963170735</v>
      </c>
    </row>
    <row r="30" spans="1:57">
      <c r="A30" t="s">
        <v>32</v>
      </c>
      <c r="B30" s="287">
        <f>INDEX(IRP_LTReport!$Q:$Q,MATCH(Table3Compare!B5,IRP_LTReport!$C:$C,0),1)</f>
        <v>75.900000000000006</v>
      </c>
      <c r="C30" s="287">
        <f>INDEX(IRP_LTReport!$Q:$Q,MATCH(Table3Compare!C5,IRP_LTReport!$C:$C,0),1)</f>
        <v>220</v>
      </c>
      <c r="D30" s="287">
        <f>INDEX(IRP_LTReport!$Q:$Q,MATCH(Table3Compare!D5,IRP_LTReport!$C:$C,0),1)</f>
        <v>100</v>
      </c>
      <c r="E30" s="287">
        <f>INDEX(IRP_LTReport!$Q:$Q,MATCH(Table3Compare!E5,IRP_LTReport!$C:$C,0),1)</f>
        <v>300</v>
      </c>
      <c r="F30" s="287">
        <f>INDEX(IRP_LTReport!$Q:$Q,MATCH(Table3Compare!F5,IRP_LTReport!$C:$C,0),1)</f>
        <v>500</v>
      </c>
      <c r="G30" s="287">
        <f>INDEX(IRP_LTReport!$Q:$Q,MATCH(Table3Compare!G5,IRP_LTReport!$C:$C,0),1)</f>
        <v>650</v>
      </c>
      <c r="H30" s="287">
        <f>INDEX(IRP_LTReport!$Q:$Q,MATCH(Table3Compare!H5,IRP_LTReport!$C:$C,0),1)</f>
        <v>750</v>
      </c>
      <c r="I30" s="287">
        <f>INDEX(IRP_LTReport!$Q:$Q,MATCH(Table3Compare!I5,IRP_LTReport!$C:$C,0),1)</f>
        <v>130</v>
      </c>
      <c r="J30" s="287">
        <f>INDEX(IRP_LTReport!$Q:$Q,MATCH(Table3Compare!J5,IRP_LTReport!$C:$C,0),1)</f>
        <v>100</v>
      </c>
      <c r="K30" s="287">
        <f>INDEX(IRP_LTReport!$Q:$Q,MATCH(Table3Compare!K5,IRP_LTReport!$C:$C,0),1)</f>
        <v>337.75560000000002</v>
      </c>
      <c r="L30" s="287">
        <f>INDEX(IRP_LTReport!$Q:$Q,MATCH(Table3Compare!L5,IRP_LTReport!$C:$C,0),1)</f>
        <v>500.899</v>
      </c>
      <c r="M30" s="287">
        <f>INDEX(IRP_LTReport!$Q:$Q,MATCH(Table3Compare!M5,IRP_LTReport!$C:$C,0),1)</f>
        <v>650</v>
      </c>
      <c r="N30" s="287">
        <f>INDEX(IRP_LTReport!$Q:$Q,MATCH(Table3Compare!N5,IRP_LTReport!$C:$C,0),1)</f>
        <v>364.64920000000001</v>
      </c>
      <c r="O30" s="287">
        <f>INDEX(IRP_LTReport!$Q:$Q,MATCH(Table3Compare!O5,IRP_LTReport!$C:$C,0),1)</f>
        <v>295</v>
      </c>
      <c r="P30" s="287">
        <f>INDEX(IRP_LTReport!$Q:$Q,MATCH(Table3Compare!P5,IRP_LTReport!$C:$C,0),1)</f>
        <v>20</v>
      </c>
      <c r="Q30" s="287">
        <f>INDEX(IRP_LTReport!$Q:$Q,MATCH(Table3Compare!Q5,IRP_LTReport!$C:$C,0),1)</f>
        <v>686.59360000000004</v>
      </c>
      <c r="R30" s="287">
        <f>INDEX(IRP_LTReport!$Q:$Q,MATCH(Table3Compare!R5,IRP_LTReport!$C:$C,0),1)</f>
        <v>820.76279999999997</v>
      </c>
      <c r="S30" s="287">
        <f>INDEX(IRP_LTReport!$Q:$Q,MATCH(Table3Compare!S5,IRP_LTReport!$C:$C,0),1)</f>
        <v>400</v>
      </c>
      <c r="T30" s="287">
        <f>INDEX(IRP_LTReport!$Q:$Q,MATCH(Table3Compare!T5,IRP_LTReport!$C:$C,0),1)</f>
        <v>158</v>
      </c>
      <c r="U30" s="287">
        <f>INDEX(IRP_LTReport!$Q:$Q,MATCH(Table3Compare!U5,IRP_LTReport!$C:$C,0),1)</f>
        <v>158</v>
      </c>
      <c r="V30" s="287">
        <f>U30</f>
        <v>158</v>
      </c>
      <c r="W30" s="287">
        <f>INDEX(IRP_LTReport!$Q:$Q,MATCH(Table3Compare!W5,IRP_LTReport!$C:$C,0),1)</f>
        <v>272</v>
      </c>
      <c r="X30" s="287">
        <f>INDEX(IRP_LTReport!$Q:$Q,MATCH(Table3Compare!X5,IRP_LTReport!$C:$C,0),1)</f>
        <v>272</v>
      </c>
      <c r="Y30" s="287">
        <f>X30</f>
        <v>272</v>
      </c>
      <c r="Z30" s="287">
        <f>INDEX(IRP_LTReport!$Q:$Q,MATCH(Table3Compare!Z5,IRP_LTReport!$C:$C,0),1)</f>
        <v>314.89999999999998</v>
      </c>
      <c r="AA30" s="287">
        <f>INDEX(IRP_LTReport!$Q:$Q,MATCH(Table3Compare!AA5,IRP_LTReport!$C:$C,0),1)</f>
        <v>314.89999999999998</v>
      </c>
      <c r="AB30" s="287">
        <f>AA30</f>
        <v>314.89999999999998</v>
      </c>
      <c r="AC30" s="287">
        <f>INDEX(IRP_LTReport!$Q:$Q,MATCH(Table3Compare!AC5,IRP_LTReport!$C:$C,0),1)</f>
        <v>9</v>
      </c>
      <c r="AD30" s="287">
        <f>INDEX(IRP_LTReport!$Q:$Q,MATCH(Table3Compare!AD5,IRP_LTReport!$C:$C,0),1)</f>
        <v>9</v>
      </c>
      <c r="AE30" s="287">
        <f>AD30</f>
        <v>9</v>
      </c>
      <c r="AF30" s="287">
        <f>INDEX(IRP_LTReport!$Q:$Q,MATCH(Table3Compare!AF5,IRP_LTReport!$C:$C,0),1)</f>
        <v>300</v>
      </c>
      <c r="AG30" s="287">
        <f>INDEX(IRP_LTReport!$Q:$Q,MATCH(Table3Compare!AG5,IRP_LTReport!$C:$C,0),1)</f>
        <v>300</v>
      </c>
      <c r="AH30" s="287">
        <f>AG30</f>
        <v>300</v>
      </c>
      <c r="AI30" s="287">
        <f>INDEX(IRP_LTReport!$Q:$Q,MATCH(Table3Compare!AI5,IRP_LTReport!$C:$C,0),1)</f>
        <v>200</v>
      </c>
      <c r="AJ30" s="287">
        <f>INDEX(IRP_LTReport!$Q:$Q,MATCH(Table3Compare!AJ5,IRP_LTReport!$C:$C,0),1)</f>
        <v>200</v>
      </c>
      <c r="AK30" s="287">
        <f>AJ30</f>
        <v>200</v>
      </c>
      <c r="AL30" s="287">
        <f>INDEX(IRP_LTReport!$Q:$Q,MATCH(Table3Compare!AL5,IRP_LTReport!$C:$C,0),1)</f>
        <v>1100</v>
      </c>
      <c r="AM30" s="287">
        <f>INDEX(IRP_LTReport!$Q:$Q,MATCH(Table3Compare!AM5,IRP_LTReport!$C:$C,0),1)</f>
        <v>1099.9000000000001</v>
      </c>
      <c r="AN30" s="287">
        <f>AM30</f>
        <v>1099.9000000000001</v>
      </c>
      <c r="AO30" s="287">
        <f>INDEX(IRP_LTReport!$Q:$Q,MATCH(Table3Compare!AO5,IRP_LTReport!$C:$C,0),1)</f>
        <v>474</v>
      </c>
      <c r="AP30" s="287">
        <f>INDEX(IRP_LTReport!$Q:$Q,MATCH(Table3Compare!AP5,IRP_LTReport!$C:$C,0),1)</f>
        <v>474</v>
      </c>
      <c r="AQ30" s="287">
        <f>AP30</f>
        <v>474</v>
      </c>
      <c r="AR30" s="287">
        <f>INDEX(IRP_LTReport!$Q:$Q,MATCH(Table3Compare!AR5,IRP_LTReport!$C:$C,0),1)</f>
        <v>449.99</v>
      </c>
      <c r="AS30" s="287">
        <f>INDEX(IRP_LTReport!$Q:$Q,MATCH(Table3Compare!AS5,IRP_LTReport!$C:$C,0),1)</f>
        <v>449.99</v>
      </c>
      <c r="AT30" s="287">
        <f>AS30</f>
        <v>449.99</v>
      </c>
      <c r="AU30" s="287">
        <f>INDEX(IRP_LTReport!$Q:$Q,MATCH(Table3Compare!AU5,IRP_LTReport!$C:$C,0),1)</f>
        <v>483</v>
      </c>
      <c r="AV30" s="287">
        <f>INDEX(IRP_LTReport!$Q:$Q,MATCH(Table3Compare!AV5,IRP_LTReport!$C:$C,0),1)</f>
        <v>483</v>
      </c>
      <c r="AW30" s="287">
        <f>AV30</f>
        <v>483</v>
      </c>
      <c r="AX30" s="287">
        <f>INDEX(IRP_LTReport!$Q:$Q,MATCH(Table3Compare!AX5,IRP_LTReport!$C:$C,0),1)</f>
        <v>200</v>
      </c>
      <c r="AY30" s="287">
        <f>INDEX(IRP_LTReport!$Q:$Q,MATCH(Table3Compare!AY5,IRP_LTReport!$C:$C,0),1)</f>
        <v>549</v>
      </c>
      <c r="AZ30" s="287">
        <f>AY30</f>
        <v>549</v>
      </c>
      <c r="BA30" s="287">
        <f>INDEX(IRP_LTReport!$Q:$Q,MATCH(Table3Compare!BA5,IRP_LTReport!$C:$C,0),1)</f>
        <v>160</v>
      </c>
      <c r="BB30" s="287">
        <f>INDEX(IRP_LTReport!$Q:$Q,MATCH(Table3Compare!BB5,IRP_LTReport!$C:$C,0),1)</f>
        <v>145</v>
      </c>
      <c r="BC30" s="287">
        <f>INDEX(IRP_LTReport!$Q:$Q,MATCH(Table3Compare!BC5,IRP_LTReport!$C:$C,0),1)</f>
        <v>400</v>
      </c>
      <c r="BD30" s="287">
        <f>INDEX(IRP_LTReport!$Q:$Q,MATCH(Table3Compare!BD5,IRP_LTReport!$C:$C,0),1)</f>
        <v>600</v>
      </c>
      <c r="BE30" s="287">
        <f>INDEX(IRP_LTReport!$Q:$Q,MATCH(Table3Compare!BE5,IRP_LTReport!$C:$C,0),1)</f>
        <v>200</v>
      </c>
    </row>
    <row r="31" spans="1:57">
      <c r="C31" t="s">
        <v>138</v>
      </c>
    </row>
    <row r="32" spans="1:57">
      <c r="A32" s="319" t="s">
        <v>395</v>
      </c>
      <c r="B32" s="245" t="s">
        <v>98</v>
      </c>
      <c r="C32" s="245" t="s">
        <v>9</v>
      </c>
      <c r="D32" t="s">
        <v>32</v>
      </c>
      <c r="E32" t="s">
        <v>451</v>
      </c>
      <c r="F32" t="s">
        <v>506</v>
      </c>
      <c r="H32" t="s">
        <v>196</v>
      </c>
    </row>
    <row r="33" spans="1:35">
      <c r="A33" s="316" t="s">
        <v>324</v>
      </c>
      <c r="B33" s="376">
        <f t="shared" ref="B33:B45" si="14">INDEX($B$3:$BE$3,1,MATCH($A33,$B$5:$BE$5,0))</f>
        <v>2029</v>
      </c>
      <c r="C33" s="323">
        <f t="shared" ref="C33:C45" si="15">INDEX($B$29:$BE$29,1,MATCH($A33,$B$5:$BE$5,0))</f>
        <v>400.74399410756945</v>
      </c>
      <c r="D33" s="317">
        <f t="shared" ref="D33:D45" si="16">INDEX($B$30:$BE$30,1,MATCH($A33,$B$5:$BE$5,0))</f>
        <v>750</v>
      </c>
      <c r="E33" s="282">
        <f t="shared" ref="E33:E45" si="17">INDEX($F$82:$F$114,MATCH(H33,$I$82:$I$114,0),1)</f>
        <v>0.30601336826237258</v>
      </c>
      <c r="F33">
        <f t="shared" ref="F33:F45" si="18">C33/E33</f>
        <v>1309.5636846948983</v>
      </c>
      <c r="H33" t="s">
        <v>253</v>
      </c>
    </row>
    <row r="34" spans="1:35">
      <c r="A34" s="297" t="s">
        <v>452</v>
      </c>
      <c r="B34" s="229">
        <f t="shared" si="14"/>
        <v>2032</v>
      </c>
      <c r="C34">
        <f t="shared" si="15"/>
        <v>376.27898342029511</v>
      </c>
      <c r="D34" s="298">
        <f t="shared" si="16"/>
        <v>364.64920000000001</v>
      </c>
      <c r="E34" s="282">
        <f t="shared" si="17"/>
        <v>0.30601336826237258</v>
      </c>
      <c r="F34">
        <f t="shared" si="18"/>
        <v>1229.6161620549778</v>
      </c>
      <c r="H34" t="s">
        <v>253</v>
      </c>
    </row>
    <row r="35" spans="1:35">
      <c r="A35" s="297" t="s">
        <v>320</v>
      </c>
      <c r="B35" s="229">
        <f t="shared" si="14"/>
        <v>2028</v>
      </c>
      <c r="C35">
        <f t="shared" si="15"/>
        <v>275.67389551156634</v>
      </c>
      <c r="D35" s="298">
        <f t="shared" si="16"/>
        <v>300</v>
      </c>
      <c r="E35" s="282">
        <f t="shared" si="17"/>
        <v>0.33678291245920933</v>
      </c>
      <c r="F35">
        <f t="shared" si="18"/>
        <v>818.55072010209415</v>
      </c>
      <c r="H35" t="s">
        <v>259</v>
      </c>
    </row>
    <row r="36" spans="1:35">
      <c r="A36" s="297" t="s">
        <v>322</v>
      </c>
      <c r="B36" s="229">
        <f t="shared" si="14"/>
        <v>2029</v>
      </c>
      <c r="C36">
        <f t="shared" si="15"/>
        <v>247.63530421206741</v>
      </c>
      <c r="D36" s="298">
        <f t="shared" si="16"/>
        <v>650</v>
      </c>
      <c r="E36" s="282">
        <f t="shared" si="17"/>
        <v>0.30601336826237258</v>
      </c>
      <c r="F36">
        <f t="shared" si="18"/>
        <v>809.23034708649573</v>
      </c>
      <c r="H36" t="s">
        <v>253</v>
      </c>
    </row>
    <row r="37" spans="1:35">
      <c r="A37" s="297" t="s">
        <v>328</v>
      </c>
      <c r="B37" s="229">
        <f t="shared" si="14"/>
        <v>2025</v>
      </c>
      <c r="C37">
        <f t="shared" si="15"/>
        <v>225.3314054159186</v>
      </c>
      <c r="D37" s="298">
        <f t="shared" si="16"/>
        <v>220</v>
      </c>
      <c r="E37" s="282">
        <f t="shared" si="17"/>
        <v>0.30601336826237258</v>
      </c>
      <c r="F37">
        <f t="shared" si="18"/>
        <v>736.34497308209711</v>
      </c>
      <c r="H37" t="s">
        <v>253</v>
      </c>
    </row>
    <row r="38" spans="1:35">
      <c r="A38" s="297" t="s">
        <v>381</v>
      </c>
      <c r="B38" s="229">
        <f t="shared" si="14"/>
        <v>2025</v>
      </c>
      <c r="C38">
        <f t="shared" si="15"/>
        <v>219.19606909313566</v>
      </c>
      <c r="D38" s="298">
        <f t="shared" si="16"/>
        <v>75.900000000000006</v>
      </c>
      <c r="E38" s="282">
        <f t="shared" si="17"/>
        <v>0.30601336826237258</v>
      </c>
      <c r="F38">
        <f t="shared" si="18"/>
        <v>716.29573027410788</v>
      </c>
      <c r="H38" t="s">
        <v>253</v>
      </c>
    </row>
    <row r="39" spans="1:35">
      <c r="A39" s="297" t="s">
        <v>326</v>
      </c>
      <c r="B39" s="229">
        <f t="shared" si="14"/>
        <v>2029</v>
      </c>
      <c r="C39">
        <f t="shared" si="15"/>
        <v>197.33292047119477</v>
      </c>
      <c r="D39" s="298">
        <f t="shared" si="16"/>
        <v>500</v>
      </c>
      <c r="E39" s="282">
        <f t="shared" si="17"/>
        <v>0.30601336826237258</v>
      </c>
      <c r="F39">
        <f t="shared" si="18"/>
        <v>644.85065339368975</v>
      </c>
      <c r="H39" t="s">
        <v>253</v>
      </c>
    </row>
    <row r="40" spans="1:35">
      <c r="A40" s="297" t="s">
        <v>445</v>
      </c>
      <c r="B40" s="229">
        <f t="shared" si="14"/>
        <v>2032</v>
      </c>
      <c r="C40">
        <f t="shared" si="15"/>
        <v>235.42761741043802</v>
      </c>
      <c r="D40" s="298">
        <f t="shared" si="16"/>
        <v>500.899</v>
      </c>
      <c r="E40" s="282">
        <f t="shared" si="17"/>
        <v>0.42792879720636467</v>
      </c>
      <c r="F40">
        <f t="shared" si="18"/>
        <v>550.1560515379507</v>
      </c>
      <c r="H40" t="s">
        <v>302</v>
      </c>
    </row>
    <row r="41" spans="1:35">
      <c r="A41" s="297" t="s">
        <v>448</v>
      </c>
      <c r="B41" s="229">
        <f t="shared" si="14"/>
        <v>2032</v>
      </c>
      <c r="C41">
        <f t="shared" si="15"/>
        <v>167.33298302179745</v>
      </c>
      <c r="D41" s="298">
        <f t="shared" si="16"/>
        <v>650</v>
      </c>
      <c r="E41" s="282">
        <f t="shared" si="17"/>
        <v>0.30601336826237258</v>
      </c>
      <c r="F41">
        <f t="shared" si="18"/>
        <v>546.81592497726422</v>
      </c>
      <c r="H41" t="s">
        <v>253</v>
      </c>
    </row>
    <row r="42" spans="1:35">
      <c r="A42" s="297" t="s">
        <v>313</v>
      </c>
      <c r="B42" s="229">
        <f t="shared" si="14"/>
        <v>2027</v>
      </c>
      <c r="C42">
        <f t="shared" si="15"/>
        <v>228.1463191568451</v>
      </c>
      <c r="D42" s="298">
        <f t="shared" si="16"/>
        <v>100</v>
      </c>
      <c r="E42" s="282">
        <f t="shared" si="17"/>
        <v>0.42792879720636467</v>
      </c>
      <c r="F42">
        <f t="shared" si="18"/>
        <v>533.14084176210201</v>
      </c>
      <c r="H42" t="s">
        <v>302</v>
      </c>
      <c r="AI42" s="245"/>
    </row>
    <row r="43" spans="1:35">
      <c r="A43" s="297" t="s">
        <v>441</v>
      </c>
      <c r="B43" s="229">
        <f t="shared" si="14"/>
        <v>2032</v>
      </c>
      <c r="C43">
        <f t="shared" si="15"/>
        <v>208.19311155641677</v>
      </c>
      <c r="D43" s="298">
        <f t="shared" si="16"/>
        <v>130</v>
      </c>
      <c r="E43" s="282">
        <f t="shared" si="17"/>
        <v>0.41156195349570163</v>
      </c>
      <c r="F43">
        <f t="shared" si="18"/>
        <v>505.86092759079867</v>
      </c>
      <c r="H43" t="s">
        <v>289</v>
      </c>
    </row>
    <row r="44" spans="1:35">
      <c r="A44" s="297" t="s">
        <v>447</v>
      </c>
      <c r="B44" s="229">
        <f t="shared" si="14"/>
        <v>2032</v>
      </c>
      <c r="C44">
        <f t="shared" si="15"/>
        <v>184.52512454973407</v>
      </c>
      <c r="D44" s="298">
        <f t="shared" si="16"/>
        <v>337.75560000000002</v>
      </c>
      <c r="E44" s="282">
        <f t="shared" si="17"/>
        <v>0.42792879720636467</v>
      </c>
      <c r="F44">
        <f t="shared" si="18"/>
        <v>431.20520459096036</v>
      </c>
      <c r="H44" t="s">
        <v>302</v>
      </c>
    </row>
    <row r="45" spans="1:35">
      <c r="A45" s="297" t="s">
        <v>443</v>
      </c>
      <c r="B45" s="229">
        <f t="shared" si="14"/>
        <v>2032</v>
      </c>
      <c r="C45">
        <f t="shared" si="15"/>
        <v>167.29345382865947</v>
      </c>
      <c r="D45" s="298">
        <f t="shared" si="16"/>
        <v>100</v>
      </c>
      <c r="E45" s="282">
        <f t="shared" si="17"/>
        <v>0.41156195349570163</v>
      </c>
      <c r="F45">
        <f t="shared" si="18"/>
        <v>406.48425445479546</v>
      </c>
      <c r="H45" t="s">
        <v>289</v>
      </c>
    </row>
    <row r="46" spans="1:35">
      <c r="B46" s="229"/>
    </row>
    <row r="47" spans="1:35">
      <c r="B47" s="229"/>
    </row>
    <row r="48" spans="1:35">
      <c r="B48" s="229"/>
    </row>
    <row r="49" spans="1:8">
      <c r="A49" s="318" t="s">
        <v>394</v>
      </c>
      <c r="B49" s="92" t="s">
        <v>98</v>
      </c>
      <c r="C49" s="245" t="s">
        <v>9</v>
      </c>
      <c r="D49" t="s">
        <v>32</v>
      </c>
      <c r="E49" t="s">
        <v>451</v>
      </c>
      <c r="F49" t="s">
        <v>506</v>
      </c>
      <c r="H49" t="s">
        <v>196</v>
      </c>
    </row>
    <row r="50" spans="1:8">
      <c r="A50" s="316" t="s">
        <v>375</v>
      </c>
      <c r="B50" s="376">
        <f t="shared" ref="B50:B65" si="19">INDEX($B$3:$BE$3,1,MATCH($A50,$B$5:$BE$5,0))</f>
        <v>2028</v>
      </c>
      <c r="C50" s="323">
        <f t="shared" ref="C50:C65" si="20">INDEX($B$29:$BE$29,1,MATCH($A50,$B$5:$BE$5,0))</f>
        <v>181.75442216730093</v>
      </c>
      <c r="D50" s="317">
        <f t="shared" ref="D50:D65" si="21">INDEX($B$30:$BE$30,1,MATCH($A50,$B$5:$BE$5,0))</f>
        <v>400</v>
      </c>
      <c r="E50" s="282">
        <f t="shared" ref="E50:E65" si="22">INDEX($F$82:$F$114,MATCH(H50,$I$82:$I$114,0),1)</f>
        <v>0.12920722056433673</v>
      </c>
      <c r="F50">
        <f t="shared" ref="F50:F65" si="23">C50/E50</f>
        <v>1406.6893581756071</v>
      </c>
      <c r="H50" t="s">
        <v>501</v>
      </c>
    </row>
    <row r="51" spans="1:8">
      <c r="A51" s="297" t="s">
        <v>428</v>
      </c>
      <c r="B51" s="229">
        <f t="shared" si="19"/>
        <v>2025</v>
      </c>
      <c r="C51">
        <f t="shared" si="20"/>
        <v>121.2036868104729</v>
      </c>
      <c r="D51" s="298">
        <f t="shared" si="21"/>
        <v>20</v>
      </c>
      <c r="E51" s="282">
        <f t="shared" si="22"/>
        <v>0.13830849853860969</v>
      </c>
      <c r="F51">
        <f t="shared" si="23"/>
        <v>876.32855602606469</v>
      </c>
      <c r="H51" t="s">
        <v>504</v>
      </c>
    </row>
    <row r="52" spans="1:8">
      <c r="A52" s="297" t="s">
        <v>377</v>
      </c>
      <c r="B52" s="229">
        <f t="shared" si="19"/>
        <v>2028</v>
      </c>
      <c r="C52">
        <f t="shared" si="20"/>
        <v>117.87390199289499</v>
      </c>
      <c r="D52" s="298">
        <f t="shared" si="21"/>
        <v>686.59360000000004</v>
      </c>
      <c r="E52" s="282">
        <f t="shared" si="22"/>
        <v>0.1404055565678316</v>
      </c>
      <c r="F52">
        <f t="shared" si="23"/>
        <v>839.52448089865084</v>
      </c>
      <c r="H52" t="s">
        <v>503</v>
      </c>
    </row>
    <row r="53" spans="1:8">
      <c r="A53" s="297" t="s">
        <v>379</v>
      </c>
      <c r="B53" s="229">
        <f t="shared" si="19"/>
        <v>2028</v>
      </c>
      <c r="C53">
        <f t="shared" si="20"/>
        <v>117.87390199289456</v>
      </c>
      <c r="D53" s="298">
        <f t="shared" si="21"/>
        <v>820.76279999999997</v>
      </c>
      <c r="E53" s="282">
        <f t="shared" si="22"/>
        <v>0.1404055565678316</v>
      </c>
      <c r="F53">
        <f t="shared" si="23"/>
        <v>839.52448089864788</v>
      </c>
      <c r="H53" t="s">
        <v>503</v>
      </c>
    </row>
    <row r="54" spans="1:8">
      <c r="A54" s="297" t="s">
        <v>216</v>
      </c>
      <c r="B54" s="229">
        <f t="shared" si="19"/>
        <v>2025</v>
      </c>
      <c r="C54">
        <f t="shared" si="20"/>
        <v>117.45663080831442</v>
      </c>
      <c r="D54" s="298">
        <f t="shared" si="21"/>
        <v>295</v>
      </c>
      <c r="E54" s="282">
        <f t="shared" si="22"/>
        <v>0.1404055565678316</v>
      </c>
      <c r="F54">
        <f t="shared" si="23"/>
        <v>836.5525815324105</v>
      </c>
      <c r="H54" t="s">
        <v>503</v>
      </c>
    </row>
    <row r="55" spans="1:8">
      <c r="A55" s="297" t="s">
        <v>402</v>
      </c>
      <c r="B55" s="229">
        <f t="shared" si="19"/>
        <v>2026</v>
      </c>
      <c r="C55">
        <f t="shared" si="20"/>
        <v>410.54071919826583</v>
      </c>
      <c r="D55" s="298">
        <f t="shared" si="21"/>
        <v>449.99</v>
      </c>
      <c r="E55" s="282">
        <f t="shared" si="22"/>
        <v>0.80898596435506986</v>
      </c>
      <c r="F55">
        <f t="shared" si="23"/>
        <v>507.47570079976879</v>
      </c>
      <c r="H55" t="s">
        <v>496</v>
      </c>
    </row>
    <row r="56" spans="1:8">
      <c r="A56" s="297" t="s">
        <v>403</v>
      </c>
      <c r="B56" s="229">
        <f t="shared" si="19"/>
        <v>2027</v>
      </c>
      <c r="C56">
        <f t="shared" si="20"/>
        <v>387.82378394958715</v>
      </c>
      <c r="D56" s="298">
        <f t="shared" si="21"/>
        <v>483</v>
      </c>
      <c r="E56" s="282">
        <f t="shared" si="22"/>
        <v>0.80898596435506986</v>
      </c>
      <c r="F56">
        <f t="shared" si="23"/>
        <v>479.39494754864307</v>
      </c>
      <c r="H56" t="s">
        <v>496</v>
      </c>
    </row>
    <row r="57" spans="1:8">
      <c r="A57" s="297" t="s">
        <v>440</v>
      </c>
      <c r="B57" s="229">
        <f t="shared" si="19"/>
        <v>2025</v>
      </c>
      <c r="C57">
        <f t="shared" si="20"/>
        <v>386.39081216836684</v>
      </c>
      <c r="D57" s="298">
        <f t="shared" si="21"/>
        <v>9</v>
      </c>
      <c r="E57" s="282">
        <f t="shared" si="22"/>
        <v>0.83616598140283749</v>
      </c>
      <c r="F57">
        <f t="shared" si="23"/>
        <v>462.09822064288971</v>
      </c>
      <c r="H57" t="s">
        <v>497</v>
      </c>
    </row>
    <row r="58" spans="1:8">
      <c r="A58" s="297" t="s">
        <v>401</v>
      </c>
      <c r="B58" s="229">
        <f t="shared" si="19"/>
        <v>2026</v>
      </c>
      <c r="C58">
        <f t="shared" si="20"/>
        <v>383.63827117200879</v>
      </c>
      <c r="D58" s="298">
        <f t="shared" si="21"/>
        <v>474</v>
      </c>
      <c r="E58" s="282">
        <f t="shared" si="22"/>
        <v>0.83616598140283749</v>
      </c>
      <c r="F58">
        <f t="shared" si="23"/>
        <v>458.80636106288136</v>
      </c>
      <c r="H58" t="s">
        <v>497</v>
      </c>
    </row>
    <row r="59" spans="1:8">
      <c r="A59" s="297" t="s">
        <v>400</v>
      </c>
      <c r="B59" s="229">
        <f t="shared" si="19"/>
        <v>2026</v>
      </c>
      <c r="C59">
        <f t="shared" si="20"/>
        <v>377.66697523884528</v>
      </c>
      <c r="D59" s="298">
        <f t="shared" si="21"/>
        <v>1099.9000000000001</v>
      </c>
      <c r="E59" s="282">
        <f t="shared" si="22"/>
        <v>0.82755792378807014</v>
      </c>
      <c r="F59">
        <f t="shared" si="23"/>
        <v>456.36319148526729</v>
      </c>
      <c r="H59" t="s">
        <v>498</v>
      </c>
    </row>
    <row r="60" spans="1:8">
      <c r="A60" s="297" t="s">
        <v>399</v>
      </c>
      <c r="B60" s="229">
        <f t="shared" si="19"/>
        <v>2026</v>
      </c>
      <c r="C60">
        <f t="shared" si="20"/>
        <v>360.81094567329404</v>
      </c>
      <c r="D60" s="298">
        <f t="shared" si="21"/>
        <v>200</v>
      </c>
      <c r="E60" s="282">
        <f t="shared" si="22"/>
        <v>0.83616598140283749</v>
      </c>
      <c r="F60">
        <f t="shared" si="23"/>
        <v>431.50636799162857</v>
      </c>
      <c r="H60" t="s">
        <v>497</v>
      </c>
    </row>
    <row r="61" spans="1:8">
      <c r="A61" s="297" t="s">
        <v>396</v>
      </c>
      <c r="B61" s="229">
        <f t="shared" si="19"/>
        <v>2025</v>
      </c>
      <c r="C61">
        <f t="shared" si="20"/>
        <v>353.73365885457332</v>
      </c>
      <c r="D61" s="298">
        <f t="shared" si="21"/>
        <v>272</v>
      </c>
      <c r="E61" s="282">
        <f t="shared" si="22"/>
        <v>0.82777864308066862</v>
      </c>
      <c r="F61">
        <f t="shared" si="23"/>
        <v>427.32880560691308</v>
      </c>
      <c r="H61" t="s">
        <v>499</v>
      </c>
    </row>
    <row r="62" spans="1:8">
      <c r="A62" s="297" t="s">
        <v>397</v>
      </c>
      <c r="B62" s="229">
        <f t="shared" si="19"/>
        <v>2025</v>
      </c>
      <c r="C62">
        <f t="shared" si="20"/>
        <v>353.73365885457287</v>
      </c>
      <c r="D62" s="298">
        <f t="shared" si="21"/>
        <v>314.89999999999998</v>
      </c>
      <c r="E62" s="282">
        <f t="shared" si="22"/>
        <v>0.82777864308066862</v>
      </c>
      <c r="F62">
        <f t="shared" si="23"/>
        <v>427.32880560691251</v>
      </c>
      <c r="H62" t="s">
        <v>499</v>
      </c>
    </row>
    <row r="63" spans="1:8">
      <c r="A63" s="297" t="s">
        <v>398</v>
      </c>
      <c r="B63" s="229">
        <f t="shared" si="19"/>
        <v>2026</v>
      </c>
      <c r="C63">
        <f t="shared" si="20"/>
        <v>352.59634052439833</v>
      </c>
      <c r="D63" s="298">
        <f t="shared" si="21"/>
        <v>300</v>
      </c>
      <c r="E63" s="282">
        <f t="shared" si="22"/>
        <v>0.82752951363946159</v>
      </c>
      <c r="F63">
        <f t="shared" si="23"/>
        <v>426.08310001378106</v>
      </c>
      <c r="H63" t="s">
        <v>500</v>
      </c>
    </row>
    <row r="64" spans="1:8">
      <c r="A64" s="297" t="s">
        <v>432</v>
      </c>
      <c r="B64" s="229">
        <f t="shared" si="19"/>
        <v>2025</v>
      </c>
      <c r="C64">
        <f t="shared" si="20"/>
        <v>349.98660285242204</v>
      </c>
      <c r="D64" s="298">
        <f t="shared" si="21"/>
        <v>158</v>
      </c>
      <c r="E64" s="282">
        <f t="shared" si="22"/>
        <v>0.82752951363946159</v>
      </c>
      <c r="F64">
        <f t="shared" si="23"/>
        <v>422.92945095479018</v>
      </c>
      <c r="H64" t="s">
        <v>500</v>
      </c>
    </row>
    <row r="65" spans="1:8">
      <c r="A65" s="308" t="s">
        <v>404</v>
      </c>
      <c r="B65" s="377">
        <f t="shared" si="19"/>
        <v>2029</v>
      </c>
      <c r="C65" s="309">
        <f t="shared" si="20"/>
        <v>347.22393932571106</v>
      </c>
      <c r="D65" s="310">
        <f t="shared" si="21"/>
        <v>549</v>
      </c>
      <c r="E65" s="282">
        <f t="shared" si="22"/>
        <v>0.82755792378807014</v>
      </c>
      <c r="F65">
        <f t="shared" si="23"/>
        <v>419.5765992262215</v>
      </c>
      <c r="H65" t="s">
        <v>498</v>
      </c>
    </row>
    <row r="68" spans="1:8">
      <c r="A68" s="324" t="s">
        <v>405</v>
      </c>
      <c r="B68" s="245" t="s">
        <v>98</v>
      </c>
      <c r="C68" s="245" t="s">
        <v>9</v>
      </c>
      <c r="D68" t="s">
        <v>32</v>
      </c>
      <c r="E68" t="s">
        <v>427</v>
      </c>
    </row>
    <row r="69" spans="1:8">
      <c r="A69" s="320" t="s">
        <v>334</v>
      </c>
      <c r="B69" s="321">
        <f>INDEX($B$3:$BE$3,1,MATCH($A69,$B$5:$BE$5,0))</f>
        <v>2026</v>
      </c>
      <c r="C69" s="321">
        <f>INDEX($B$29:$BE$29,1,MATCH($A69,$B$5:$BE$5,0))</f>
        <v>240.39983290736373</v>
      </c>
      <c r="D69" s="322">
        <f>INDEX($B$30:$BE$30,1,MATCH($A69,$B$5:$BE$5,0))</f>
        <v>160</v>
      </c>
    </row>
    <row r="70" spans="1:8">
      <c r="A70" s="320" t="s">
        <v>337</v>
      </c>
      <c r="B70" s="321">
        <f>INDEX($B$3:$BE$3,1,MATCH($A70,$B$5:$BE$5,0))</f>
        <v>2027</v>
      </c>
      <c r="C70" s="321">
        <f>INDEX($B$29:$BE$29,1,MATCH($A70,$B$5:$BE$5,0))</f>
        <v>265.47839266279266</v>
      </c>
      <c r="D70" s="322">
        <f>INDEX($B$30:$BE$30,1,MATCH($A70,$B$5:$BE$5,0))</f>
        <v>145</v>
      </c>
    </row>
    <row r="71" spans="1:8">
      <c r="A71" s="316" t="s">
        <v>330</v>
      </c>
      <c r="B71" s="323">
        <f>INDEX($B$3:$BE$3,1,MATCH($A71,$B$5:$BE$5,0))</f>
        <v>2028</v>
      </c>
      <c r="C71" s="323">
        <f>INDEX($B$29:$BE$29,1,MATCH($A71,$B$5:$BE$5,0))</f>
        <v>292.8365470893317</v>
      </c>
      <c r="D71" s="317">
        <f>INDEX($B$30:$BE$30,1,MATCH($A71,$B$5:$BE$5,0))</f>
        <v>600</v>
      </c>
    </row>
    <row r="72" spans="1:8">
      <c r="A72" s="308" t="s">
        <v>332</v>
      </c>
      <c r="B72" s="309">
        <f>INDEX($B$3:$BE$3,1,MATCH($A72,$B$5:$BE$5,0))</f>
        <v>2028</v>
      </c>
      <c r="C72" s="309">
        <f>INDEX($B$29:$BE$29,1,MATCH($A72,$B$5:$BE$5,0))</f>
        <v>230.8744676601103</v>
      </c>
      <c r="D72" s="310">
        <f>INDEX($B$30:$BE$30,1,MATCH($A72,$B$5:$BE$5,0))</f>
        <v>400</v>
      </c>
    </row>
    <row r="73" spans="1:8">
      <c r="A73" t="s">
        <v>281</v>
      </c>
      <c r="B73">
        <f>INDEX($B$3:$BE$3,1,MATCH($A73,$B$5:$BE$5,0))</f>
        <v>2029</v>
      </c>
      <c r="C73">
        <f>INDEX($B$29:$BE$29,1,MATCH($A73,$B$5:$BE$5,0))</f>
        <v>224.2239963170735</v>
      </c>
      <c r="D73">
        <f>INDEX($B$30:$BE$30,1,MATCH($A73,$B$5:$BE$5,0))</f>
        <v>200</v>
      </c>
    </row>
    <row r="76" spans="1:8" ht="14.25">
      <c r="A76" s="385" t="s">
        <v>456</v>
      </c>
      <c r="B76" s="386"/>
      <c r="C76" s="386"/>
      <c r="D76" s="386"/>
      <c r="E76" s="387"/>
      <c r="F76" s="386"/>
      <c r="G76" s="388"/>
      <c r="H76" s="388"/>
    </row>
    <row r="77" spans="1:8" ht="15.75" thickBot="1">
      <c r="A77" s="389" t="s">
        <v>457</v>
      </c>
    </row>
    <row r="78" spans="1:8" ht="48" thickBot="1">
      <c r="B78" s="390"/>
      <c r="C78" s="391" t="s">
        <v>458</v>
      </c>
      <c r="D78" s="422" t="s">
        <v>459</v>
      </c>
      <c r="E78" s="423"/>
      <c r="F78" s="392" t="s">
        <v>459</v>
      </c>
      <c r="G78" s="392"/>
    </row>
    <row r="79" spans="1:8" ht="15.75">
      <c r="B79" s="393"/>
      <c r="C79" s="394"/>
      <c r="D79" s="395"/>
      <c r="E79" s="396"/>
    </row>
    <row r="80" spans="1:8" ht="16.5" thickBot="1">
      <c r="B80" s="393" t="s">
        <v>460</v>
      </c>
      <c r="C80" s="397" t="s">
        <v>461</v>
      </c>
      <c r="D80" s="398" t="s">
        <v>462</v>
      </c>
      <c r="E80" s="399" t="s">
        <v>463</v>
      </c>
      <c r="F80" s="400" t="s">
        <v>461</v>
      </c>
    </row>
    <row r="81" spans="1:9" ht="16.5" thickBot="1">
      <c r="B81" s="401" t="s">
        <v>464</v>
      </c>
      <c r="C81" s="402"/>
      <c r="D81" s="420"/>
      <c r="E81" s="421"/>
    </row>
    <row r="82" spans="1:9" ht="15.75">
      <c r="B82" s="403" t="s">
        <v>465</v>
      </c>
      <c r="C82" s="404">
        <v>0.27895059357855467</v>
      </c>
      <c r="D82" s="404">
        <v>0.80858560447725325</v>
      </c>
      <c r="E82" s="405">
        <v>0.91876559217858922</v>
      </c>
      <c r="F82" s="406">
        <v>0.82755792378807014</v>
      </c>
      <c r="G82" t="s">
        <v>466</v>
      </c>
      <c r="I82" t="s">
        <v>498</v>
      </c>
    </row>
    <row r="83" spans="1:9" ht="15.75">
      <c r="B83" s="407" t="s">
        <v>467</v>
      </c>
      <c r="C83" s="408">
        <v>0.29294624772838473</v>
      </c>
      <c r="D83" s="408">
        <v>0.81672660033006761</v>
      </c>
      <c r="E83" s="409">
        <v>0.92961900596748681</v>
      </c>
      <c r="F83" s="406">
        <v>0.83616598140283749</v>
      </c>
      <c r="G83" t="s">
        <v>468</v>
      </c>
      <c r="I83" t="s">
        <v>497</v>
      </c>
    </row>
    <row r="84" spans="1:9" ht="15.75">
      <c r="B84" s="407" t="s">
        <v>469</v>
      </c>
      <c r="C84" s="408">
        <v>0.32246556589655151</v>
      </c>
      <c r="D84" s="408">
        <v>0.80155182975356032</v>
      </c>
      <c r="E84" s="409">
        <v>0.95241482357983098</v>
      </c>
      <c r="F84" s="406">
        <v>0.82752951363946159</v>
      </c>
      <c r="G84" t="s">
        <v>470</v>
      </c>
      <c r="I84" t="s">
        <v>500</v>
      </c>
    </row>
    <row r="85" spans="1:9" ht="15.75">
      <c r="B85" s="407" t="s">
        <v>471</v>
      </c>
      <c r="C85" s="408">
        <v>0.24767903319904089</v>
      </c>
      <c r="D85" s="408">
        <v>0.78737391561241676</v>
      </c>
      <c r="E85" s="409">
        <v>0.91288388756975014</v>
      </c>
      <c r="F85" s="406">
        <v>0.80898596435506986</v>
      </c>
      <c r="G85" t="s">
        <v>472</v>
      </c>
      <c r="I85" t="s">
        <v>496</v>
      </c>
    </row>
    <row r="86" spans="1:9" ht="16.5" thickBot="1">
      <c r="B86" s="410" t="s">
        <v>473</v>
      </c>
      <c r="C86" s="411">
        <v>0.29736901360526885</v>
      </c>
      <c r="D86" s="411">
        <v>0.80408293947684639</v>
      </c>
      <c r="E86" s="412">
        <v>0.94169354410941419</v>
      </c>
      <c r="F86" s="406">
        <v>0.82777864308066862</v>
      </c>
      <c r="G86" t="s">
        <v>474</v>
      </c>
      <c r="I86" t="s">
        <v>499</v>
      </c>
    </row>
    <row r="87" spans="1:9" ht="16.5" thickBot="1">
      <c r="B87" s="401" t="s">
        <v>475</v>
      </c>
      <c r="C87" s="413"/>
      <c r="D87" s="420"/>
      <c r="E87" s="421"/>
    </row>
    <row r="88" spans="1:9" ht="15.75">
      <c r="B88" s="403" t="s">
        <v>476</v>
      </c>
      <c r="C88" s="404"/>
      <c r="D88" s="404"/>
      <c r="E88" s="405"/>
      <c r="G88" t="s">
        <v>477</v>
      </c>
      <c r="I88" t="s">
        <v>491</v>
      </c>
    </row>
    <row r="89" spans="1:9" ht="15.75">
      <c r="B89" s="407" t="s">
        <v>478</v>
      </c>
      <c r="C89" s="408"/>
      <c r="D89" s="408"/>
      <c r="E89" s="409"/>
      <c r="G89" t="s">
        <v>479</v>
      </c>
      <c r="I89" t="s">
        <v>492</v>
      </c>
    </row>
    <row r="90" spans="1:9" ht="15.75">
      <c r="B90" s="407" t="s">
        <v>480</v>
      </c>
      <c r="C90" s="408"/>
      <c r="D90" s="408"/>
      <c r="E90" s="409"/>
      <c r="G90" t="s">
        <v>481</v>
      </c>
      <c r="I90" t="s">
        <v>493</v>
      </c>
    </row>
    <row r="91" spans="1:9" ht="15.75">
      <c r="B91" s="407" t="s">
        <v>482</v>
      </c>
      <c r="C91" s="408"/>
      <c r="D91" s="408"/>
      <c r="E91" s="409"/>
      <c r="G91" t="s">
        <v>483</v>
      </c>
      <c r="I91" t="s">
        <v>494</v>
      </c>
    </row>
    <row r="92" spans="1:9" ht="16.5" thickBot="1">
      <c r="B92" s="410" t="s">
        <v>484</v>
      </c>
      <c r="C92" s="411"/>
      <c r="D92" s="411"/>
      <c r="E92" s="412"/>
      <c r="G92" t="s">
        <v>485</v>
      </c>
      <c r="I92" t="s">
        <v>495</v>
      </c>
    </row>
    <row r="93" spans="1:9">
      <c r="A93" s="388"/>
      <c r="B93" s="388"/>
      <c r="C93" s="388"/>
      <c r="D93" s="388"/>
      <c r="E93" s="388"/>
      <c r="F93" s="388"/>
      <c r="G93" s="388"/>
      <c r="H93" s="388"/>
    </row>
    <row r="94" spans="1:9" ht="14.25">
      <c r="A94" s="385" t="s">
        <v>456</v>
      </c>
      <c r="B94" s="388"/>
      <c r="C94" s="388"/>
      <c r="D94" s="388"/>
      <c r="E94" s="388"/>
      <c r="F94" s="388"/>
      <c r="G94" s="388"/>
      <c r="H94" s="388"/>
    </row>
    <row r="95" spans="1:9" ht="15" thickBot="1">
      <c r="A95" s="385" t="s">
        <v>486</v>
      </c>
    </row>
    <row r="96" spans="1:9" ht="48" thickBot="1">
      <c r="B96" s="390"/>
      <c r="C96" s="391" t="s">
        <v>458</v>
      </c>
      <c r="D96" s="422" t="s">
        <v>459</v>
      </c>
      <c r="E96" s="423"/>
    </row>
    <row r="97" spans="2:9" ht="15.75">
      <c r="B97" s="393"/>
      <c r="C97" s="394"/>
      <c r="D97" s="395"/>
      <c r="E97" s="396"/>
    </row>
    <row r="98" spans="2:9" ht="16.5" thickBot="1">
      <c r="B98" s="393" t="s">
        <v>460</v>
      </c>
      <c r="C98" s="397" t="s">
        <v>461</v>
      </c>
      <c r="D98" s="398" t="s">
        <v>462</v>
      </c>
      <c r="E98" s="399" t="s">
        <v>463</v>
      </c>
    </row>
    <row r="99" spans="2:9" ht="16.5" thickBot="1">
      <c r="B99" s="401" t="s">
        <v>223</v>
      </c>
      <c r="C99" s="402"/>
      <c r="D99" s="420"/>
      <c r="E99" s="421"/>
    </row>
    <row r="100" spans="2:9" ht="15.75">
      <c r="B100" s="403" t="s">
        <v>465</v>
      </c>
      <c r="C100" s="404">
        <v>0.27895059357855467</v>
      </c>
      <c r="D100" s="404">
        <v>0.14120663980855161</v>
      </c>
      <c r="E100" s="405">
        <v>7.152112360511112E-2</v>
      </c>
      <c r="F100" s="406">
        <v>0.12920722056433673</v>
      </c>
      <c r="G100" t="s">
        <v>466</v>
      </c>
      <c r="I100" t="s">
        <v>501</v>
      </c>
    </row>
    <row r="101" spans="2:9" ht="15.75">
      <c r="B101" s="407" t="s">
        <v>467</v>
      </c>
      <c r="C101" s="408">
        <v>0.29294624772838473</v>
      </c>
      <c r="D101" s="408">
        <v>0.13426739645399077</v>
      </c>
      <c r="E101" s="409">
        <v>0.17682663034651852</v>
      </c>
      <c r="F101" s="406">
        <v>0.14159583596354594</v>
      </c>
      <c r="G101" t="s">
        <v>468</v>
      </c>
      <c r="I101" t="s">
        <v>502</v>
      </c>
    </row>
    <row r="102" spans="2:9" ht="15.75">
      <c r="B102" s="407" t="s">
        <v>469</v>
      </c>
      <c r="C102" s="408">
        <v>0.32246556589655151</v>
      </c>
      <c r="D102" s="408">
        <v>0.15492934179902926</v>
      </c>
      <c r="E102" s="409">
        <v>7.0583803863777786E-2</v>
      </c>
      <c r="F102" s="406">
        <v>0.1404055565678316</v>
      </c>
      <c r="G102" t="s">
        <v>470</v>
      </c>
      <c r="I102" t="s">
        <v>503</v>
      </c>
    </row>
    <row r="103" spans="2:9" ht="15.75">
      <c r="B103" s="407" t="s">
        <v>471</v>
      </c>
      <c r="C103" s="408">
        <v>0.24767903319904089</v>
      </c>
      <c r="D103" s="408">
        <v>9.4813683695469969E-2</v>
      </c>
      <c r="E103" s="409">
        <v>3.6129646290814818E-2</v>
      </c>
      <c r="F103" s="406">
        <v>8.4708651744413277E-2</v>
      </c>
      <c r="G103" t="s">
        <v>472</v>
      </c>
      <c r="I103" t="s">
        <v>505</v>
      </c>
    </row>
    <row r="104" spans="2:9" ht="16.5" thickBot="1">
      <c r="B104" s="410" t="s">
        <v>473</v>
      </c>
      <c r="C104" s="411">
        <v>0.29736901360526885</v>
      </c>
      <c r="D104" s="411">
        <v>0.13919215255979966</v>
      </c>
      <c r="E104" s="412">
        <v>0.1340604136515556</v>
      </c>
      <c r="F104" s="406">
        <v>0.13830849853860969</v>
      </c>
      <c r="G104" t="s">
        <v>474</v>
      </c>
      <c r="I104" t="s">
        <v>504</v>
      </c>
    </row>
    <row r="105" spans="2:9" ht="16.5" thickBot="1">
      <c r="B105" s="401" t="s">
        <v>66</v>
      </c>
      <c r="C105" s="413"/>
      <c r="D105" s="420"/>
      <c r="E105" s="421"/>
      <c r="F105" s="414"/>
    </row>
    <row r="106" spans="2:9" ht="15.75">
      <c r="B106" s="403" t="s">
        <v>476</v>
      </c>
      <c r="C106" s="404">
        <v>0.37049999999984679</v>
      </c>
      <c r="D106" s="404">
        <v>0.3261273870095841</v>
      </c>
      <c r="E106" s="405">
        <v>0.38800836443555559</v>
      </c>
      <c r="F106" s="406">
        <v>0.33678291245920933</v>
      </c>
      <c r="G106" t="s">
        <v>477</v>
      </c>
      <c r="I106" t="s">
        <v>259</v>
      </c>
    </row>
    <row r="107" spans="2:9" ht="15.75">
      <c r="B107" s="407" t="s">
        <v>478</v>
      </c>
      <c r="C107" s="408">
        <v>0.37054900918709571</v>
      </c>
      <c r="D107" s="408">
        <v>0.46121969127765811</v>
      </c>
      <c r="E107" s="409">
        <v>0.1728369770476296</v>
      </c>
      <c r="F107" s="406">
        <v>0.41156195349570163</v>
      </c>
      <c r="G107" t="s">
        <v>479</v>
      </c>
      <c r="I107" t="s">
        <v>289</v>
      </c>
    </row>
    <row r="108" spans="2:9" ht="15.75">
      <c r="B108" s="407" t="s">
        <v>480</v>
      </c>
      <c r="C108" s="408">
        <v>0.29426938576233264</v>
      </c>
      <c r="D108" s="408">
        <v>0.14054001172876737</v>
      </c>
      <c r="E108" s="409">
        <v>0.42438780883192578</v>
      </c>
      <c r="F108" s="406">
        <v>0.18941686454627554</v>
      </c>
      <c r="G108" t="s">
        <v>481</v>
      </c>
      <c r="I108" t="s">
        <v>219</v>
      </c>
    </row>
    <row r="109" spans="2:9" ht="15.75">
      <c r="B109" s="407" t="s">
        <v>482</v>
      </c>
      <c r="C109" s="408">
        <v>0.37049999997985972</v>
      </c>
      <c r="D109" s="408">
        <v>0.47223469779473021</v>
      </c>
      <c r="E109" s="409">
        <v>0.21493228252599991</v>
      </c>
      <c r="F109" s="406">
        <v>0.42792879720636467</v>
      </c>
      <c r="G109" t="s">
        <v>483</v>
      </c>
      <c r="I109" t="s">
        <v>302</v>
      </c>
    </row>
    <row r="110" spans="2:9" ht="16.5" thickBot="1">
      <c r="B110" s="410" t="s">
        <v>484</v>
      </c>
      <c r="C110" s="411">
        <v>0.43620000000025128</v>
      </c>
      <c r="D110" s="411">
        <v>0.30300593880759641</v>
      </c>
      <c r="E110" s="412">
        <v>0.32047130690051845</v>
      </c>
      <c r="F110" s="406">
        <v>0.30601336826237258</v>
      </c>
      <c r="G110" t="s">
        <v>485</v>
      </c>
      <c r="I110" t="s">
        <v>253</v>
      </c>
    </row>
    <row r="111" spans="2:9" ht="16.5" thickBot="1">
      <c r="B111" s="401" t="s">
        <v>487</v>
      </c>
      <c r="C111" s="413"/>
      <c r="D111" s="413"/>
      <c r="E111" s="413"/>
    </row>
    <row r="112" spans="2:9" ht="15.75">
      <c r="B112" s="403" t="s">
        <v>488</v>
      </c>
      <c r="C112" s="404"/>
      <c r="D112" s="404">
        <v>0.49057083975346688</v>
      </c>
      <c r="E112" s="405">
        <v>0.75354222222222222</v>
      </c>
      <c r="F112" s="406">
        <v>0.53585290178571432</v>
      </c>
    </row>
    <row r="113" spans="2:6" ht="15.75">
      <c r="B113" s="407" t="s">
        <v>489</v>
      </c>
      <c r="C113" s="408"/>
      <c r="D113" s="408">
        <v>0.73922038520801236</v>
      </c>
      <c r="E113" s="409">
        <v>0.89962988888888906</v>
      </c>
      <c r="F113" s="406">
        <v>0.76684191964285731</v>
      </c>
    </row>
    <row r="114" spans="2:6" ht="16.5" thickBot="1">
      <c r="B114" s="410" t="s">
        <v>490</v>
      </c>
      <c r="C114" s="411"/>
      <c r="D114" s="411">
        <v>0.90239895993836683</v>
      </c>
      <c r="E114" s="412">
        <v>0.95650100000000005</v>
      </c>
      <c r="F114" s="406">
        <v>0.91171500000000005</v>
      </c>
    </row>
  </sheetData>
  <sortState xmlns:xlrd2="http://schemas.microsoft.com/office/spreadsheetml/2017/richdata2" ref="A50:BE65">
    <sortCondition descending="1" ref="F50:F65"/>
    <sortCondition ref="B50:B65"/>
  </sortState>
  <mergeCells count="6">
    <mergeCell ref="D105:E105"/>
    <mergeCell ref="D78:E78"/>
    <mergeCell ref="D81:E81"/>
    <mergeCell ref="D87:E87"/>
    <mergeCell ref="D96:E96"/>
    <mergeCell ref="D99:E9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>
    <pageSetUpPr fitToPage="1"/>
  </sheetPr>
  <dimension ref="B1:DZ73"/>
  <sheetViews>
    <sheetView topLeftCell="AS1" zoomScale="70" zoomScaleNormal="70" workbookViewId="0">
      <selection activeCell="BR15" sqref="BR15"/>
    </sheetView>
  </sheetViews>
  <sheetFormatPr defaultColWidth="9.33203125" defaultRowHeight="12.75"/>
  <cols>
    <col min="1" max="1" width="1.5" style="102" customWidth="1"/>
    <col min="2" max="2" width="10.83203125" style="102" customWidth="1"/>
    <col min="3" max="3" width="14.1640625" style="102" customWidth="1"/>
    <col min="4" max="4" width="12.33203125" style="102" customWidth="1"/>
    <col min="5" max="5" width="16.83203125" style="102" customWidth="1"/>
    <col min="6" max="6" width="7.83203125" style="102" customWidth="1"/>
    <col min="7" max="7" width="9.83203125" style="102" customWidth="1"/>
    <col min="8" max="8" width="13.83203125" style="102" customWidth="1"/>
    <col min="9" max="10" width="12.5" style="102" customWidth="1"/>
    <col min="11" max="11" width="4.83203125" style="102" customWidth="1"/>
    <col min="12" max="12" width="9.83203125" style="102" customWidth="1"/>
    <col min="13" max="13" width="13.83203125" style="102" customWidth="1"/>
    <col min="14" max="14" width="12.5" style="102" customWidth="1"/>
    <col min="15" max="15" width="18" style="102" customWidth="1"/>
    <col min="16" max="16" width="7" style="102" customWidth="1"/>
    <col min="17" max="17" width="9.83203125" style="102" customWidth="1"/>
    <col min="18" max="18" width="13.83203125" style="102" customWidth="1"/>
    <col min="19" max="20" width="12.5" style="102" customWidth="1"/>
    <col min="21" max="21" width="5.1640625" style="102" customWidth="1"/>
    <col min="22" max="22" width="9.83203125" style="102" customWidth="1"/>
    <col min="23" max="23" width="13.83203125" style="102" customWidth="1"/>
    <col min="24" max="25" width="12.5" style="102" customWidth="1"/>
    <col min="26" max="26" width="5.6640625" style="102" customWidth="1"/>
    <col min="27" max="27" width="9.83203125" style="102" customWidth="1"/>
    <col min="28" max="28" width="13.83203125" style="102" customWidth="1"/>
    <col min="29" max="30" width="12.5" style="102" customWidth="1"/>
    <col min="31" max="31" width="6.33203125" style="102" customWidth="1"/>
    <col min="32" max="32" width="9.83203125" style="102" customWidth="1"/>
    <col min="33" max="33" width="13.83203125" style="102" customWidth="1"/>
    <col min="34" max="35" width="12.5" style="102" customWidth="1"/>
    <col min="36" max="36" width="6.33203125" style="102" customWidth="1"/>
    <col min="37" max="37" width="9.83203125" style="102" customWidth="1"/>
    <col min="38" max="38" width="13.83203125" style="102" customWidth="1"/>
    <col min="39" max="40" width="12.5" style="102" customWidth="1"/>
    <col min="41" max="41" width="6.33203125" style="102" customWidth="1"/>
    <col min="42" max="42" width="9.83203125" style="102" customWidth="1"/>
    <col min="43" max="43" width="13.83203125" style="102" customWidth="1"/>
    <col min="44" max="45" width="12.5" style="102" customWidth="1"/>
    <col min="46" max="46" width="6.33203125" style="102" customWidth="1"/>
    <col min="47" max="47" width="9.83203125" style="102" customWidth="1"/>
    <col min="48" max="48" width="13.83203125" style="102" customWidth="1"/>
    <col min="49" max="49" width="12.5" style="102" customWidth="1"/>
    <col min="50" max="50" width="18.33203125" style="102" customWidth="1"/>
    <col min="51" max="51" width="5.6640625" style="102" customWidth="1"/>
    <col min="52" max="52" width="9.83203125" style="102" customWidth="1"/>
    <col min="53" max="53" width="13.83203125" style="102" customWidth="1"/>
    <col min="54" max="54" width="12.5" style="102" customWidth="1"/>
    <col min="55" max="55" width="21.33203125" style="102" customWidth="1"/>
    <col min="56" max="56" width="5.6640625" style="102" customWidth="1"/>
    <col min="57" max="57" width="9.83203125" style="102" customWidth="1"/>
    <col min="58" max="58" width="13.83203125" style="102" customWidth="1"/>
    <col min="59" max="60" width="12.5" style="102" customWidth="1"/>
    <col min="61" max="61" width="5.6640625" style="102" customWidth="1"/>
    <col min="62" max="62" width="9.83203125" style="102" customWidth="1"/>
    <col min="63" max="63" width="13.83203125" style="102" customWidth="1"/>
    <col min="64" max="65" width="12.5" style="102" customWidth="1"/>
    <col min="66" max="66" width="6.33203125" style="102" customWidth="1"/>
    <col min="67" max="67" width="9.83203125" style="102" customWidth="1"/>
    <col min="68" max="68" width="13.83203125" style="102" customWidth="1"/>
    <col min="69" max="69" width="12.5" style="102" customWidth="1"/>
    <col min="70" max="70" width="15.1640625" style="102" customWidth="1"/>
    <col min="71" max="71" width="11.6640625" style="102" customWidth="1"/>
    <col min="72" max="72" width="9.83203125" style="102" customWidth="1"/>
    <col min="73" max="73" width="13.83203125" style="102" customWidth="1"/>
    <col min="74" max="75" width="12.5" style="102" customWidth="1"/>
    <col min="76" max="76" width="9.33203125" style="102"/>
    <col min="77" max="77" width="9.83203125" style="102" customWidth="1"/>
    <col min="78" max="78" width="13.83203125" style="102" customWidth="1"/>
    <col min="79" max="80" width="12.5" style="102" customWidth="1"/>
    <col min="81" max="81" width="9.33203125" style="102"/>
    <col min="82" max="82" width="9.83203125" style="102" customWidth="1"/>
    <col min="83" max="83" width="13.83203125" style="102" customWidth="1"/>
    <col min="84" max="85" width="12.5" style="102" customWidth="1"/>
    <col min="86" max="86" width="9.33203125" style="102"/>
    <col min="87" max="87" width="9.83203125" style="102" customWidth="1"/>
    <col min="88" max="88" width="13.83203125" style="102" customWidth="1"/>
    <col min="89" max="90" width="12.5" style="102" customWidth="1"/>
    <col min="91" max="91" width="9.33203125" style="102"/>
    <col min="92" max="92" width="9.83203125" style="102" customWidth="1"/>
    <col min="93" max="93" width="13.83203125" style="102" customWidth="1"/>
    <col min="94" max="95" width="12.5" style="102" customWidth="1"/>
    <col min="96" max="96" width="9.33203125" style="102"/>
    <col min="97" max="97" width="9.83203125" style="102" customWidth="1"/>
    <col min="98" max="98" width="13.83203125" style="102" customWidth="1"/>
    <col min="99" max="100" width="12.5" style="102" customWidth="1"/>
    <col min="101" max="101" width="9.33203125" style="102"/>
    <col min="102" max="102" width="9.83203125" style="102" customWidth="1"/>
    <col min="103" max="103" width="13.83203125" style="102" customWidth="1"/>
    <col min="104" max="105" width="12.5" style="102" customWidth="1"/>
    <col min="106" max="106" width="9.33203125" style="102"/>
    <col min="107" max="107" width="9.83203125" style="102" customWidth="1"/>
    <col min="108" max="108" width="13.83203125" style="102" customWidth="1"/>
    <col min="109" max="110" width="12.5" style="102" customWidth="1"/>
    <col min="111" max="111" width="9.33203125" style="102"/>
    <col min="112" max="112" width="9.83203125" style="102" customWidth="1"/>
    <col min="113" max="113" width="13.83203125" style="102" customWidth="1"/>
    <col min="114" max="115" width="12.5" style="102" customWidth="1"/>
    <col min="116" max="116" width="9.33203125" style="102"/>
    <col min="117" max="117" width="9.83203125" style="102" customWidth="1"/>
    <col min="118" max="118" width="13.83203125" style="102" customWidth="1"/>
    <col min="119" max="120" width="12.5" style="102" customWidth="1"/>
    <col min="121" max="121" width="9.33203125" style="102"/>
    <col min="122" max="122" width="9.83203125" style="102" customWidth="1"/>
    <col min="123" max="123" width="13.83203125" style="102" customWidth="1"/>
    <col min="124" max="125" width="12.5" style="102" customWidth="1"/>
    <col min="126" max="126" width="9.33203125" style="102"/>
    <col min="127" max="127" width="9.83203125" style="102" customWidth="1"/>
    <col min="128" max="128" width="13.83203125" style="102" customWidth="1"/>
    <col min="129" max="130" width="12.5" style="102" customWidth="1"/>
    <col min="131" max="16384" width="9.33203125" style="102"/>
  </cols>
  <sheetData>
    <row r="1" spans="2:130" ht="15.75">
      <c r="B1" s="100" t="s">
        <v>56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</row>
    <row r="2" spans="2:130" ht="15.75">
      <c r="B2" s="100" t="s">
        <v>349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</row>
    <row r="3" spans="2:130" ht="15.75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</row>
    <row r="4" spans="2:130" ht="18.95" customHeight="1">
      <c r="B4" s="428" t="s">
        <v>346</v>
      </c>
      <c r="C4" s="429"/>
      <c r="D4" s="429"/>
      <c r="E4" s="430"/>
      <c r="F4" s="101"/>
      <c r="G4" s="428" t="s">
        <v>348</v>
      </c>
      <c r="H4" s="429"/>
      <c r="I4" s="429"/>
      <c r="J4" s="430"/>
      <c r="K4" s="101"/>
      <c r="L4" s="424" t="s">
        <v>350</v>
      </c>
      <c r="M4" s="425"/>
      <c r="N4" s="425"/>
      <c r="O4" s="426"/>
      <c r="Q4" s="424" t="s">
        <v>351</v>
      </c>
      <c r="R4" s="425"/>
      <c r="S4" s="425"/>
      <c r="T4" s="426"/>
      <c r="U4" s="101"/>
      <c r="V4" s="428" t="s">
        <v>352</v>
      </c>
      <c r="W4" s="429"/>
      <c r="X4" s="429"/>
      <c r="Y4" s="430"/>
      <c r="Z4" s="101"/>
      <c r="AA4" s="428" t="s">
        <v>347</v>
      </c>
      <c r="AB4" s="429"/>
      <c r="AC4" s="429"/>
      <c r="AD4" s="430"/>
      <c r="AE4" s="101"/>
      <c r="AF4" s="428" t="s">
        <v>371</v>
      </c>
      <c r="AG4" s="429"/>
      <c r="AH4" s="429"/>
      <c r="AI4" s="430"/>
      <c r="AJ4" s="101"/>
      <c r="AK4" s="428" t="s">
        <v>372</v>
      </c>
      <c r="AL4" s="429"/>
      <c r="AM4" s="429"/>
      <c r="AN4" s="430"/>
      <c r="AO4" s="101"/>
      <c r="AP4" s="428" t="s">
        <v>353</v>
      </c>
      <c r="AQ4" s="429"/>
      <c r="AR4" s="429"/>
      <c r="AS4" s="430"/>
      <c r="AT4" s="101"/>
      <c r="AU4" s="428" t="s">
        <v>373</v>
      </c>
      <c r="AV4" s="429"/>
      <c r="AW4" s="429"/>
      <c r="AX4" s="430"/>
      <c r="AY4" s="101"/>
      <c r="AZ4" s="424" t="s">
        <v>354</v>
      </c>
      <c r="BA4" s="425"/>
      <c r="BB4" s="425"/>
      <c r="BC4" s="426"/>
      <c r="BD4" s="101"/>
      <c r="BE4" s="424" t="s">
        <v>355</v>
      </c>
      <c r="BF4" s="425"/>
      <c r="BG4" s="425"/>
      <c r="BH4" s="426"/>
      <c r="BI4" s="101"/>
      <c r="BJ4" s="424" t="s">
        <v>356</v>
      </c>
      <c r="BK4" s="425"/>
      <c r="BL4" s="425"/>
      <c r="BM4" s="426"/>
      <c r="BN4" s="101"/>
      <c r="BO4" s="424" t="s">
        <v>357</v>
      </c>
      <c r="BP4" s="425"/>
      <c r="BQ4" s="425"/>
      <c r="BR4" s="426"/>
      <c r="BT4" s="424" t="s">
        <v>358</v>
      </c>
      <c r="BU4" s="425"/>
      <c r="BV4" s="425"/>
      <c r="BW4" s="426"/>
      <c r="BY4" s="424" t="s">
        <v>359</v>
      </c>
      <c r="BZ4" s="425"/>
      <c r="CA4" s="425"/>
      <c r="CB4" s="426"/>
      <c r="CD4" s="424" t="s">
        <v>430</v>
      </c>
      <c r="CE4" s="425"/>
      <c r="CF4" s="425"/>
      <c r="CG4" s="426"/>
      <c r="CI4" s="424" t="s">
        <v>360</v>
      </c>
      <c r="CJ4" s="425"/>
      <c r="CK4" s="425"/>
      <c r="CL4" s="426"/>
      <c r="CN4" s="424" t="s">
        <v>361</v>
      </c>
      <c r="CO4" s="425"/>
      <c r="CP4" s="425"/>
      <c r="CQ4" s="426"/>
      <c r="CS4" s="424" t="s">
        <v>364</v>
      </c>
      <c r="CT4" s="425"/>
      <c r="CU4" s="425"/>
      <c r="CV4" s="426"/>
      <c r="CX4" s="424" t="s">
        <v>363</v>
      </c>
      <c r="CY4" s="425"/>
      <c r="CZ4" s="425"/>
      <c r="DA4" s="426"/>
      <c r="DC4" s="424" t="s">
        <v>366</v>
      </c>
      <c r="DD4" s="425"/>
      <c r="DE4" s="425"/>
      <c r="DF4" s="426"/>
      <c r="DH4" s="424" t="s">
        <v>367</v>
      </c>
      <c r="DI4" s="425"/>
      <c r="DJ4" s="425"/>
      <c r="DK4" s="426"/>
      <c r="DM4" s="424" t="s">
        <v>368</v>
      </c>
      <c r="DN4" s="425"/>
      <c r="DO4" s="425"/>
      <c r="DP4" s="426"/>
      <c r="DR4" s="424" t="s">
        <v>370</v>
      </c>
      <c r="DS4" s="425"/>
      <c r="DT4" s="425"/>
      <c r="DU4" s="426"/>
      <c r="DW4" s="424" t="s">
        <v>369</v>
      </c>
      <c r="DX4" s="425"/>
      <c r="DY4" s="425"/>
      <c r="DZ4" s="426"/>
    </row>
    <row r="5" spans="2:130" ht="51.75" customHeight="1">
      <c r="B5" s="103" t="s">
        <v>0</v>
      </c>
      <c r="C5" s="104" t="s">
        <v>86</v>
      </c>
      <c r="D5" s="104" t="s">
        <v>82</v>
      </c>
      <c r="E5" s="15" t="s">
        <v>52</v>
      </c>
      <c r="G5" s="103" t="s">
        <v>0</v>
      </c>
      <c r="H5" s="104" t="s">
        <v>86</v>
      </c>
      <c r="I5" s="104" t="s">
        <v>82</v>
      </c>
      <c r="J5" s="15" t="s">
        <v>52</v>
      </c>
      <c r="L5" s="103" t="s">
        <v>0</v>
      </c>
      <c r="M5" s="104" t="s">
        <v>86</v>
      </c>
      <c r="N5" s="104" t="s">
        <v>82</v>
      </c>
      <c r="O5" s="15" t="s">
        <v>52</v>
      </c>
      <c r="Q5" s="103" t="s">
        <v>0</v>
      </c>
      <c r="R5" s="104" t="s">
        <v>86</v>
      </c>
      <c r="S5" s="104" t="s">
        <v>82</v>
      </c>
      <c r="T5" s="15" t="s">
        <v>52</v>
      </c>
      <c r="V5" s="103" t="s">
        <v>0</v>
      </c>
      <c r="W5" s="104" t="s">
        <v>86</v>
      </c>
      <c r="X5" s="104" t="s">
        <v>82</v>
      </c>
      <c r="Y5" s="15" t="s">
        <v>52</v>
      </c>
      <c r="AA5" s="103" t="s">
        <v>0</v>
      </c>
      <c r="AB5" s="104" t="s">
        <v>86</v>
      </c>
      <c r="AC5" s="104" t="s">
        <v>82</v>
      </c>
      <c r="AD5" s="15" t="s">
        <v>52</v>
      </c>
      <c r="AF5" s="103" t="s">
        <v>0</v>
      </c>
      <c r="AG5" s="104" t="s">
        <v>86</v>
      </c>
      <c r="AH5" s="104" t="s">
        <v>82</v>
      </c>
      <c r="AI5" s="15" t="s">
        <v>52</v>
      </c>
      <c r="AK5" s="103" t="s">
        <v>0</v>
      </c>
      <c r="AL5" s="104" t="s">
        <v>86</v>
      </c>
      <c r="AM5" s="104" t="s">
        <v>82</v>
      </c>
      <c r="AN5" s="15" t="s">
        <v>52</v>
      </c>
      <c r="AP5" s="103" t="s">
        <v>0</v>
      </c>
      <c r="AQ5" s="104" t="s">
        <v>86</v>
      </c>
      <c r="AR5" s="104" t="s">
        <v>82</v>
      </c>
      <c r="AS5" s="15" t="s">
        <v>52</v>
      </c>
      <c r="AU5" s="103" t="s">
        <v>0</v>
      </c>
      <c r="AV5" s="104" t="s">
        <v>86</v>
      </c>
      <c r="AW5" s="104" t="s">
        <v>82</v>
      </c>
      <c r="AX5" s="15" t="s">
        <v>52</v>
      </c>
      <c r="AZ5" s="103" t="s">
        <v>0</v>
      </c>
      <c r="BA5" s="104" t="s">
        <v>86</v>
      </c>
      <c r="BB5" s="104" t="s">
        <v>82</v>
      </c>
      <c r="BC5" s="15" t="s">
        <v>52</v>
      </c>
      <c r="BE5" s="103" t="s">
        <v>0</v>
      </c>
      <c r="BF5" s="104" t="s">
        <v>86</v>
      </c>
      <c r="BG5" s="104" t="s">
        <v>82</v>
      </c>
      <c r="BH5" s="15" t="s">
        <v>52</v>
      </c>
      <c r="BJ5" s="103" t="s">
        <v>0</v>
      </c>
      <c r="BK5" s="104" t="s">
        <v>86</v>
      </c>
      <c r="BL5" s="104" t="s">
        <v>82</v>
      </c>
      <c r="BM5" s="15" t="s">
        <v>52</v>
      </c>
      <c r="BO5" s="103" t="s">
        <v>0</v>
      </c>
      <c r="BP5" s="104" t="s">
        <v>86</v>
      </c>
      <c r="BQ5" s="104" t="s">
        <v>82</v>
      </c>
      <c r="BR5" s="15" t="s">
        <v>52</v>
      </c>
      <c r="BT5" s="103" t="s">
        <v>0</v>
      </c>
      <c r="BU5" s="104" t="s">
        <v>86</v>
      </c>
      <c r="BV5" s="104" t="s">
        <v>82</v>
      </c>
      <c r="BW5" s="15" t="s">
        <v>52</v>
      </c>
      <c r="BY5" s="103" t="s">
        <v>0</v>
      </c>
      <c r="BZ5" s="104" t="s">
        <v>86</v>
      </c>
      <c r="CA5" s="104" t="s">
        <v>82</v>
      </c>
      <c r="CB5" s="15" t="s">
        <v>52</v>
      </c>
      <c r="CD5" s="103" t="s">
        <v>0</v>
      </c>
      <c r="CE5" s="104" t="s">
        <v>86</v>
      </c>
      <c r="CF5" s="104" t="s">
        <v>82</v>
      </c>
      <c r="CG5" s="15" t="s">
        <v>52</v>
      </c>
      <c r="CI5" s="103" t="s">
        <v>0</v>
      </c>
      <c r="CJ5" s="104" t="s">
        <v>86</v>
      </c>
      <c r="CK5" s="104" t="s">
        <v>82</v>
      </c>
      <c r="CL5" s="15" t="s">
        <v>52</v>
      </c>
      <c r="CN5" s="103" t="s">
        <v>0</v>
      </c>
      <c r="CO5" s="104" t="s">
        <v>86</v>
      </c>
      <c r="CP5" s="104" t="s">
        <v>82</v>
      </c>
      <c r="CQ5" s="15" t="s">
        <v>52</v>
      </c>
      <c r="CS5" s="103" t="s">
        <v>0</v>
      </c>
      <c r="CT5" s="104" t="s">
        <v>86</v>
      </c>
      <c r="CU5" s="104" t="s">
        <v>82</v>
      </c>
      <c r="CV5" s="15" t="s">
        <v>52</v>
      </c>
      <c r="CX5" s="103" t="s">
        <v>0</v>
      </c>
      <c r="CY5" s="104" t="s">
        <v>86</v>
      </c>
      <c r="CZ5" s="104" t="s">
        <v>82</v>
      </c>
      <c r="DA5" s="15" t="s">
        <v>52</v>
      </c>
      <c r="DC5" s="103" t="s">
        <v>0</v>
      </c>
      <c r="DD5" s="104" t="s">
        <v>86</v>
      </c>
      <c r="DE5" s="104" t="s">
        <v>82</v>
      </c>
      <c r="DF5" s="15" t="s">
        <v>52</v>
      </c>
      <c r="DH5" s="103" t="s">
        <v>0</v>
      </c>
      <c r="DI5" s="104" t="s">
        <v>86</v>
      </c>
      <c r="DJ5" s="104" t="s">
        <v>82</v>
      </c>
      <c r="DK5" s="15" t="s">
        <v>52</v>
      </c>
      <c r="DM5" s="103" t="s">
        <v>0</v>
      </c>
      <c r="DN5" s="104" t="s">
        <v>86</v>
      </c>
      <c r="DO5" s="104" t="s">
        <v>82</v>
      </c>
      <c r="DP5" s="15" t="s">
        <v>52</v>
      </c>
      <c r="DR5" s="103" t="s">
        <v>0</v>
      </c>
      <c r="DS5" s="104" t="s">
        <v>86</v>
      </c>
      <c r="DT5" s="104" t="s">
        <v>82</v>
      </c>
      <c r="DU5" s="15" t="s">
        <v>52</v>
      </c>
      <c r="DW5" s="103" t="s">
        <v>0</v>
      </c>
      <c r="DX5" s="104" t="s">
        <v>86</v>
      </c>
      <c r="DY5" s="104" t="s">
        <v>82</v>
      </c>
      <c r="DZ5" s="15" t="s">
        <v>52</v>
      </c>
    </row>
    <row r="6" spans="2:130" ht="24" customHeight="1">
      <c r="B6" s="105"/>
      <c r="C6" s="107" t="s">
        <v>9</v>
      </c>
      <c r="D6" s="106" t="s">
        <v>83</v>
      </c>
      <c r="E6" s="17" t="s">
        <v>9</v>
      </c>
      <c r="G6" s="105"/>
      <c r="H6" s="107" t="s">
        <v>9</v>
      </c>
      <c r="I6" s="106" t="s">
        <v>83</v>
      </c>
      <c r="J6" s="17" t="s">
        <v>9</v>
      </c>
      <c r="L6" s="105"/>
      <c r="M6" s="107" t="s">
        <v>9</v>
      </c>
      <c r="N6" s="106" t="s">
        <v>83</v>
      </c>
      <c r="O6" s="17" t="s">
        <v>9</v>
      </c>
      <c r="Q6" s="105"/>
      <c r="R6" s="107" t="s">
        <v>9</v>
      </c>
      <c r="S6" s="106" t="s">
        <v>83</v>
      </c>
      <c r="T6" s="17" t="s">
        <v>9</v>
      </c>
      <c r="V6" s="105"/>
      <c r="W6" s="107" t="s">
        <v>9</v>
      </c>
      <c r="X6" s="106" t="s">
        <v>83</v>
      </c>
      <c r="Y6" s="17" t="s">
        <v>9</v>
      </c>
      <c r="AA6" s="105"/>
      <c r="AB6" s="107" t="s">
        <v>9</v>
      </c>
      <c r="AC6" s="106" t="s">
        <v>83</v>
      </c>
      <c r="AD6" s="17" t="s">
        <v>9</v>
      </c>
      <c r="AF6" s="105"/>
      <c r="AG6" s="107" t="s">
        <v>9</v>
      </c>
      <c r="AH6" s="106" t="s">
        <v>83</v>
      </c>
      <c r="AI6" s="17" t="s">
        <v>9</v>
      </c>
      <c r="AK6" s="105"/>
      <c r="AL6" s="107" t="s">
        <v>9</v>
      </c>
      <c r="AM6" s="106" t="s">
        <v>83</v>
      </c>
      <c r="AN6" s="17" t="s">
        <v>9</v>
      </c>
      <c r="AP6" s="105"/>
      <c r="AQ6" s="107" t="s">
        <v>9</v>
      </c>
      <c r="AR6" s="106" t="s">
        <v>83</v>
      </c>
      <c r="AS6" s="17" t="s">
        <v>9</v>
      </c>
      <c r="AU6" s="105"/>
      <c r="AV6" s="107" t="s">
        <v>9</v>
      </c>
      <c r="AW6" s="106" t="s">
        <v>83</v>
      </c>
      <c r="AX6" s="17" t="s">
        <v>9</v>
      </c>
      <c r="AZ6" s="105"/>
      <c r="BA6" s="107" t="s">
        <v>9</v>
      </c>
      <c r="BB6" s="106" t="s">
        <v>83</v>
      </c>
      <c r="BC6" s="17" t="s">
        <v>9</v>
      </c>
      <c r="BE6" s="105"/>
      <c r="BF6" s="107" t="s">
        <v>9</v>
      </c>
      <c r="BG6" s="106" t="s">
        <v>83</v>
      </c>
      <c r="BH6" s="17" t="s">
        <v>9</v>
      </c>
      <c r="BJ6" s="105"/>
      <c r="BK6" s="107" t="s">
        <v>9</v>
      </c>
      <c r="BL6" s="106" t="s">
        <v>83</v>
      </c>
      <c r="BM6" s="17" t="s">
        <v>9</v>
      </c>
      <c r="BO6" s="105"/>
      <c r="BP6" s="107" t="s">
        <v>9</v>
      </c>
      <c r="BQ6" s="106" t="s">
        <v>83</v>
      </c>
      <c r="BR6" s="17" t="s">
        <v>9</v>
      </c>
      <c r="BT6" s="105"/>
      <c r="BU6" s="107" t="s">
        <v>9</v>
      </c>
      <c r="BV6" s="106" t="s">
        <v>83</v>
      </c>
      <c r="BW6" s="17" t="s">
        <v>9</v>
      </c>
      <c r="BY6" s="105"/>
      <c r="BZ6" s="107" t="s">
        <v>9</v>
      </c>
      <c r="CA6" s="106" t="s">
        <v>83</v>
      </c>
      <c r="CB6" s="17" t="s">
        <v>9</v>
      </c>
      <c r="CD6" s="105"/>
      <c r="CE6" s="107" t="s">
        <v>9</v>
      </c>
      <c r="CF6" s="106" t="s">
        <v>83</v>
      </c>
      <c r="CG6" s="17" t="s">
        <v>9</v>
      </c>
      <c r="CI6" s="105"/>
      <c r="CJ6" s="107" t="s">
        <v>9</v>
      </c>
      <c r="CK6" s="106" t="s">
        <v>83</v>
      </c>
      <c r="CL6" s="17" t="s">
        <v>9</v>
      </c>
      <c r="CN6" s="105"/>
      <c r="CO6" s="107" t="s">
        <v>9</v>
      </c>
      <c r="CP6" s="106" t="s">
        <v>83</v>
      </c>
      <c r="CQ6" s="17" t="s">
        <v>9</v>
      </c>
      <c r="CS6" s="105"/>
      <c r="CT6" s="107" t="s">
        <v>9</v>
      </c>
      <c r="CU6" s="106" t="s">
        <v>83</v>
      </c>
      <c r="CV6" s="17" t="s">
        <v>9</v>
      </c>
      <c r="CX6" s="105"/>
      <c r="CY6" s="107" t="s">
        <v>9</v>
      </c>
      <c r="CZ6" s="106" t="s">
        <v>83</v>
      </c>
      <c r="DA6" s="17" t="s">
        <v>9</v>
      </c>
      <c r="DC6" s="105"/>
      <c r="DD6" s="107" t="s">
        <v>9</v>
      </c>
      <c r="DE6" s="106" t="s">
        <v>83</v>
      </c>
      <c r="DF6" s="17" t="s">
        <v>9</v>
      </c>
      <c r="DH6" s="105"/>
      <c r="DI6" s="107" t="s">
        <v>9</v>
      </c>
      <c r="DJ6" s="106" t="s">
        <v>83</v>
      </c>
      <c r="DK6" s="17" t="s">
        <v>9</v>
      </c>
      <c r="DM6" s="105"/>
      <c r="DN6" s="107" t="s">
        <v>9</v>
      </c>
      <c r="DO6" s="106" t="s">
        <v>83</v>
      </c>
      <c r="DP6" s="17" t="s">
        <v>9</v>
      </c>
      <c r="DR6" s="105"/>
      <c r="DS6" s="107" t="s">
        <v>9</v>
      </c>
      <c r="DT6" s="106" t="s">
        <v>83</v>
      </c>
      <c r="DU6" s="17" t="s">
        <v>9</v>
      </c>
      <c r="DW6" s="105"/>
      <c r="DX6" s="107" t="s">
        <v>9</v>
      </c>
      <c r="DY6" s="106" t="s">
        <v>83</v>
      </c>
      <c r="DZ6" s="17" t="s">
        <v>9</v>
      </c>
    </row>
    <row r="7" spans="2:130">
      <c r="C7" s="108" t="s">
        <v>2</v>
      </c>
      <c r="D7" s="108" t="s">
        <v>4</v>
      </c>
      <c r="E7" s="108" t="s">
        <v>23</v>
      </c>
      <c r="H7" s="108" t="s">
        <v>2</v>
      </c>
      <c r="I7" s="108" t="s">
        <v>4</v>
      </c>
      <c r="J7" s="108" t="s">
        <v>23</v>
      </c>
      <c r="M7" s="108" t="s">
        <v>2</v>
      </c>
      <c r="N7" s="108" t="s">
        <v>4</v>
      </c>
      <c r="O7" s="108" t="s">
        <v>23</v>
      </c>
      <c r="R7" s="108" t="s">
        <v>2</v>
      </c>
      <c r="S7" s="108" t="s">
        <v>4</v>
      </c>
      <c r="T7" s="108" t="s">
        <v>23</v>
      </c>
      <c r="W7" s="108" t="s">
        <v>2</v>
      </c>
      <c r="X7" s="108" t="s">
        <v>4</v>
      </c>
      <c r="Y7" s="108" t="s">
        <v>23</v>
      </c>
      <c r="AB7" s="108" t="s">
        <v>2</v>
      </c>
      <c r="AC7" s="108" t="s">
        <v>4</v>
      </c>
      <c r="AD7" s="108" t="s">
        <v>23</v>
      </c>
      <c r="AG7" s="108" t="s">
        <v>2</v>
      </c>
      <c r="AH7" s="108" t="s">
        <v>4</v>
      </c>
      <c r="AI7" s="108" t="s">
        <v>23</v>
      </c>
      <c r="AL7" s="108" t="s">
        <v>2</v>
      </c>
      <c r="AM7" s="108" t="s">
        <v>4</v>
      </c>
      <c r="AN7" s="108" t="s">
        <v>23</v>
      </c>
      <c r="AQ7" s="108" t="s">
        <v>2</v>
      </c>
      <c r="AR7" s="108" t="s">
        <v>4</v>
      </c>
      <c r="AS7" s="108" t="s">
        <v>23</v>
      </c>
      <c r="AV7" s="108" t="s">
        <v>2</v>
      </c>
      <c r="AW7" s="108" t="s">
        <v>4</v>
      </c>
      <c r="AX7" s="108" t="s">
        <v>23</v>
      </c>
      <c r="BA7" s="108" t="s">
        <v>2</v>
      </c>
      <c r="BB7" s="108" t="s">
        <v>4</v>
      </c>
      <c r="BC7" s="108" t="s">
        <v>23</v>
      </c>
      <c r="BF7" s="108" t="s">
        <v>2</v>
      </c>
      <c r="BG7" s="108" t="s">
        <v>4</v>
      </c>
      <c r="BH7" s="108" t="s">
        <v>23</v>
      </c>
      <c r="BK7" s="108" t="s">
        <v>2</v>
      </c>
      <c r="BL7" s="108" t="s">
        <v>4</v>
      </c>
      <c r="BM7" s="108" t="s">
        <v>23</v>
      </c>
      <c r="BP7" s="108" t="s">
        <v>2</v>
      </c>
      <c r="BQ7" s="108" t="s">
        <v>4</v>
      </c>
      <c r="BR7" s="108" t="s">
        <v>23</v>
      </c>
      <c r="BU7" s="108" t="s">
        <v>2</v>
      </c>
      <c r="BV7" s="108" t="s">
        <v>4</v>
      </c>
      <c r="BW7" s="108" t="s">
        <v>23</v>
      </c>
      <c r="BZ7" s="108" t="s">
        <v>2</v>
      </c>
      <c r="CA7" s="108" t="s">
        <v>4</v>
      </c>
      <c r="CB7" s="108" t="s">
        <v>23</v>
      </c>
      <c r="CE7" s="108" t="s">
        <v>2</v>
      </c>
      <c r="CF7" s="108" t="s">
        <v>4</v>
      </c>
      <c r="CG7" s="108" t="s">
        <v>23</v>
      </c>
      <c r="CJ7" s="108" t="s">
        <v>2</v>
      </c>
      <c r="CK7" s="108" t="s">
        <v>4</v>
      </c>
      <c r="CL7" s="108" t="s">
        <v>23</v>
      </c>
      <c r="CO7" s="108" t="s">
        <v>2</v>
      </c>
      <c r="CP7" s="108" t="s">
        <v>4</v>
      </c>
      <c r="CQ7" s="108" t="s">
        <v>23</v>
      </c>
      <c r="CT7" s="108" t="s">
        <v>2</v>
      </c>
      <c r="CU7" s="108" t="s">
        <v>4</v>
      </c>
      <c r="CV7" s="108" t="s">
        <v>23</v>
      </c>
      <c r="CY7" s="108" t="s">
        <v>2</v>
      </c>
      <c r="CZ7" s="108" t="s">
        <v>4</v>
      </c>
      <c r="DA7" s="108" t="s">
        <v>23</v>
      </c>
      <c r="DD7" s="108" t="s">
        <v>2</v>
      </c>
      <c r="DE7" s="108" t="s">
        <v>4</v>
      </c>
      <c r="DF7" s="108" t="s">
        <v>23</v>
      </c>
      <c r="DI7" s="108" t="s">
        <v>2</v>
      </c>
      <c r="DJ7" s="108" t="s">
        <v>4</v>
      </c>
      <c r="DK7" s="108" t="s">
        <v>23</v>
      </c>
      <c r="DN7" s="108" t="s">
        <v>2</v>
      </c>
      <c r="DO7" s="108" t="s">
        <v>4</v>
      </c>
      <c r="DP7" s="108" t="s">
        <v>23</v>
      </c>
      <c r="DS7" s="108" t="s">
        <v>2</v>
      </c>
      <c r="DT7" s="108" t="s">
        <v>4</v>
      </c>
      <c r="DU7" s="108" t="s">
        <v>23</v>
      </c>
      <c r="DX7" s="108" t="s">
        <v>2</v>
      </c>
      <c r="DY7" s="108" t="s">
        <v>4</v>
      </c>
      <c r="DZ7" s="108" t="s">
        <v>23</v>
      </c>
    </row>
    <row r="8" spans="2:130" ht="6" customHeight="1"/>
    <row r="9" spans="2:130">
      <c r="B9" s="247" t="str">
        <f>B4</f>
        <v>INC Wyoming East &gt; Clover (GWS) 2025</v>
      </c>
      <c r="G9" s="247" t="str">
        <f>G4</f>
        <v>INC D3 Wyoming East &gt; Bridger 2029</v>
      </c>
      <c r="L9" s="247" t="str">
        <f>L4</f>
        <v>INC D3 Bridger &gt; BorahPop 2028</v>
      </c>
      <c r="Q9" s="247" t="str">
        <f>Q4</f>
        <v>INC D2-2 Wyoming East &gt; Bridger 2029</v>
      </c>
      <c r="V9" s="247" t="str">
        <f>V4</f>
        <v>INC Walla Walla - WA &gt; Yakima 2025</v>
      </c>
      <c r="AA9" s="247" t="str">
        <f>AA4</f>
        <v>INC B2H Borah &gt; Hemingway 2026</v>
      </c>
      <c r="AF9" s="247" t="str">
        <f>AF4</f>
        <v>INC B2H Hemingway&gt;Longhorn - 2026</v>
      </c>
      <c r="AK9" s="247" t="str">
        <f>AK4</f>
        <v>INC B2H Longhorn&gt;McNary - 2026</v>
      </c>
      <c r="AP9" s="247" t="str">
        <f>AP4</f>
        <v>INC B2H Walla Walla - WA &gt; Borah 2026</v>
      </c>
      <c r="AU9" s="247" t="str">
        <f>AU4</f>
        <v>INC Walla Walla - WA &gt; Willamette Valley 2037</v>
      </c>
      <c r="AZ9" s="247" t="str">
        <f>AZ4</f>
        <v>INC Southern Oregon &gt; Central Oregon 2033_C_</v>
      </c>
      <c r="BE9" s="247" t="str">
        <f>BE4</f>
        <v>CON Borah &gt; TxCON 2026</v>
      </c>
      <c r="BJ9" s="247" t="str">
        <f>BJ4</f>
        <v>CON BPA NITS &gt; TxCON 2026</v>
      </c>
      <c r="BO9" s="247" t="str">
        <f>BO4</f>
        <v>CON Central Oregon&gt;TxCon 2026</v>
      </c>
      <c r="BT9" s="247" t="str">
        <f>BT4</f>
        <v>CON Clover &gt; TxCON 2026</v>
      </c>
      <c r="BY9" s="247" t="str">
        <f>BY4</f>
        <v>CON Path C &gt; TxCon 2024</v>
      </c>
      <c r="CD9" s="247" t="str">
        <f>CD4</f>
        <v>CON Goshen &gt; TxCon 2027</v>
      </c>
      <c r="CI9" s="247" t="str">
        <f>CI4</f>
        <v>CON Portland North Coast &gt; TxCON 2026</v>
      </c>
      <c r="CN9" s="247" t="str">
        <f>CN4</f>
        <v>CON Utah North &gt; TxCON 2029</v>
      </c>
      <c r="CS9" s="247" t="str">
        <f>CS4</f>
        <v>CON Walla Walla &gt; TxCON 2027</v>
      </c>
      <c r="CX9" s="247" t="str">
        <f>CX4</f>
        <v>CON Willamette Valley &gt; TxCON 2025</v>
      </c>
      <c r="DC9" s="247" t="str">
        <f>DC4</f>
        <v>CON Willamette Valley &gt; TxCON 2026 223</v>
      </c>
      <c r="DH9" s="247" t="str">
        <f>DH4</f>
        <v>CON Yakima &gt; TxCON 2024</v>
      </c>
      <c r="DM9" s="247" t="str">
        <f>DM4</f>
        <v>CON Yakima &gt; TxCON 2026</v>
      </c>
      <c r="DR9" s="247" t="str">
        <f>DR4</f>
        <v>CON Yakima &gt; TxCON 2027a</v>
      </c>
      <c r="DW9" s="247" t="str">
        <f>DW4</f>
        <v>CON Yakima &gt; TxCON 2027b</v>
      </c>
    </row>
    <row r="10" spans="2:130">
      <c r="B10" s="109">
        <v>2023</v>
      </c>
      <c r="C10" s="111">
        <f t="shared" ref="C10:C32" si="0">IF($B10&lt;D$35,0,IF($B10=D$35,D$39,ROUND(C9*(1+IRP23_Infl_Rate),2)))</f>
        <v>0</v>
      </c>
      <c r="D10" s="109">
        <v>12</v>
      </c>
      <c r="E10" s="112">
        <f t="shared" ref="E10:E32" si="1">SUM(C10:C10)*D10/12</f>
        <v>0</v>
      </c>
      <c r="G10" s="109">
        <v>2023</v>
      </c>
      <c r="H10" s="111">
        <f t="shared" ref="H10:H32" si="2">IF($B10&lt;I$35,0,IF($B10=I$35,I$39,ROUND(H9*(1+IRP23_Infl_Rate),2)))</f>
        <v>0</v>
      </c>
      <c r="I10" s="109">
        <v>12</v>
      </c>
      <c r="J10" s="112">
        <f t="shared" ref="J10:J32" si="3">SUM(H10:H10)*I10/12</f>
        <v>0</v>
      </c>
      <c r="L10" s="109">
        <v>2023</v>
      </c>
      <c r="M10" s="111">
        <f t="shared" ref="M10:M32" si="4">IF($B10&lt;N$35,0,IF($B10=N$35,N$39,ROUND(M9*(1+IRP23_Infl_Rate),2)))</f>
        <v>0</v>
      </c>
      <c r="N10" s="109">
        <v>12</v>
      </c>
      <c r="O10" s="112">
        <f t="shared" ref="O10:O32" si="5">SUM(M10:M10)*N10/12</f>
        <v>0</v>
      </c>
      <c r="P10" s="115"/>
      <c r="Q10" s="109">
        <f>$B10</f>
        <v>2023</v>
      </c>
      <c r="R10" s="111">
        <f t="shared" ref="R10:R32" si="6">IF($B10&lt;S$35,0,IF($B10=S$35,S$39,ROUND(R9*(1+IRP23_Infl_Rate),2)))</f>
        <v>0</v>
      </c>
      <c r="S10" s="109">
        <v>12</v>
      </c>
      <c r="T10" s="112">
        <f t="shared" ref="T10:T32" si="7">SUM(R10:R10)*S10/12</f>
        <v>0</v>
      </c>
      <c r="V10" s="109">
        <f>$B10</f>
        <v>2023</v>
      </c>
      <c r="W10" s="111">
        <f t="shared" ref="W10:W32" si="8">IF($B10&lt;X$35,0,IF($B10=X$35,X$39,ROUND(W9*(1+IRP23_Infl_Rate),2)))</f>
        <v>0</v>
      </c>
      <c r="X10" s="109">
        <v>12</v>
      </c>
      <c r="Y10" s="112">
        <f t="shared" ref="Y10:Y32" si="9">SUM(W10:W10)*X10/12</f>
        <v>0</v>
      </c>
      <c r="AA10" s="109">
        <f>$B10</f>
        <v>2023</v>
      </c>
      <c r="AB10" s="111">
        <f t="shared" ref="AB10:AB32" si="10">IF($B10&lt;AC$35,0,IF($B10=AC$35,AC$39,ROUND(AB9*(1+IRP23_Infl_Rate),2)))</f>
        <v>0</v>
      </c>
      <c r="AC10" s="109">
        <v>12</v>
      </c>
      <c r="AD10" s="112">
        <f t="shared" ref="AD10:AD32" si="11">SUM(AB10:AB10)*AC10/12</f>
        <v>0</v>
      </c>
      <c r="AF10" s="109">
        <f>$B10</f>
        <v>2023</v>
      </c>
      <c r="AG10" s="111">
        <f t="shared" ref="AG10:AG32" si="12">IF($B10&lt;AH$35,0,IF($B10=AH$35,AH$39,ROUND(AG9*(1+IRP23_Infl_Rate),2)))</f>
        <v>0</v>
      </c>
      <c r="AH10" s="109">
        <v>12</v>
      </c>
      <c r="AI10" s="112">
        <f t="shared" ref="AI10:AI32" si="13">SUM(AG10:AG10)*AH10/12</f>
        <v>0</v>
      </c>
      <c r="AK10" s="109">
        <f>$B10</f>
        <v>2023</v>
      </c>
      <c r="AL10" s="111">
        <f t="shared" ref="AL10:AL32" si="14">IF($B10&lt;AM$35,0,IF($B10=AM$35,AM$39,ROUND(AL9*(1+IRP23_Infl_Rate),2)))</f>
        <v>0</v>
      </c>
      <c r="AM10" s="109">
        <v>12</v>
      </c>
      <c r="AN10" s="112">
        <f t="shared" ref="AN10:AN32" si="15">SUM(AL10:AL10)*AM10/12</f>
        <v>0</v>
      </c>
      <c r="AP10" s="109">
        <f>$B10</f>
        <v>2023</v>
      </c>
      <c r="AQ10" s="111">
        <f t="shared" ref="AQ10:AQ32" si="16">IF($B10&lt;AR$35,0,IF($B10=AR$35,AR$39,ROUND(AQ9*(1+IRP23_Infl_Rate),2)))</f>
        <v>0</v>
      </c>
      <c r="AR10" s="109">
        <v>12</v>
      </c>
      <c r="AS10" s="112">
        <f t="shared" ref="AS10:AS32" si="17">SUM(AQ10:AQ10)*AR10/12</f>
        <v>0</v>
      </c>
      <c r="AU10" s="109">
        <f>$B10</f>
        <v>2023</v>
      </c>
      <c r="AV10" s="111">
        <f t="shared" ref="AV10:AV32" si="18">IF($B10&lt;AW$35,0,IF($B10=AW$35,AW$39,ROUND(AV9*(1+IRP23_Infl_Rate),2)))</f>
        <v>0</v>
      </c>
      <c r="AW10" s="109">
        <v>12</v>
      </c>
      <c r="AX10" s="112">
        <f t="shared" ref="AX10:AX32" si="19">SUM(AV10:AV10)*AW10/12</f>
        <v>0</v>
      </c>
      <c r="AZ10" s="109">
        <f>$B10</f>
        <v>2023</v>
      </c>
      <c r="BA10" s="111">
        <f t="shared" ref="BA10:BA32" si="20">IF($B10&lt;BB$35,0,IF($B10=BB$35,BB$39,ROUND(BA9*(1+IRP23_Infl_Rate),2)))</f>
        <v>0</v>
      </c>
      <c r="BB10" s="109">
        <v>12</v>
      </c>
      <c r="BC10" s="112">
        <f t="shared" ref="BC10:BC32" si="21">SUM(BA10:BA10)*BB10/12</f>
        <v>0</v>
      </c>
      <c r="BE10" s="109">
        <f>$B10</f>
        <v>2023</v>
      </c>
      <c r="BF10" s="111">
        <f t="shared" ref="BF10:BF32" si="22">IF($B10&lt;BG$35,0,IF($B10=BG$35,BG$39,ROUND(BF9*(1+IRP23_Infl_Rate),2)))</f>
        <v>0</v>
      </c>
      <c r="BG10" s="109">
        <v>12</v>
      </c>
      <c r="BH10" s="112">
        <f t="shared" ref="BH10:BH32" si="23">SUM(BF10:BF10)*BG10/12</f>
        <v>0</v>
      </c>
      <c r="BJ10" s="109">
        <f>$B10</f>
        <v>2023</v>
      </c>
      <c r="BK10" s="111">
        <f t="shared" ref="BK10:BK32" si="24">IF($B10&lt;BL$35,0,IF($B10=BL$35,BL$39,ROUND(BK9*(1+IRP23_Infl_Rate),2)))</f>
        <v>0</v>
      </c>
      <c r="BL10" s="109">
        <v>12</v>
      </c>
      <c r="BM10" s="112">
        <f t="shared" ref="BM10:BM32" si="25">SUM(BK10:BK10)*BL10/12</f>
        <v>0</v>
      </c>
      <c r="BO10" s="109">
        <f>V10</f>
        <v>2023</v>
      </c>
      <c r="BP10" s="111">
        <f t="shared" ref="BP10:BP32" si="26">IF($B10&lt;BQ$35,0,IF($B10=BQ$35,BQ$39,ROUND(BP9*(1+IRP23_Infl_Rate),2)))</f>
        <v>0</v>
      </c>
      <c r="BQ10" s="109">
        <v>12</v>
      </c>
      <c r="BR10" s="112">
        <f t="shared" ref="BR10:BR32" si="27">SUM(BP10:BP10)*BQ10/12</f>
        <v>0</v>
      </c>
      <c r="BT10" s="109">
        <f>AA10</f>
        <v>2023</v>
      </c>
      <c r="BU10" s="111">
        <f t="shared" ref="BU10:BU32" si="28">IF($B10&lt;BV$35,0,IF($B10=BV$35,BV$39,ROUND(BU9*(1+IRP23_Infl_Rate),2)))</f>
        <v>0</v>
      </c>
      <c r="BV10" s="109">
        <v>12</v>
      </c>
      <c r="BW10" s="112">
        <f t="shared" ref="BW10:BW32" si="29">SUM(BU10:BU10)*BV10/12</f>
        <v>0</v>
      </c>
      <c r="BY10" s="109">
        <f>BT10</f>
        <v>2023</v>
      </c>
      <c r="BZ10" s="111">
        <f t="shared" ref="BZ10:BZ32" si="30">IF($B10&lt;CA$35,0,IF($B10=CA$35,CA$39,ROUND(BZ9*(1+IRP23_Infl_Rate),2)))</f>
        <v>0</v>
      </c>
      <c r="CA10" s="109">
        <v>12</v>
      </c>
      <c r="CB10" s="112">
        <f t="shared" ref="CB10:CB32" si="31">SUM(BZ10:BZ10)*CA10/12</f>
        <v>0</v>
      </c>
      <c r="CD10" s="109">
        <f>BY10</f>
        <v>2023</v>
      </c>
      <c r="CE10" s="111">
        <f t="shared" ref="CE10:CE32" si="32">IF($B10&lt;CF$35,0,IF($B10=CF$35,CF$39,ROUND(CE9*(1+IRP23_Infl_Rate),2)))</f>
        <v>0</v>
      </c>
      <c r="CF10" s="109">
        <v>12</v>
      </c>
      <c r="CG10" s="112">
        <f t="shared" ref="CG10:CG32" si="33">SUM(CE10:CE10)*CF10/12</f>
        <v>0</v>
      </c>
      <c r="CI10" s="109">
        <f>BY10</f>
        <v>2023</v>
      </c>
      <c r="CJ10" s="111">
        <f t="shared" ref="CJ10:CJ32" si="34">IF($B10&lt;CK$35,0,IF($B10=CK$35,CK$39,ROUND(CJ9*(1+IRP23_Infl_Rate),2)))</f>
        <v>0</v>
      </c>
      <c r="CK10" s="109">
        <v>12</v>
      </c>
      <c r="CL10" s="112">
        <f t="shared" ref="CL10:CL32" si="35">SUM(CJ10:CJ10)*CK10/12</f>
        <v>0</v>
      </c>
      <c r="CN10" s="109">
        <f>CI10</f>
        <v>2023</v>
      </c>
      <c r="CO10" s="111">
        <f t="shared" ref="CO10:CO32" si="36">IF($B10&lt;CP$35,0,IF($B10=CP$35,CP$39,ROUND(CO9*(1+IRP23_Infl_Rate),2)))</f>
        <v>0</v>
      </c>
      <c r="CP10" s="109">
        <v>12</v>
      </c>
      <c r="CQ10" s="112">
        <f t="shared" ref="CQ10:CQ32" si="37">SUM(CO10:CO10)*CP10/12</f>
        <v>0</v>
      </c>
      <c r="CS10" s="109">
        <f>CN10</f>
        <v>2023</v>
      </c>
      <c r="CT10" s="111">
        <f t="shared" ref="CT10:CT32" si="38">IF($B10&lt;CU$35,0,IF($B10=CU$35,CU$39,ROUND(CT9*(1+IRP23_Infl_Rate),2)))</f>
        <v>0</v>
      </c>
      <c r="CU10" s="109">
        <v>12</v>
      </c>
      <c r="CV10" s="112">
        <f t="shared" ref="CV10:CV32" si="39">SUM(CT10:CT10)*CU10/12</f>
        <v>0</v>
      </c>
      <c r="CX10" s="109">
        <f>CS10</f>
        <v>2023</v>
      </c>
      <c r="CY10" s="111">
        <f t="shared" ref="CY10:CY32" si="40">IF($B10&lt;CZ$35,0,IF($B10=CZ$35,CZ$39,ROUND(CY9*(1+IRP23_Infl_Rate),2)))</f>
        <v>0</v>
      </c>
      <c r="CZ10" s="109">
        <v>12</v>
      </c>
      <c r="DA10" s="112">
        <f t="shared" ref="DA10:DA32" si="41">SUM(CY10:CY10)*CZ10/12</f>
        <v>0</v>
      </c>
      <c r="DC10" s="109">
        <f>CX10</f>
        <v>2023</v>
      </c>
      <c r="DD10" s="111">
        <f t="shared" ref="DD10:DD32" si="42">IF($B10&lt;DE$35,0,IF($B10=DE$35,DE$39,ROUND(DD9*(1+IRP23_Infl_Rate),2)))</f>
        <v>0</v>
      </c>
      <c r="DE10" s="109">
        <v>12</v>
      </c>
      <c r="DF10" s="112">
        <f t="shared" ref="DF10:DF32" si="43">SUM(DD10:DD10)*DE10/12</f>
        <v>0</v>
      </c>
      <c r="DH10" s="109">
        <f>DC10</f>
        <v>2023</v>
      </c>
      <c r="DI10" s="111">
        <f t="shared" ref="DI10:DI32" si="44">IF($B10&lt;DJ$35,0,IF($B10=DJ$35,DJ$39,ROUND(DI9*(1+IRP23_Infl_Rate),2)))</f>
        <v>0</v>
      </c>
      <c r="DJ10" s="109">
        <v>12</v>
      </c>
      <c r="DK10" s="112">
        <f t="shared" ref="DK10:DK32" si="45">SUM(DI10:DI10)*DJ10/12</f>
        <v>0</v>
      </c>
      <c r="DM10" s="109">
        <f>DH10</f>
        <v>2023</v>
      </c>
      <c r="DN10" s="111">
        <f t="shared" ref="DN10:DN32" si="46">IF($B10&lt;DO$35,0,IF($B10=DO$35,DO$39,ROUND(DN9*(1+IRP23_Infl_Rate),2)))</f>
        <v>0</v>
      </c>
      <c r="DO10" s="109">
        <v>12</v>
      </c>
      <c r="DP10" s="112">
        <f t="shared" ref="DP10:DP32" si="47">SUM(DN10:DN10)*DO10/12</f>
        <v>0</v>
      </c>
      <c r="DR10" s="109">
        <f>DM10</f>
        <v>2023</v>
      </c>
      <c r="DS10" s="111">
        <f t="shared" ref="DS10:DS32" si="48">IF($B10&lt;DT$35,0,IF($B10=DT$35,DT$39,ROUND(DS9*(1+IRP23_Infl_Rate),2)))</f>
        <v>0</v>
      </c>
      <c r="DT10" s="109">
        <v>12</v>
      </c>
      <c r="DU10" s="112">
        <f t="shared" ref="DU10:DU32" si="49">SUM(DS10:DS10)*DT10/12</f>
        <v>0</v>
      </c>
      <c r="DW10" s="109">
        <f>DR10</f>
        <v>2023</v>
      </c>
      <c r="DX10" s="111">
        <f t="shared" ref="DX10:DX32" si="50">IF($B10&lt;DY$35,0,IF($B10=DY$35,DY$39,ROUND(DX9*(1+IRP23_Infl_Rate),2)))</f>
        <v>0</v>
      </c>
      <c r="DY10" s="109">
        <v>12</v>
      </c>
      <c r="DZ10" s="112">
        <f t="shared" ref="DZ10:DZ32" si="51">SUM(DX10:DX10)*DY10/12</f>
        <v>0</v>
      </c>
    </row>
    <row r="11" spans="2:130">
      <c r="B11" s="109">
        <f t="shared" ref="B11:B32" si="52">B10+1</f>
        <v>2024</v>
      </c>
      <c r="C11" s="111">
        <f t="shared" si="0"/>
        <v>0</v>
      </c>
      <c r="D11" s="109">
        <v>12</v>
      </c>
      <c r="E11" s="112">
        <f t="shared" si="1"/>
        <v>0</v>
      </c>
      <c r="G11" s="109">
        <f t="shared" ref="G11:G32" si="53">G10+1</f>
        <v>2024</v>
      </c>
      <c r="H11" s="111">
        <f t="shared" si="2"/>
        <v>0</v>
      </c>
      <c r="I11" s="109">
        <v>12</v>
      </c>
      <c r="J11" s="112">
        <f t="shared" si="3"/>
        <v>0</v>
      </c>
      <c r="L11" s="109">
        <f t="shared" ref="L11:L32" si="54">L10+1</f>
        <v>2024</v>
      </c>
      <c r="M11" s="111">
        <f t="shared" si="4"/>
        <v>0</v>
      </c>
      <c r="N11" s="109">
        <v>12</v>
      </c>
      <c r="O11" s="112">
        <f t="shared" si="5"/>
        <v>0</v>
      </c>
      <c r="P11" s="115"/>
      <c r="Q11" s="109">
        <f t="shared" ref="Q11:Q32" si="55">Q10+1</f>
        <v>2024</v>
      </c>
      <c r="R11" s="111">
        <f t="shared" si="6"/>
        <v>0</v>
      </c>
      <c r="S11" s="109">
        <v>12</v>
      </c>
      <c r="T11" s="112">
        <f t="shared" si="7"/>
        <v>0</v>
      </c>
      <c r="V11" s="109">
        <f t="shared" ref="V11:V32" si="56">V10+1</f>
        <v>2024</v>
      </c>
      <c r="W11" s="111">
        <f t="shared" si="8"/>
        <v>0</v>
      </c>
      <c r="X11" s="109">
        <v>12</v>
      </c>
      <c r="Y11" s="112">
        <f t="shared" si="9"/>
        <v>0</v>
      </c>
      <c r="AA11" s="109">
        <f t="shared" ref="AA11:AA32" si="57">AA10+1</f>
        <v>2024</v>
      </c>
      <c r="AB11" s="111">
        <f t="shared" si="10"/>
        <v>0</v>
      </c>
      <c r="AC11" s="109">
        <v>12</v>
      </c>
      <c r="AD11" s="112">
        <f t="shared" si="11"/>
        <v>0</v>
      </c>
      <c r="AF11" s="109">
        <f t="shared" ref="AF11:AF32" si="58">AF10+1</f>
        <v>2024</v>
      </c>
      <c r="AG11" s="111">
        <f t="shared" si="12"/>
        <v>0</v>
      </c>
      <c r="AH11" s="109">
        <v>12</v>
      </c>
      <c r="AI11" s="112">
        <f t="shared" si="13"/>
        <v>0</v>
      </c>
      <c r="AK11" s="109">
        <f t="shared" ref="AK11:AK32" si="59">AK10+1</f>
        <v>2024</v>
      </c>
      <c r="AL11" s="111">
        <f t="shared" si="14"/>
        <v>0</v>
      </c>
      <c r="AM11" s="109">
        <v>12</v>
      </c>
      <c r="AN11" s="112">
        <f t="shared" si="15"/>
        <v>0</v>
      </c>
      <c r="AP11" s="109">
        <f t="shared" ref="AP11:AP32" si="60">AP10+1</f>
        <v>2024</v>
      </c>
      <c r="AQ11" s="111">
        <f t="shared" si="16"/>
        <v>0</v>
      </c>
      <c r="AR11" s="109">
        <v>12</v>
      </c>
      <c r="AS11" s="112">
        <f t="shared" si="17"/>
        <v>0</v>
      </c>
      <c r="AU11" s="109">
        <f t="shared" ref="AU11:AU32" si="61">AU10+1</f>
        <v>2024</v>
      </c>
      <c r="AV11" s="111">
        <f t="shared" si="18"/>
        <v>0</v>
      </c>
      <c r="AW11" s="109">
        <v>12</v>
      </c>
      <c r="AX11" s="112">
        <f t="shared" si="19"/>
        <v>0</v>
      </c>
      <c r="AZ11" s="109">
        <f t="shared" ref="AZ11:AZ32" si="62">AZ10+1</f>
        <v>2024</v>
      </c>
      <c r="BA11" s="111">
        <f t="shared" si="20"/>
        <v>0</v>
      </c>
      <c r="BB11" s="109">
        <v>12</v>
      </c>
      <c r="BC11" s="112">
        <f t="shared" si="21"/>
        <v>0</v>
      </c>
      <c r="BE11" s="109">
        <f t="shared" ref="BE11:BE32" si="63">BE10+1</f>
        <v>2024</v>
      </c>
      <c r="BF11" s="111">
        <f t="shared" si="22"/>
        <v>0</v>
      </c>
      <c r="BG11" s="109">
        <v>12</v>
      </c>
      <c r="BH11" s="112">
        <f t="shared" si="23"/>
        <v>0</v>
      </c>
      <c r="BJ11" s="109">
        <f t="shared" ref="BJ11:BJ32" si="64">BJ10+1</f>
        <v>2024</v>
      </c>
      <c r="BK11" s="111">
        <f t="shared" si="24"/>
        <v>0</v>
      </c>
      <c r="BL11" s="109">
        <v>12</v>
      </c>
      <c r="BM11" s="112">
        <f t="shared" si="25"/>
        <v>0</v>
      </c>
      <c r="BO11" s="243">
        <f t="shared" ref="BO11:BO32" si="65">BO10+1</f>
        <v>2024</v>
      </c>
      <c r="BP11" s="111">
        <f t="shared" si="26"/>
        <v>0</v>
      </c>
      <c r="BQ11" s="109">
        <v>12</v>
      </c>
      <c r="BR11" s="112">
        <f t="shared" si="27"/>
        <v>0</v>
      </c>
      <c r="BT11" s="109">
        <f t="shared" ref="BT11:BT32" si="66">BT10+1</f>
        <v>2024</v>
      </c>
      <c r="BU11" s="111">
        <f t="shared" si="28"/>
        <v>0</v>
      </c>
      <c r="BV11" s="109">
        <v>12</v>
      </c>
      <c r="BW11" s="112">
        <f t="shared" si="29"/>
        <v>0</v>
      </c>
      <c r="BY11" s="243">
        <f t="shared" ref="BY11:BY32" si="67">BY10+1</f>
        <v>2024</v>
      </c>
      <c r="BZ11" s="111">
        <f t="shared" si="30"/>
        <v>14.437490572644524</v>
      </c>
      <c r="CA11" s="109">
        <v>12</v>
      </c>
      <c r="CB11" s="112">
        <f t="shared" si="31"/>
        <v>14.437490572644526</v>
      </c>
      <c r="CD11" s="109">
        <f t="shared" ref="CD11:CD32" si="68">CD10+1</f>
        <v>2024</v>
      </c>
      <c r="CE11" s="111">
        <f t="shared" si="32"/>
        <v>0</v>
      </c>
      <c r="CF11" s="109">
        <v>12</v>
      </c>
      <c r="CG11" s="112">
        <f t="shared" si="33"/>
        <v>0</v>
      </c>
      <c r="CI11" s="109">
        <f t="shared" ref="CI11:CI32" si="69">CI10+1</f>
        <v>2024</v>
      </c>
      <c r="CJ11" s="111">
        <f t="shared" si="34"/>
        <v>0</v>
      </c>
      <c r="CK11" s="109">
        <v>12</v>
      </c>
      <c r="CL11" s="112">
        <f t="shared" si="35"/>
        <v>0</v>
      </c>
      <c r="CN11" s="109">
        <f t="shared" ref="CN11:CN32" si="70">CN10+1</f>
        <v>2024</v>
      </c>
      <c r="CO11" s="111">
        <f t="shared" si="36"/>
        <v>0</v>
      </c>
      <c r="CP11" s="109">
        <v>12</v>
      </c>
      <c r="CQ11" s="112">
        <f t="shared" si="37"/>
        <v>0</v>
      </c>
      <c r="CS11" s="109">
        <f t="shared" ref="CS11:CS32" si="71">CS10+1</f>
        <v>2024</v>
      </c>
      <c r="CT11" s="111">
        <f t="shared" si="38"/>
        <v>0</v>
      </c>
      <c r="CU11" s="109">
        <v>12</v>
      </c>
      <c r="CV11" s="112">
        <f t="shared" si="39"/>
        <v>0</v>
      </c>
      <c r="CX11" s="109">
        <f t="shared" ref="CX11:CX32" si="72">CX10+1</f>
        <v>2024</v>
      </c>
      <c r="CY11" s="111">
        <f t="shared" si="40"/>
        <v>0</v>
      </c>
      <c r="CZ11" s="109">
        <v>12</v>
      </c>
      <c r="DA11" s="112">
        <f t="shared" si="41"/>
        <v>0</v>
      </c>
      <c r="DC11" s="109">
        <f t="shared" ref="DC11:DC32" si="73">DC10+1</f>
        <v>2024</v>
      </c>
      <c r="DD11" s="111">
        <f t="shared" si="42"/>
        <v>0</v>
      </c>
      <c r="DE11" s="109">
        <v>12</v>
      </c>
      <c r="DF11" s="112">
        <f t="shared" si="43"/>
        <v>0</v>
      </c>
      <c r="DH11" s="243">
        <f t="shared" ref="DH11:DH32" si="74">DH10+1</f>
        <v>2024</v>
      </c>
      <c r="DI11" s="111">
        <f t="shared" si="44"/>
        <v>18.014139982378762</v>
      </c>
      <c r="DJ11" s="109">
        <v>12</v>
      </c>
      <c r="DK11" s="112">
        <f t="shared" si="45"/>
        <v>18.014139982378762</v>
      </c>
      <c r="DM11" s="109">
        <f t="shared" ref="DM11:DM32" si="75">DM10+1</f>
        <v>2024</v>
      </c>
      <c r="DN11" s="111">
        <f t="shared" si="46"/>
        <v>0</v>
      </c>
      <c r="DO11" s="109">
        <v>12</v>
      </c>
      <c r="DP11" s="112">
        <f t="shared" si="47"/>
        <v>0</v>
      </c>
      <c r="DR11" s="109">
        <f t="shared" ref="DR11:DR32" si="76">DR10+1</f>
        <v>2024</v>
      </c>
      <c r="DS11" s="111">
        <f t="shared" si="48"/>
        <v>0</v>
      </c>
      <c r="DT11" s="109">
        <v>12</v>
      </c>
      <c r="DU11" s="112">
        <f t="shared" si="49"/>
        <v>0</v>
      </c>
      <c r="DW11" s="109">
        <f t="shared" ref="DW11:DW32" si="77">DW10+1</f>
        <v>2024</v>
      </c>
      <c r="DX11" s="111">
        <f t="shared" si="50"/>
        <v>0</v>
      </c>
      <c r="DY11" s="109">
        <v>12</v>
      </c>
      <c r="DZ11" s="112">
        <f t="shared" si="51"/>
        <v>0</v>
      </c>
    </row>
    <row r="12" spans="2:130">
      <c r="B12" s="243">
        <f t="shared" si="52"/>
        <v>2025</v>
      </c>
      <c r="C12" s="111">
        <f t="shared" si="0"/>
        <v>124.93787052448596</v>
      </c>
      <c r="D12" s="109">
        <v>12</v>
      </c>
      <c r="E12" s="112">
        <f t="shared" si="1"/>
        <v>124.93787052448596</v>
      </c>
      <c r="G12" s="109">
        <f t="shared" si="53"/>
        <v>2025</v>
      </c>
      <c r="H12" s="111">
        <f t="shared" si="2"/>
        <v>0</v>
      </c>
      <c r="I12" s="109">
        <v>12</v>
      </c>
      <c r="J12" s="112">
        <f t="shared" si="3"/>
        <v>0</v>
      </c>
      <c r="L12" s="109">
        <f t="shared" si="54"/>
        <v>2025</v>
      </c>
      <c r="M12" s="111">
        <f t="shared" si="4"/>
        <v>0</v>
      </c>
      <c r="N12" s="109">
        <v>12</v>
      </c>
      <c r="O12" s="112">
        <f t="shared" si="5"/>
        <v>0</v>
      </c>
      <c r="Q12" s="109">
        <f t="shared" si="55"/>
        <v>2025</v>
      </c>
      <c r="R12" s="111">
        <f t="shared" si="6"/>
        <v>0</v>
      </c>
      <c r="S12" s="109">
        <v>12</v>
      </c>
      <c r="T12" s="112">
        <f t="shared" si="7"/>
        <v>0</v>
      </c>
      <c r="V12" s="243">
        <f t="shared" si="56"/>
        <v>2025</v>
      </c>
      <c r="W12" s="111">
        <f t="shared" si="8"/>
        <v>9.9589850579713239</v>
      </c>
      <c r="X12" s="109">
        <v>12</v>
      </c>
      <c r="Y12" s="112">
        <f t="shared" si="9"/>
        <v>9.9589850579713239</v>
      </c>
      <c r="AA12" s="109">
        <f t="shared" si="57"/>
        <v>2025</v>
      </c>
      <c r="AB12" s="111">
        <f t="shared" si="10"/>
        <v>0</v>
      </c>
      <c r="AC12" s="109">
        <v>12</v>
      </c>
      <c r="AD12" s="112">
        <f t="shared" si="11"/>
        <v>0</v>
      </c>
      <c r="AF12" s="109">
        <f t="shared" si="58"/>
        <v>2025</v>
      </c>
      <c r="AG12" s="111">
        <f t="shared" si="12"/>
        <v>0</v>
      </c>
      <c r="AH12" s="109">
        <v>12</v>
      </c>
      <c r="AI12" s="112">
        <f t="shared" si="13"/>
        <v>0</v>
      </c>
      <c r="AK12" s="109">
        <f t="shared" si="59"/>
        <v>2025</v>
      </c>
      <c r="AL12" s="111">
        <f t="shared" si="14"/>
        <v>0</v>
      </c>
      <c r="AM12" s="109">
        <v>12</v>
      </c>
      <c r="AN12" s="112">
        <f t="shared" si="15"/>
        <v>0</v>
      </c>
      <c r="AP12" s="109">
        <f t="shared" si="60"/>
        <v>2025</v>
      </c>
      <c r="AQ12" s="111">
        <f t="shared" si="16"/>
        <v>0</v>
      </c>
      <c r="AR12" s="109">
        <v>12</v>
      </c>
      <c r="AS12" s="112">
        <f t="shared" si="17"/>
        <v>0</v>
      </c>
      <c r="AU12" s="109">
        <f t="shared" si="61"/>
        <v>2025</v>
      </c>
      <c r="AV12" s="111">
        <f t="shared" si="18"/>
        <v>0</v>
      </c>
      <c r="AW12" s="109">
        <v>12</v>
      </c>
      <c r="AX12" s="112">
        <f t="shared" si="19"/>
        <v>0</v>
      </c>
      <c r="AZ12" s="109">
        <f t="shared" si="62"/>
        <v>2025</v>
      </c>
      <c r="BA12" s="111">
        <f t="shared" si="20"/>
        <v>0</v>
      </c>
      <c r="BB12" s="109">
        <v>12</v>
      </c>
      <c r="BC12" s="112">
        <f t="shared" si="21"/>
        <v>0</v>
      </c>
      <c r="BE12" s="109">
        <f t="shared" si="63"/>
        <v>2025</v>
      </c>
      <c r="BF12" s="111">
        <f t="shared" si="22"/>
        <v>0</v>
      </c>
      <c r="BG12" s="109">
        <v>12</v>
      </c>
      <c r="BH12" s="112">
        <f t="shared" si="23"/>
        <v>0</v>
      </c>
      <c r="BJ12" s="109">
        <f t="shared" si="64"/>
        <v>2025</v>
      </c>
      <c r="BK12" s="111">
        <f t="shared" si="24"/>
        <v>0</v>
      </c>
      <c r="BL12" s="109">
        <v>12</v>
      </c>
      <c r="BM12" s="112">
        <f t="shared" si="25"/>
        <v>0</v>
      </c>
      <c r="BO12" s="109">
        <f t="shared" si="65"/>
        <v>2025</v>
      </c>
      <c r="BP12" s="111">
        <f t="shared" si="26"/>
        <v>0</v>
      </c>
      <c r="BQ12" s="109">
        <v>12</v>
      </c>
      <c r="BR12" s="112">
        <f t="shared" si="27"/>
        <v>0</v>
      </c>
      <c r="BT12" s="109">
        <f t="shared" si="66"/>
        <v>2025</v>
      </c>
      <c r="BU12" s="111">
        <f t="shared" si="28"/>
        <v>0</v>
      </c>
      <c r="BV12" s="109">
        <v>12</v>
      </c>
      <c r="BW12" s="112">
        <f t="shared" si="29"/>
        <v>0</v>
      </c>
      <c r="BY12" s="109">
        <f t="shared" si="67"/>
        <v>2025</v>
      </c>
      <c r="BZ12" s="111">
        <f t="shared" si="30"/>
        <v>14.77</v>
      </c>
      <c r="CA12" s="109">
        <v>12</v>
      </c>
      <c r="CB12" s="112">
        <f t="shared" si="31"/>
        <v>14.770000000000001</v>
      </c>
      <c r="CD12" s="109">
        <f t="shared" si="68"/>
        <v>2025</v>
      </c>
      <c r="CE12" s="111">
        <f t="shared" si="32"/>
        <v>0</v>
      </c>
      <c r="CF12" s="109">
        <v>12</v>
      </c>
      <c r="CG12" s="112">
        <f t="shared" si="33"/>
        <v>0</v>
      </c>
      <c r="CI12" s="109">
        <f t="shared" si="69"/>
        <v>2025</v>
      </c>
      <c r="CJ12" s="111">
        <f t="shared" si="34"/>
        <v>0</v>
      </c>
      <c r="CK12" s="109">
        <v>12</v>
      </c>
      <c r="CL12" s="112">
        <f t="shared" si="35"/>
        <v>0</v>
      </c>
      <c r="CN12" s="109">
        <f t="shared" si="70"/>
        <v>2025</v>
      </c>
      <c r="CO12" s="111">
        <f t="shared" si="36"/>
        <v>0</v>
      </c>
      <c r="CP12" s="109">
        <v>12</v>
      </c>
      <c r="CQ12" s="112">
        <f t="shared" si="37"/>
        <v>0</v>
      </c>
      <c r="CS12" s="109">
        <f t="shared" si="71"/>
        <v>2025</v>
      </c>
      <c r="CT12" s="111">
        <f t="shared" si="38"/>
        <v>0</v>
      </c>
      <c r="CU12" s="109">
        <v>12</v>
      </c>
      <c r="CV12" s="112">
        <f t="shared" si="39"/>
        <v>0</v>
      </c>
      <c r="CX12" s="243">
        <f t="shared" si="72"/>
        <v>2025</v>
      </c>
      <c r="CY12" s="111">
        <f t="shared" si="40"/>
        <v>3.856622155181344</v>
      </c>
      <c r="CZ12" s="109">
        <v>12</v>
      </c>
      <c r="DA12" s="112">
        <f t="shared" si="41"/>
        <v>3.8566221551813435</v>
      </c>
      <c r="DC12" s="109">
        <f t="shared" si="73"/>
        <v>2025</v>
      </c>
      <c r="DD12" s="111">
        <f t="shared" si="42"/>
        <v>0</v>
      </c>
      <c r="DE12" s="109">
        <v>12</v>
      </c>
      <c r="DF12" s="112">
        <f t="shared" si="43"/>
        <v>0</v>
      </c>
      <c r="DH12" s="109">
        <f t="shared" si="74"/>
        <v>2025</v>
      </c>
      <c r="DI12" s="111">
        <f t="shared" si="44"/>
        <v>18.420000000000002</v>
      </c>
      <c r="DJ12" s="109">
        <v>12</v>
      </c>
      <c r="DK12" s="112">
        <f t="shared" si="45"/>
        <v>18.420000000000002</v>
      </c>
      <c r="DM12" s="109">
        <f t="shared" si="75"/>
        <v>2025</v>
      </c>
      <c r="DN12" s="111">
        <f t="shared" si="46"/>
        <v>0</v>
      </c>
      <c r="DO12" s="109">
        <v>12</v>
      </c>
      <c r="DP12" s="112">
        <f t="shared" si="47"/>
        <v>0</v>
      </c>
      <c r="DR12" s="109">
        <f t="shared" si="76"/>
        <v>2025</v>
      </c>
      <c r="DS12" s="111">
        <f t="shared" si="48"/>
        <v>0</v>
      </c>
      <c r="DT12" s="109">
        <v>12</v>
      </c>
      <c r="DU12" s="112">
        <f t="shared" si="49"/>
        <v>0</v>
      </c>
      <c r="DW12" s="109">
        <f t="shared" si="77"/>
        <v>2025</v>
      </c>
      <c r="DX12" s="111">
        <f t="shared" si="50"/>
        <v>0</v>
      </c>
      <c r="DY12" s="109">
        <v>12</v>
      </c>
      <c r="DZ12" s="112">
        <f t="shared" si="51"/>
        <v>0</v>
      </c>
    </row>
    <row r="13" spans="2:130">
      <c r="B13" s="109">
        <f t="shared" si="52"/>
        <v>2026</v>
      </c>
      <c r="C13" s="111">
        <f t="shared" si="0"/>
        <v>127.77</v>
      </c>
      <c r="D13" s="109">
        <v>12</v>
      </c>
      <c r="E13" s="112">
        <f t="shared" si="1"/>
        <v>127.77</v>
      </c>
      <c r="G13" s="109">
        <f t="shared" si="53"/>
        <v>2026</v>
      </c>
      <c r="H13" s="111">
        <f t="shared" si="2"/>
        <v>0</v>
      </c>
      <c r="I13" s="109">
        <v>12</v>
      </c>
      <c r="J13" s="112">
        <f t="shared" si="3"/>
        <v>0</v>
      </c>
      <c r="L13" s="109">
        <f t="shared" si="54"/>
        <v>2026</v>
      </c>
      <c r="M13" s="111">
        <f t="shared" si="4"/>
        <v>0</v>
      </c>
      <c r="N13" s="109">
        <v>12</v>
      </c>
      <c r="O13" s="112">
        <f t="shared" si="5"/>
        <v>0</v>
      </c>
      <c r="Q13" s="109">
        <f t="shared" si="55"/>
        <v>2026</v>
      </c>
      <c r="R13" s="111">
        <f t="shared" si="6"/>
        <v>0</v>
      </c>
      <c r="S13" s="109">
        <v>12</v>
      </c>
      <c r="T13" s="112">
        <f t="shared" si="7"/>
        <v>0</v>
      </c>
      <c r="V13" s="109">
        <f t="shared" si="56"/>
        <v>2026</v>
      </c>
      <c r="W13" s="111">
        <f t="shared" si="8"/>
        <v>10.19</v>
      </c>
      <c r="X13" s="109">
        <v>12</v>
      </c>
      <c r="Y13" s="112">
        <f t="shared" si="9"/>
        <v>10.19</v>
      </c>
      <c r="AA13" s="243">
        <f t="shared" si="57"/>
        <v>2026</v>
      </c>
      <c r="AB13" s="111">
        <f t="shared" si="10"/>
        <v>0</v>
      </c>
      <c r="AC13" s="109">
        <v>12</v>
      </c>
      <c r="AD13" s="112">
        <f t="shared" si="11"/>
        <v>0</v>
      </c>
      <c r="AF13" s="243">
        <f t="shared" si="58"/>
        <v>2026</v>
      </c>
      <c r="AG13" s="111">
        <f t="shared" si="12"/>
        <v>61.962079429221234</v>
      </c>
      <c r="AH13" s="109">
        <v>12</v>
      </c>
      <c r="AI13" s="112">
        <f t="shared" si="13"/>
        <v>61.962079429221234</v>
      </c>
      <c r="AK13" s="243">
        <f t="shared" si="59"/>
        <v>2026</v>
      </c>
      <c r="AL13" s="111">
        <f t="shared" si="14"/>
        <v>27.246613249829345</v>
      </c>
      <c r="AM13" s="109">
        <v>12</v>
      </c>
      <c r="AN13" s="112">
        <f t="shared" si="15"/>
        <v>27.246613249829341</v>
      </c>
      <c r="AP13" s="243">
        <f t="shared" si="60"/>
        <v>2026</v>
      </c>
      <c r="AQ13" s="111">
        <f t="shared" si="16"/>
        <v>53.405546431728474</v>
      </c>
      <c r="AR13" s="109">
        <v>12</v>
      </c>
      <c r="AS13" s="112">
        <f t="shared" si="17"/>
        <v>53.405546431728474</v>
      </c>
      <c r="AU13" s="109">
        <f t="shared" si="61"/>
        <v>2026</v>
      </c>
      <c r="AV13" s="111">
        <f t="shared" si="18"/>
        <v>0</v>
      </c>
      <c r="AW13" s="109">
        <v>12</v>
      </c>
      <c r="AX13" s="112">
        <f t="shared" si="19"/>
        <v>0</v>
      </c>
      <c r="AZ13" s="109">
        <f t="shared" si="62"/>
        <v>2026</v>
      </c>
      <c r="BA13" s="111">
        <f t="shared" si="20"/>
        <v>0</v>
      </c>
      <c r="BB13" s="109">
        <v>12</v>
      </c>
      <c r="BC13" s="112">
        <f t="shared" si="21"/>
        <v>0</v>
      </c>
      <c r="BE13" s="109">
        <f t="shared" si="63"/>
        <v>2026</v>
      </c>
      <c r="BF13" s="111">
        <f t="shared" si="22"/>
        <v>0.85764959331312407</v>
      </c>
      <c r="BG13" s="109">
        <v>12</v>
      </c>
      <c r="BH13" s="112">
        <f t="shared" si="23"/>
        <v>0.85764959331312396</v>
      </c>
      <c r="BJ13" s="243">
        <f t="shared" si="64"/>
        <v>2026</v>
      </c>
      <c r="BK13" s="111">
        <f t="shared" si="24"/>
        <v>7.2616297422281173</v>
      </c>
      <c r="BL13" s="109">
        <v>12</v>
      </c>
      <c r="BM13" s="112">
        <f t="shared" si="25"/>
        <v>7.2616297422281173</v>
      </c>
      <c r="BO13" s="109">
        <f t="shared" si="65"/>
        <v>2026</v>
      </c>
      <c r="BP13" s="111">
        <f t="shared" si="26"/>
        <v>3.6692136182872273</v>
      </c>
      <c r="BQ13" s="109">
        <v>12</v>
      </c>
      <c r="BR13" s="112">
        <f t="shared" si="27"/>
        <v>3.6692136182872273</v>
      </c>
      <c r="BT13" s="243">
        <f t="shared" si="66"/>
        <v>2026</v>
      </c>
      <c r="BU13" s="111">
        <f t="shared" si="28"/>
        <v>3.0183974417510675</v>
      </c>
      <c r="BV13" s="109">
        <v>12</v>
      </c>
      <c r="BW13" s="112">
        <f t="shared" si="29"/>
        <v>3.0183974417510675</v>
      </c>
      <c r="BY13" s="109">
        <f t="shared" si="67"/>
        <v>2026</v>
      </c>
      <c r="BZ13" s="111">
        <f t="shared" si="30"/>
        <v>15.11</v>
      </c>
      <c r="CA13" s="109">
        <v>12</v>
      </c>
      <c r="CB13" s="112">
        <f t="shared" si="31"/>
        <v>15.11</v>
      </c>
      <c r="CD13" s="109">
        <f t="shared" si="68"/>
        <v>2026</v>
      </c>
      <c r="CE13" s="111">
        <f t="shared" si="32"/>
        <v>0</v>
      </c>
      <c r="CF13" s="109">
        <v>12</v>
      </c>
      <c r="CG13" s="112">
        <f t="shared" si="33"/>
        <v>0</v>
      </c>
      <c r="CI13" s="109">
        <f t="shared" si="69"/>
        <v>2026</v>
      </c>
      <c r="CJ13" s="111">
        <f t="shared" si="34"/>
        <v>0</v>
      </c>
      <c r="CK13" s="109">
        <v>12</v>
      </c>
      <c r="CL13" s="112">
        <f t="shared" si="35"/>
        <v>0</v>
      </c>
      <c r="CN13" s="109">
        <f t="shared" si="70"/>
        <v>2026</v>
      </c>
      <c r="CO13" s="111">
        <f t="shared" si="36"/>
        <v>0</v>
      </c>
      <c r="CP13" s="109">
        <v>12</v>
      </c>
      <c r="CQ13" s="112">
        <f t="shared" si="37"/>
        <v>0</v>
      </c>
      <c r="CS13" s="109">
        <f t="shared" si="71"/>
        <v>2026</v>
      </c>
      <c r="CT13" s="111">
        <f t="shared" si="38"/>
        <v>0</v>
      </c>
      <c r="CU13" s="109">
        <v>12</v>
      </c>
      <c r="CV13" s="112">
        <f t="shared" si="39"/>
        <v>0</v>
      </c>
      <c r="CX13" s="109">
        <f t="shared" si="72"/>
        <v>2026</v>
      </c>
      <c r="CY13" s="111">
        <f t="shared" si="40"/>
        <v>3.94</v>
      </c>
      <c r="CZ13" s="109">
        <v>12</v>
      </c>
      <c r="DA13" s="112">
        <f t="shared" si="41"/>
        <v>3.94</v>
      </c>
      <c r="DC13" s="243">
        <f t="shared" si="73"/>
        <v>2026</v>
      </c>
      <c r="DD13" s="111">
        <f t="shared" si="42"/>
        <v>1.9843209786774196</v>
      </c>
      <c r="DE13" s="109">
        <v>12</v>
      </c>
      <c r="DF13" s="112">
        <f t="shared" si="43"/>
        <v>1.9843209786774196</v>
      </c>
      <c r="DH13" s="109">
        <f t="shared" si="74"/>
        <v>2026</v>
      </c>
      <c r="DI13" s="111">
        <f t="shared" si="44"/>
        <v>18.84</v>
      </c>
      <c r="DJ13" s="109">
        <v>12</v>
      </c>
      <c r="DK13" s="112">
        <f t="shared" si="45"/>
        <v>18.84</v>
      </c>
      <c r="DM13" s="243">
        <f t="shared" si="75"/>
        <v>2026</v>
      </c>
      <c r="DN13" s="111">
        <f t="shared" si="46"/>
        <v>0.80402126463180246</v>
      </c>
      <c r="DO13" s="109">
        <v>12</v>
      </c>
      <c r="DP13" s="112">
        <f t="shared" si="47"/>
        <v>0.80402126463180246</v>
      </c>
      <c r="DR13" s="109">
        <f t="shared" si="76"/>
        <v>2026</v>
      </c>
      <c r="DS13" s="111">
        <f t="shared" si="48"/>
        <v>0</v>
      </c>
      <c r="DT13" s="109">
        <v>12</v>
      </c>
      <c r="DU13" s="112">
        <f t="shared" si="49"/>
        <v>0</v>
      </c>
      <c r="DW13" s="109">
        <f t="shared" si="77"/>
        <v>2026</v>
      </c>
      <c r="DX13" s="111">
        <f t="shared" si="50"/>
        <v>0</v>
      </c>
      <c r="DY13" s="109">
        <v>12</v>
      </c>
      <c r="DZ13" s="112">
        <f t="shared" si="51"/>
        <v>0</v>
      </c>
    </row>
    <row r="14" spans="2:130">
      <c r="B14" s="109">
        <f t="shared" si="52"/>
        <v>2027</v>
      </c>
      <c r="C14" s="111">
        <f t="shared" si="0"/>
        <v>130.66999999999999</v>
      </c>
      <c r="D14" s="109">
        <v>12</v>
      </c>
      <c r="E14" s="112">
        <f t="shared" si="1"/>
        <v>130.66999999999999</v>
      </c>
      <c r="G14" s="109">
        <f t="shared" si="53"/>
        <v>2027</v>
      </c>
      <c r="H14" s="111">
        <f t="shared" si="2"/>
        <v>0</v>
      </c>
      <c r="I14" s="109">
        <v>12</v>
      </c>
      <c r="J14" s="112">
        <f t="shared" si="3"/>
        <v>0</v>
      </c>
      <c r="L14" s="109">
        <f t="shared" si="54"/>
        <v>2027</v>
      </c>
      <c r="M14" s="111">
        <f t="shared" si="4"/>
        <v>0</v>
      </c>
      <c r="N14" s="109">
        <v>12</v>
      </c>
      <c r="O14" s="112">
        <f t="shared" si="5"/>
        <v>0</v>
      </c>
      <c r="Q14" s="109">
        <f t="shared" si="55"/>
        <v>2027</v>
      </c>
      <c r="R14" s="111">
        <f t="shared" si="6"/>
        <v>0</v>
      </c>
      <c r="S14" s="109">
        <v>12</v>
      </c>
      <c r="T14" s="112">
        <f t="shared" si="7"/>
        <v>0</v>
      </c>
      <c r="V14" s="109">
        <f t="shared" si="56"/>
        <v>2027</v>
      </c>
      <c r="W14" s="111">
        <f t="shared" si="8"/>
        <v>10.42</v>
      </c>
      <c r="X14" s="109">
        <v>12</v>
      </c>
      <c r="Y14" s="112">
        <f t="shared" si="9"/>
        <v>10.42</v>
      </c>
      <c r="AA14" s="109">
        <f t="shared" si="57"/>
        <v>2027</v>
      </c>
      <c r="AB14" s="111">
        <f t="shared" si="10"/>
        <v>0</v>
      </c>
      <c r="AC14" s="109">
        <v>12</v>
      </c>
      <c r="AD14" s="112">
        <f t="shared" si="11"/>
        <v>0</v>
      </c>
      <c r="AF14" s="109">
        <f t="shared" si="58"/>
        <v>2027</v>
      </c>
      <c r="AG14" s="111">
        <f t="shared" si="12"/>
        <v>63.37</v>
      </c>
      <c r="AH14" s="109">
        <v>12</v>
      </c>
      <c r="AI14" s="112">
        <f t="shared" si="13"/>
        <v>63.37</v>
      </c>
      <c r="AK14" s="109">
        <f t="shared" si="59"/>
        <v>2027</v>
      </c>
      <c r="AL14" s="111">
        <f t="shared" si="14"/>
        <v>27.87</v>
      </c>
      <c r="AM14" s="109">
        <v>12</v>
      </c>
      <c r="AN14" s="112">
        <f t="shared" si="15"/>
        <v>27.87</v>
      </c>
      <c r="AP14" s="109">
        <f t="shared" si="60"/>
        <v>2027</v>
      </c>
      <c r="AQ14" s="111">
        <f t="shared" si="16"/>
        <v>54.62</v>
      </c>
      <c r="AR14" s="109">
        <v>12</v>
      </c>
      <c r="AS14" s="112">
        <f t="shared" si="17"/>
        <v>54.62</v>
      </c>
      <c r="AU14" s="109">
        <f t="shared" si="61"/>
        <v>2027</v>
      </c>
      <c r="AV14" s="111">
        <f t="shared" si="18"/>
        <v>0</v>
      </c>
      <c r="AW14" s="109">
        <v>12</v>
      </c>
      <c r="AX14" s="112">
        <f t="shared" si="19"/>
        <v>0</v>
      </c>
      <c r="AZ14" s="109">
        <f t="shared" si="62"/>
        <v>2027</v>
      </c>
      <c r="BA14" s="111">
        <f t="shared" si="20"/>
        <v>0</v>
      </c>
      <c r="BB14" s="109">
        <v>12</v>
      </c>
      <c r="BC14" s="112">
        <f t="shared" si="21"/>
        <v>0</v>
      </c>
      <c r="BE14" s="109">
        <f t="shared" si="63"/>
        <v>2027</v>
      </c>
      <c r="BF14" s="111">
        <f t="shared" si="22"/>
        <v>0.88</v>
      </c>
      <c r="BG14" s="109">
        <v>12</v>
      </c>
      <c r="BH14" s="112">
        <f t="shared" si="23"/>
        <v>0.88</v>
      </c>
      <c r="BJ14" s="109">
        <f t="shared" si="64"/>
        <v>2027</v>
      </c>
      <c r="BK14" s="111">
        <f t="shared" si="24"/>
        <v>7.43</v>
      </c>
      <c r="BL14" s="109">
        <v>12</v>
      </c>
      <c r="BM14" s="112">
        <f t="shared" si="25"/>
        <v>7.43</v>
      </c>
      <c r="BO14" s="109">
        <f t="shared" si="65"/>
        <v>2027</v>
      </c>
      <c r="BP14" s="111">
        <f t="shared" si="26"/>
        <v>3.75</v>
      </c>
      <c r="BQ14" s="109">
        <v>12</v>
      </c>
      <c r="BR14" s="112">
        <f t="shared" si="27"/>
        <v>3.75</v>
      </c>
      <c r="BS14" s="153"/>
      <c r="BT14" s="109">
        <f t="shared" si="66"/>
        <v>2027</v>
      </c>
      <c r="BU14" s="111">
        <f t="shared" si="28"/>
        <v>3.09</v>
      </c>
      <c r="BV14" s="109">
        <v>12</v>
      </c>
      <c r="BW14" s="112">
        <f t="shared" si="29"/>
        <v>3.09</v>
      </c>
      <c r="BY14" s="109">
        <f t="shared" si="67"/>
        <v>2027</v>
      </c>
      <c r="BZ14" s="111">
        <f t="shared" si="30"/>
        <v>15.45</v>
      </c>
      <c r="CA14" s="109">
        <v>12</v>
      </c>
      <c r="CB14" s="112">
        <f t="shared" si="31"/>
        <v>15.449999999999998</v>
      </c>
      <c r="CD14" s="109">
        <f t="shared" si="68"/>
        <v>2027</v>
      </c>
      <c r="CE14" s="111">
        <f t="shared" si="32"/>
        <v>0</v>
      </c>
      <c r="CF14" s="109">
        <v>12</v>
      </c>
      <c r="CG14" s="112">
        <f t="shared" si="33"/>
        <v>0</v>
      </c>
      <c r="CI14" s="109">
        <f t="shared" si="69"/>
        <v>2027</v>
      </c>
      <c r="CJ14" s="111">
        <f t="shared" si="34"/>
        <v>0</v>
      </c>
      <c r="CK14" s="109">
        <v>12</v>
      </c>
      <c r="CL14" s="112">
        <f t="shared" si="35"/>
        <v>0</v>
      </c>
      <c r="CN14" s="109">
        <f t="shared" si="70"/>
        <v>2027</v>
      </c>
      <c r="CO14" s="111">
        <f t="shared" si="36"/>
        <v>0</v>
      </c>
      <c r="CP14" s="109">
        <v>12</v>
      </c>
      <c r="CQ14" s="112">
        <f t="shared" si="37"/>
        <v>0</v>
      </c>
      <c r="CS14" s="243">
        <f t="shared" si="71"/>
        <v>2027</v>
      </c>
      <c r="CT14" s="111">
        <f t="shared" si="38"/>
        <v>6.1470642666378597</v>
      </c>
      <c r="CU14" s="109">
        <v>12</v>
      </c>
      <c r="CV14" s="112">
        <f t="shared" si="39"/>
        <v>6.1470642666378597</v>
      </c>
      <c r="CX14" s="109">
        <f t="shared" si="72"/>
        <v>2027</v>
      </c>
      <c r="CY14" s="111">
        <f t="shared" si="40"/>
        <v>4.03</v>
      </c>
      <c r="CZ14" s="109">
        <v>12</v>
      </c>
      <c r="DA14" s="112">
        <f t="shared" si="41"/>
        <v>4.03</v>
      </c>
      <c r="DC14" s="109">
        <f t="shared" si="73"/>
        <v>2027</v>
      </c>
      <c r="DD14" s="111">
        <f t="shared" si="42"/>
        <v>2.0299999999999998</v>
      </c>
      <c r="DE14" s="109">
        <v>12</v>
      </c>
      <c r="DF14" s="112">
        <f t="shared" si="43"/>
        <v>2.0299999999999998</v>
      </c>
      <c r="DH14" s="109">
        <f t="shared" si="74"/>
        <v>2027</v>
      </c>
      <c r="DI14" s="111">
        <f t="shared" si="44"/>
        <v>19.27</v>
      </c>
      <c r="DJ14" s="109">
        <v>12</v>
      </c>
      <c r="DK14" s="112">
        <f t="shared" si="45"/>
        <v>19.27</v>
      </c>
      <c r="DM14" s="109">
        <f t="shared" si="75"/>
        <v>2027</v>
      </c>
      <c r="DN14" s="111">
        <f t="shared" si="46"/>
        <v>0.82</v>
      </c>
      <c r="DO14" s="109">
        <v>12</v>
      </c>
      <c r="DP14" s="112">
        <f t="shared" si="47"/>
        <v>0.82</v>
      </c>
      <c r="DR14" s="109">
        <f t="shared" si="76"/>
        <v>2027</v>
      </c>
      <c r="DS14" s="111">
        <f t="shared" si="48"/>
        <v>0</v>
      </c>
      <c r="DT14" s="109">
        <v>12</v>
      </c>
      <c r="DU14" s="112">
        <f t="shared" si="49"/>
        <v>0</v>
      </c>
      <c r="DW14" s="109">
        <f t="shared" si="77"/>
        <v>2027</v>
      </c>
      <c r="DX14" s="111">
        <f t="shared" si="50"/>
        <v>0</v>
      </c>
      <c r="DY14" s="109">
        <v>12</v>
      </c>
      <c r="DZ14" s="112">
        <f t="shared" si="51"/>
        <v>0</v>
      </c>
    </row>
    <row r="15" spans="2:130">
      <c r="B15" s="109">
        <f t="shared" si="52"/>
        <v>2028</v>
      </c>
      <c r="C15" s="111">
        <f t="shared" si="0"/>
        <v>133.63999999999999</v>
      </c>
      <c r="D15" s="109">
        <v>12</v>
      </c>
      <c r="E15" s="112">
        <f t="shared" si="1"/>
        <v>133.63999999999999</v>
      </c>
      <c r="G15" s="109">
        <f t="shared" si="53"/>
        <v>2028</v>
      </c>
      <c r="H15" s="111">
        <f t="shared" si="2"/>
        <v>0</v>
      </c>
      <c r="I15" s="109">
        <v>12</v>
      </c>
      <c r="J15" s="112">
        <f t="shared" si="3"/>
        <v>0</v>
      </c>
      <c r="L15" s="243">
        <f t="shared" si="54"/>
        <v>2028</v>
      </c>
      <c r="M15" s="111">
        <f t="shared" si="4"/>
        <v>39.576129741307163</v>
      </c>
      <c r="N15" s="109">
        <v>12</v>
      </c>
      <c r="O15" s="112">
        <f t="shared" si="5"/>
        <v>39.576129741307163</v>
      </c>
      <c r="Q15" s="109">
        <f t="shared" si="55"/>
        <v>2028</v>
      </c>
      <c r="R15" s="111">
        <f t="shared" si="6"/>
        <v>0</v>
      </c>
      <c r="S15" s="109">
        <v>12</v>
      </c>
      <c r="T15" s="112">
        <f t="shared" si="7"/>
        <v>0</v>
      </c>
      <c r="V15" s="109">
        <f t="shared" si="56"/>
        <v>2028</v>
      </c>
      <c r="W15" s="111">
        <f t="shared" si="8"/>
        <v>10.66</v>
      </c>
      <c r="X15" s="109">
        <v>12</v>
      </c>
      <c r="Y15" s="112">
        <f t="shared" si="9"/>
        <v>10.66</v>
      </c>
      <c r="AA15" s="109">
        <f t="shared" si="57"/>
        <v>2028</v>
      </c>
      <c r="AB15" s="111">
        <f t="shared" si="10"/>
        <v>0</v>
      </c>
      <c r="AC15" s="109">
        <v>12</v>
      </c>
      <c r="AD15" s="112">
        <f t="shared" si="11"/>
        <v>0</v>
      </c>
      <c r="AF15" s="109">
        <f t="shared" si="58"/>
        <v>2028</v>
      </c>
      <c r="AG15" s="111">
        <f t="shared" si="12"/>
        <v>64.81</v>
      </c>
      <c r="AH15" s="109">
        <v>12</v>
      </c>
      <c r="AI15" s="112">
        <f t="shared" si="13"/>
        <v>64.81</v>
      </c>
      <c r="AK15" s="109">
        <f t="shared" si="59"/>
        <v>2028</v>
      </c>
      <c r="AL15" s="111">
        <f t="shared" si="14"/>
        <v>28.5</v>
      </c>
      <c r="AM15" s="109">
        <v>12</v>
      </c>
      <c r="AN15" s="112">
        <f t="shared" si="15"/>
        <v>28.5</v>
      </c>
      <c r="AP15" s="109">
        <f t="shared" si="60"/>
        <v>2028</v>
      </c>
      <c r="AQ15" s="111">
        <f t="shared" si="16"/>
        <v>55.86</v>
      </c>
      <c r="AR15" s="109">
        <v>12</v>
      </c>
      <c r="AS15" s="112">
        <f t="shared" si="17"/>
        <v>55.859999999999992</v>
      </c>
      <c r="AU15" s="109">
        <f t="shared" si="61"/>
        <v>2028</v>
      </c>
      <c r="AV15" s="111">
        <f t="shared" si="18"/>
        <v>0</v>
      </c>
      <c r="AW15" s="109">
        <v>12</v>
      </c>
      <c r="AX15" s="112">
        <f t="shared" si="19"/>
        <v>0</v>
      </c>
      <c r="AZ15" s="109">
        <f t="shared" si="62"/>
        <v>2028</v>
      </c>
      <c r="BA15" s="111">
        <f t="shared" si="20"/>
        <v>0</v>
      </c>
      <c r="BB15" s="109">
        <v>12</v>
      </c>
      <c r="BC15" s="112">
        <f t="shared" si="21"/>
        <v>0</v>
      </c>
      <c r="BE15" s="243">
        <f t="shared" si="63"/>
        <v>2028</v>
      </c>
      <c r="BF15" s="111">
        <f t="shared" si="22"/>
        <v>0.9</v>
      </c>
      <c r="BG15" s="109">
        <v>12</v>
      </c>
      <c r="BH15" s="112">
        <f t="shared" si="23"/>
        <v>0.9</v>
      </c>
      <c r="BJ15" s="109">
        <f t="shared" si="64"/>
        <v>2028</v>
      </c>
      <c r="BK15" s="111">
        <f t="shared" si="24"/>
        <v>7.6</v>
      </c>
      <c r="BL15" s="109">
        <v>12</v>
      </c>
      <c r="BM15" s="112">
        <f t="shared" si="25"/>
        <v>7.5999999999999988</v>
      </c>
      <c r="BO15" s="109">
        <f t="shared" si="65"/>
        <v>2028</v>
      </c>
      <c r="BP15" s="111">
        <f t="shared" si="26"/>
        <v>3.84</v>
      </c>
      <c r="BQ15" s="109">
        <v>12</v>
      </c>
      <c r="BR15" s="112">
        <f t="shared" si="27"/>
        <v>3.84</v>
      </c>
      <c r="BT15" s="109">
        <f t="shared" si="66"/>
        <v>2028</v>
      </c>
      <c r="BU15" s="111">
        <f t="shared" si="28"/>
        <v>3.16</v>
      </c>
      <c r="BV15" s="109">
        <v>12</v>
      </c>
      <c r="BW15" s="112">
        <f t="shared" si="29"/>
        <v>3.16</v>
      </c>
      <c r="BY15" s="109">
        <f t="shared" si="67"/>
        <v>2028</v>
      </c>
      <c r="BZ15" s="111">
        <f t="shared" si="30"/>
        <v>15.8</v>
      </c>
      <c r="CA15" s="109">
        <v>12</v>
      </c>
      <c r="CB15" s="112">
        <f t="shared" si="31"/>
        <v>15.800000000000002</v>
      </c>
      <c r="CD15" s="109">
        <f t="shared" si="68"/>
        <v>2028</v>
      </c>
      <c r="CE15" s="111">
        <f t="shared" si="32"/>
        <v>0</v>
      </c>
      <c r="CF15" s="109">
        <v>12</v>
      </c>
      <c r="CG15" s="112">
        <f t="shared" si="33"/>
        <v>0</v>
      </c>
      <c r="CI15" s="109">
        <f t="shared" si="69"/>
        <v>2028</v>
      </c>
      <c r="CJ15" s="111">
        <f t="shared" si="34"/>
        <v>0</v>
      </c>
      <c r="CK15" s="109">
        <v>12</v>
      </c>
      <c r="CL15" s="112">
        <f t="shared" si="35"/>
        <v>0</v>
      </c>
      <c r="CN15" s="109">
        <f t="shared" si="70"/>
        <v>2028</v>
      </c>
      <c r="CO15" s="111">
        <f t="shared" si="36"/>
        <v>0</v>
      </c>
      <c r="CP15" s="109">
        <v>12</v>
      </c>
      <c r="CQ15" s="112">
        <f t="shared" si="37"/>
        <v>0</v>
      </c>
      <c r="CS15" s="109">
        <f t="shared" si="71"/>
        <v>2028</v>
      </c>
      <c r="CT15" s="111">
        <f t="shared" si="38"/>
        <v>6.29</v>
      </c>
      <c r="CU15" s="109">
        <v>12</v>
      </c>
      <c r="CV15" s="112">
        <f t="shared" si="39"/>
        <v>6.29</v>
      </c>
      <c r="CX15" s="109">
        <f t="shared" si="72"/>
        <v>2028</v>
      </c>
      <c r="CY15" s="111">
        <f t="shared" si="40"/>
        <v>4.12</v>
      </c>
      <c r="CZ15" s="109">
        <v>12</v>
      </c>
      <c r="DA15" s="112">
        <f t="shared" si="41"/>
        <v>4.12</v>
      </c>
      <c r="DC15" s="109">
        <f t="shared" si="73"/>
        <v>2028</v>
      </c>
      <c r="DD15" s="111">
        <f t="shared" si="42"/>
        <v>2.08</v>
      </c>
      <c r="DE15" s="109">
        <v>12</v>
      </c>
      <c r="DF15" s="112">
        <f t="shared" si="43"/>
        <v>2.08</v>
      </c>
      <c r="DH15" s="109">
        <f t="shared" si="74"/>
        <v>2028</v>
      </c>
      <c r="DI15" s="111">
        <f t="shared" si="44"/>
        <v>19.71</v>
      </c>
      <c r="DJ15" s="109">
        <v>12</v>
      </c>
      <c r="DK15" s="112">
        <f t="shared" si="45"/>
        <v>19.71</v>
      </c>
      <c r="DM15" s="109">
        <f t="shared" si="75"/>
        <v>2028</v>
      </c>
      <c r="DN15" s="111">
        <f t="shared" si="46"/>
        <v>0.84</v>
      </c>
      <c r="DO15" s="109">
        <v>12</v>
      </c>
      <c r="DP15" s="112">
        <f t="shared" si="47"/>
        <v>0.84</v>
      </c>
      <c r="DR15" s="243">
        <f t="shared" si="76"/>
        <v>2028</v>
      </c>
      <c r="DS15" s="111">
        <f t="shared" si="48"/>
        <v>6.9446598577586451</v>
      </c>
      <c r="DT15" s="109">
        <v>12</v>
      </c>
      <c r="DU15" s="112">
        <f t="shared" si="49"/>
        <v>6.9446598577586451</v>
      </c>
      <c r="DW15" s="109">
        <f t="shared" si="77"/>
        <v>2028</v>
      </c>
      <c r="DX15" s="111">
        <f t="shared" si="50"/>
        <v>0</v>
      </c>
      <c r="DY15" s="109">
        <v>12</v>
      </c>
      <c r="DZ15" s="112">
        <f t="shared" si="51"/>
        <v>0</v>
      </c>
    </row>
    <row r="16" spans="2:130">
      <c r="B16" s="109">
        <f t="shared" si="52"/>
        <v>2029</v>
      </c>
      <c r="C16" s="111">
        <f t="shared" si="0"/>
        <v>136.66999999999999</v>
      </c>
      <c r="D16" s="109">
        <v>12</v>
      </c>
      <c r="E16" s="112">
        <f t="shared" si="1"/>
        <v>136.66999999999999</v>
      </c>
      <c r="G16" s="243">
        <f t="shared" si="53"/>
        <v>2029</v>
      </c>
      <c r="H16" s="111">
        <f t="shared" si="2"/>
        <v>2.4914919873456074</v>
      </c>
      <c r="I16" s="109">
        <v>12</v>
      </c>
      <c r="J16" s="112">
        <f t="shared" si="3"/>
        <v>2.4914919873456074</v>
      </c>
      <c r="L16" s="109">
        <f t="shared" si="54"/>
        <v>2029</v>
      </c>
      <c r="M16" s="111">
        <f t="shared" si="4"/>
        <v>40.47</v>
      </c>
      <c r="N16" s="109">
        <v>12</v>
      </c>
      <c r="O16" s="112">
        <f t="shared" si="5"/>
        <v>40.47</v>
      </c>
      <c r="Q16" s="243">
        <f t="shared" si="55"/>
        <v>2029</v>
      </c>
      <c r="R16" s="111">
        <f t="shared" si="6"/>
        <v>40.062380297207461</v>
      </c>
      <c r="S16" s="109">
        <v>12</v>
      </c>
      <c r="T16" s="112">
        <f t="shared" si="7"/>
        <v>40.062380297207461</v>
      </c>
      <c r="V16" s="109">
        <f t="shared" si="56"/>
        <v>2029</v>
      </c>
      <c r="W16" s="111">
        <f t="shared" si="8"/>
        <v>10.9</v>
      </c>
      <c r="X16" s="109">
        <v>12</v>
      </c>
      <c r="Y16" s="112">
        <f t="shared" si="9"/>
        <v>10.9</v>
      </c>
      <c r="AA16" s="109">
        <f t="shared" si="57"/>
        <v>2029</v>
      </c>
      <c r="AB16" s="111">
        <f t="shared" si="10"/>
        <v>0</v>
      </c>
      <c r="AC16" s="109">
        <v>12</v>
      </c>
      <c r="AD16" s="112">
        <f t="shared" si="11"/>
        <v>0</v>
      </c>
      <c r="AF16" s="109">
        <f t="shared" si="58"/>
        <v>2029</v>
      </c>
      <c r="AG16" s="111">
        <f t="shared" si="12"/>
        <v>66.28</v>
      </c>
      <c r="AH16" s="109">
        <v>12</v>
      </c>
      <c r="AI16" s="112">
        <f t="shared" si="13"/>
        <v>66.28</v>
      </c>
      <c r="AK16" s="109">
        <f t="shared" si="59"/>
        <v>2029</v>
      </c>
      <c r="AL16" s="111">
        <f t="shared" si="14"/>
        <v>29.15</v>
      </c>
      <c r="AM16" s="109">
        <v>12</v>
      </c>
      <c r="AN16" s="112">
        <f t="shared" si="15"/>
        <v>29.149999999999995</v>
      </c>
      <c r="AP16" s="109">
        <f t="shared" si="60"/>
        <v>2029</v>
      </c>
      <c r="AQ16" s="111">
        <f t="shared" si="16"/>
        <v>57.13</v>
      </c>
      <c r="AR16" s="109">
        <v>12</v>
      </c>
      <c r="AS16" s="112">
        <f t="shared" si="17"/>
        <v>57.13</v>
      </c>
      <c r="AU16" s="109">
        <f t="shared" si="61"/>
        <v>2029</v>
      </c>
      <c r="AV16" s="111">
        <f t="shared" si="18"/>
        <v>0</v>
      </c>
      <c r="AW16" s="109">
        <v>12</v>
      </c>
      <c r="AX16" s="112">
        <f t="shared" si="19"/>
        <v>0</v>
      </c>
      <c r="AZ16" s="109">
        <f t="shared" si="62"/>
        <v>2029</v>
      </c>
      <c r="BA16" s="111">
        <f t="shared" si="20"/>
        <v>0</v>
      </c>
      <c r="BB16" s="109">
        <v>12</v>
      </c>
      <c r="BC16" s="112">
        <f t="shared" si="21"/>
        <v>0</v>
      </c>
      <c r="BE16" s="109">
        <f t="shared" si="63"/>
        <v>2029</v>
      </c>
      <c r="BF16" s="111">
        <f t="shared" si="22"/>
        <v>0.92</v>
      </c>
      <c r="BG16" s="109">
        <v>12</v>
      </c>
      <c r="BH16" s="112">
        <f t="shared" si="23"/>
        <v>0.92</v>
      </c>
      <c r="BJ16" s="109">
        <f t="shared" si="64"/>
        <v>2029</v>
      </c>
      <c r="BK16" s="111">
        <f t="shared" si="24"/>
        <v>7.77</v>
      </c>
      <c r="BL16" s="109">
        <v>12</v>
      </c>
      <c r="BM16" s="112">
        <f t="shared" si="25"/>
        <v>7.77</v>
      </c>
      <c r="BO16" s="109">
        <f t="shared" si="65"/>
        <v>2029</v>
      </c>
      <c r="BP16" s="111">
        <f t="shared" si="26"/>
        <v>3.93</v>
      </c>
      <c r="BQ16" s="109">
        <v>12</v>
      </c>
      <c r="BR16" s="112">
        <f t="shared" si="27"/>
        <v>3.93</v>
      </c>
      <c r="BT16" s="109">
        <f t="shared" si="66"/>
        <v>2029</v>
      </c>
      <c r="BU16" s="111">
        <f t="shared" si="28"/>
        <v>3.23</v>
      </c>
      <c r="BV16" s="109">
        <v>12</v>
      </c>
      <c r="BW16" s="112">
        <f t="shared" si="29"/>
        <v>3.23</v>
      </c>
      <c r="BY16" s="109">
        <f t="shared" si="67"/>
        <v>2029</v>
      </c>
      <c r="BZ16" s="111">
        <f t="shared" si="30"/>
        <v>16.16</v>
      </c>
      <c r="CA16" s="109">
        <v>12</v>
      </c>
      <c r="CB16" s="112">
        <f t="shared" si="31"/>
        <v>16.16</v>
      </c>
      <c r="CD16" s="243">
        <f t="shared" si="68"/>
        <v>2029</v>
      </c>
      <c r="CE16" s="111">
        <f t="shared" si="32"/>
        <v>9.2763534735238604</v>
      </c>
      <c r="CF16" s="109">
        <v>12</v>
      </c>
      <c r="CG16" s="112">
        <f t="shared" si="33"/>
        <v>9.2763534735238604</v>
      </c>
      <c r="CI16" s="109">
        <f t="shared" si="69"/>
        <v>2029</v>
      </c>
      <c r="CJ16" s="111">
        <f t="shared" si="34"/>
        <v>0</v>
      </c>
      <c r="CK16" s="109">
        <v>12</v>
      </c>
      <c r="CL16" s="112">
        <f t="shared" si="35"/>
        <v>0</v>
      </c>
      <c r="CN16" s="109">
        <f t="shared" si="70"/>
        <v>2029</v>
      </c>
      <c r="CO16" s="111">
        <f t="shared" si="36"/>
        <v>0</v>
      </c>
      <c r="CP16" s="109">
        <v>12</v>
      </c>
      <c r="CQ16" s="112">
        <f t="shared" si="37"/>
        <v>0</v>
      </c>
      <c r="CS16" s="109">
        <f t="shared" si="71"/>
        <v>2029</v>
      </c>
      <c r="CT16" s="111">
        <f t="shared" si="38"/>
        <v>6.43</v>
      </c>
      <c r="CU16" s="109">
        <v>12</v>
      </c>
      <c r="CV16" s="112">
        <f t="shared" si="39"/>
        <v>6.43</v>
      </c>
      <c r="CX16" s="109">
        <f t="shared" si="72"/>
        <v>2029</v>
      </c>
      <c r="CY16" s="111">
        <f t="shared" si="40"/>
        <v>4.21</v>
      </c>
      <c r="CZ16" s="109">
        <v>12</v>
      </c>
      <c r="DA16" s="112">
        <f t="shared" si="41"/>
        <v>4.21</v>
      </c>
      <c r="DC16" s="109">
        <f t="shared" si="73"/>
        <v>2029</v>
      </c>
      <c r="DD16" s="111">
        <f t="shared" si="42"/>
        <v>2.13</v>
      </c>
      <c r="DE16" s="109">
        <v>12</v>
      </c>
      <c r="DF16" s="112">
        <f t="shared" si="43"/>
        <v>2.13</v>
      </c>
      <c r="DH16" s="109">
        <f t="shared" si="74"/>
        <v>2029</v>
      </c>
      <c r="DI16" s="111">
        <f t="shared" si="44"/>
        <v>20.16</v>
      </c>
      <c r="DJ16" s="109">
        <v>12</v>
      </c>
      <c r="DK16" s="112">
        <f t="shared" si="45"/>
        <v>20.16</v>
      </c>
      <c r="DM16" s="109">
        <f t="shared" si="75"/>
        <v>2029</v>
      </c>
      <c r="DN16" s="111">
        <f t="shared" si="46"/>
        <v>0.86</v>
      </c>
      <c r="DO16" s="109">
        <v>12</v>
      </c>
      <c r="DP16" s="112">
        <f t="shared" si="47"/>
        <v>0.86</v>
      </c>
      <c r="DR16" s="109">
        <f t="shared" si="76"/>
        <v>2029</v>
      </c>
      <c r="DS16" s="111">
        <f t="shared" si="48"/>
        <v>7.1</v>
      </c>
      <c r="DT16" s="109">
        <v>12</v>
      </c>
      <c r="DU16" s="112">
        <f t="shared" si="49"/>
        <v>7.0999999999999988</v>
      </c>
      <c r="DW16" s="109">
        <f t="shared" si="77"/>
        <v>2029</v>
      </c>
      <c r="DX16" s="111">
        <f t="shared" si="50"/>
        <v>0</v>
      </c>
      <c r="DY16" s="109">
        <v>12</v>
      </c>
      <c r="DZ16" s="112">
        <f t="shared" si="51"/>
        <v>0</v>
      </c>
    </row>
    <row r="17" spans="2:130">
      <c r="B17" s="109">
        <f t="shared" si="52"/>
        <v>2030</v>
      </c>
      <c r="C17" s="111">
        <f t="shared" si="0"/>
        <v>139.77000000000001</v>
      </c>
      <c r="D17" s="109">
        <v>12</v>
      </c>
      <c r="E17" s="112">
        <f t="shared" si="1"/>
        <v>139.77000000000001</v>
      </c>
      <c r="G17" s="109">
        <f t="shared" si="53"/>
        <v>2030</v>
      </c>
      <c r="H17" s="111">
        <f t="shared" si="2"/>
        <v>2.5499999999999998</v>
      </c>
      <c r="I17" s="109">
        <v>12</v>
      </c>
      <c r="J17" s="112">
        <f t="shared" si="3"/>
        <v>2.5499999999999998</v>
      </c>
      <c r="L17" s="109">
        <f t="shared" si="54"/>
        <v>2030</v>
      </c>
      <c r="M17" s="111">
        <f t="shared" si="4"/>
        <v>41.39</v>
      </c>
      <c r="N17" s="109">
        <v>12</v>
      </c>
      <c r="O17" s="112">
        <f t="shared" si="5"/>
        <v>41.39</v>
      </c>
      <c r="Q17" s="109">
        <f t="shared" si="55"/>
        <v>2030</v>
      </c>
      <c r="R17" s="111">
        <f t="shared" si="6"/>
        <v>40.97</v>
      </c>
      <c r="S17" s="109">
        <v>12</v>
      </c>
      <c r="T17" s="112">
        <f t="shared" si="7"/>
        <v>40.97</v>
      </c>
      <c r="V17" s="109">
        <f t="shared" si="56"/>
        <v>2030</v>
      </c>
      <c r="W17" s="111">
        <f t="shared" si="8"/>
        <v>11.15</v>
      </c>
      <c r="X17" s="109">
        <v>12</v>
      </c>
      <c r="Y17" s="112">
        <f t="shared" si="9"/>
        <v>11.15</v>
      </c>
      <c r="AA17" s="109">
        <f t="shared" si="57"/>
        <v>2030</v>
      </c>
      <c r="AB17" s="111">
        <f t="shared" si="10"/>
        <v>0</v>
      </c>
      <c r="AC17" s="109">
        <v>12</v>
      </c>
      <c r="AD17" s="112">
        <f t="shared" si="11"/>
        <v>0</v>
      </c>
      <c r="AF17" s="109">
        <f t="shared" si="58"/>
        <v>2030</v>
      </c>
      <c r="AG17" s="111">
        <f t="shared" si="12"/>
        <v>67.78</v>
      </c>
      <c r="AH17" s="109">
        <v>12</v>
      </c>
      <c r="AI17" s="112">
        <f t="shared" si="13"/>
        <v>67.78</v>
      </c>
      <c r="AK17" s="109">
        <f t="shared" si="59"/>
        <v>2030</v>
      </c>
      <c r="AL17" s="111">
        <f t="shared" si="14"/>
        <v>29.81</v>
      </c>
      <c r="AM17" s="109">
        <v>12</v>
      </c>
      <c r="AN17" s="112">
        <f t="shared" si="15"/>
        <v>29.81</v>
      </c>
      <c r="AP17" s="109">
        <f t="shared" si="60"/>
        <v>2030</v>
      </c>
      <c r="AQ17" s="111">
        <f t="shared" si="16"/>
        <v>58.43</v>
      </c>
      <c r="AR17" s="109">
        <v>12</v>
      </c>
      <c r="AS17" s="112">
        <f t="shared" si="17"/>
        <v>58.43</v>
      </c>
      <c r="AU17" s="109">
        <f t="shared" si="61"/>
        <v>2030</v>
      </c>
      <c r="AV17" s="111">
        <f t="shared" si="18"/>
        <v>0</v>
      </c>
      <c r="AW17" s="109">
        <v>12</v>
      </c>
      <c r="AX17" s="112">
        <f t="shared" si="19"/>
        <v>0</v>
      </c>
      <c r="AZ17" s="109">
        <f t="shared" si="62"/>
        <v>2030</v>
      </c>
      <c r="BA17" s="111">
        <f t="shared" si="20"/>
        <v>0</v>
      </c>
      <c r="BB17" s="109">
        <v>12</v>
      </c>
      <c r="BC17" s="112">
        <f t="shared" si="21"/>
        <v>0</v>
      </c>
      <c r="BE17" s="109">
        <f t="shared" si="63"/>
        <v>2030</v>
      </c>
      <c r="BF17" s="111">
        <f t="shared" si="22"/>
        <v>0.94</v>
      </c>
      <c r="BG17" s="109">
        <v>12</v>
      </c>
      <c r="BH17" s="112">
        <f t="shared" si="23"/>
        <v>0.94</v>
      </c>
      <c r="BJ17" s="109">
        <f t="shared" si="64"/>
        <v>2030</v>
      </c>
      <c r="BK17" s="111">
        <f t="shared" si="24"/>
        <v>7.95</v>
      </c>
      <c r="BL17" s="109">
        <v>12</v>
      </c>
      <c r="BM17" s="112">
        <f t="shared" si="25"/>
        <v>7.95</v>
      </c>
      <c r="BO17" s="109">
        <f t="shared" si="65"/>
        <v>2030</v>
      </c>
      <c r="BP17" s="111">
        <f t="shared" si="26"/>
        <v>4.0199999999999996</v>
      </c>
      <c r="BQ17" s="109">
        <v>12</v>
      </c>
      <c r="BR17" s="112">
        <f t="shared" si="27"/>
        <v>4.0199999999999996</v>
      </c>
      <c r="BT17" s="109">
        <f t="shared" si="66"/>
        <v>2030</v>
      </c>
      <c r="BU17" s="111">
        <f t="shared" si="28"/>
        <v>3.3</v>
      </c>
      <c r="BV17" s="109">
        <v>12</v>
      </c>
      <c r="BW17" s="112">
        <f t="shared" si="29"/>
        <v>3.2999999999999994</v>
      </c>
      <c r="BY17" s="109">
        <f t="shared" si="67"/>
        <v>2030</v>
      </c>
      <c r="BZ17" s="111">
        <f t="shared" si="30"/>
        <v>16.53</v>
      </c>
      <c r="CA17" s="109">
        <v>12</v>
      </c>
      <c r="CB17" s="112">
        <f t="shared" si="31"/>
        <v>16.53</v>
      </c>
      <c r="CD17" s="109">
        <f t="shared" si="68"/>
        <v>2030</v>
      </c>
      <c r="CE17" s="111">
        <f t="shared" si="32"/>
        <v>9.49</v>
      </c>
      <c r="CF17" s="109">
        <v>12</v>
      </c>
      <c r="CG17" s="112">
        <f t="shared" si="33"/>
        <v>9.49</v>
      </c>
      <c r="CI17" s="109">
        <f t="shared" si="69"/>
        <v>2030</v>
      </c>
      <c r="CJ17" s="111">
        <f t="shared" si="34"/>
        <v>0</v>
      </c>
      <c r="CK17" s="109">
        <v>12</v>
      </c>
      <c r="CL17" s="112">
        <f t="shared" si="35"/>
        <v>0</v>
      </c>
      <c r="CN17" s="243">
        <f t="shared" si="70"/>
        <v>2030</v>
      </c>
      <c r="CO17" s="111">
        <f t="shared" si="36"/>
        <v>12.43815663298296</v>
      </c>
      <c r="CP17" s="109">
        <v>12</v>
      </c>
      <c r="CQ17" s="112">
        <f t="shared" si="37"/>
        <v>12.43815663298296</v>
      </c>
      <c r="CS17" s="109">
        <f t="shared" si="71"/>
        <v>2030</v>
      </c>
      <c r="CT17" s="111">
        <f t="shared" si="38"/>
        <v>6.58</v>
      </c>
      <c r="CU17" s="109">
        <v>12</v>
      </c>
      <c r="CV17" s="112">
        <f t="shared" si="39"/>
        <v>6.580000000000001</v>
      </c>
      <c r="CX17" s="109">
        <f t="shared" si="72"/>
        <v>2030</v>
      </c>
      <c r="CY17" s="111">
        <f t="shared" si="40"/>
        <v>4.3099999999999996</v>
      </c>
      <c r="CZ17" s="109">
        <v>12</v>
      </c>
      <c r="DA17" s="112">
        <f t="shared" si="41"/>
        <v>4.3099999999999996</v>
      </c>
      <c r="DC17" s="109">
        <f t="shared" si="73"/>
        <v>2030</v>
      </c>
      <c r="DD17" s="111">
        <f t="shared" si="42"/>
        <v>2.1800000000000002</v>
      </c>
      <c r="DE17" s="109">
        <v>12</v>
      </c>
      <c r="DF17" s="112">
        <f t="shared" si="43"/>
        <v>2.1800000000000002</v>
      </c>
      <c r="DH17" s="109">
        <f t="shared" si="74"/>
        <v>2030</v>
      </c>
      <c r="DI17" s="111">
        <f t="shared" si="44"/>
        <v>20.62</v>
      </c>
      <c r="DJ17" s="109">
        <v>12</v>
      </c>
      <c r="DK17" s="112">
        <f t="shared" si="45"/>
        <v>20.62</v>
      </c>
      <c r="DM17" s="109">
        <f t="shared" si="75"/>
        <v>2030</v>
      </c>
      <c r="DN17" s="111">
        <f t="shared" si="46"/>
        <v>0.88</v>
      </c>
      <c r="DO17" s="109">
        <v>12</v>
      </c>
      <c r="DP17" s="112">
        <f t="shared" si="47"/>
        <v>0.88</v>
      </c>
      <c r="DR17" s="109">
        <f t="shared" si="76"/>
        <v>2030</v>
      </c>
      <c r="DS17" s="111">
        <f t="shared" si="48"/>
        <v>7.26</v>
      </c>
      <c r="DT17" s="109">
        <v>12</v>
      </c>
      <c r="DU17" s="112">
        <f t="shared" si="49"/>
        <v>7.2600000000000007</v>
      </c>
      <c r="DW17" s="109">
        <f t="shared" si="77"/>
        <v>2030</v>
      </c>
      <c r="DX17" s="111">
        <f t="shared" si="50"/>
        <v>0</v>
      </c>
      <c r="DY17" s="109">
        <v>12</v>
      </c>
      <c r="DZ17" s="112">
        <f t="shared" si="51"/>
        <v>0</v>
      </c>
    </row>
    <row r="18" spans="2:130">
      <c r="B18" s="109">
        <f t="shared" si="52"/>
        <v>2031</v>
      </c>
      <c r="C18" s="111">
        <f t="shared" si="0"/>
        <v>142.94</v>
      </c>
      <c r="D18" s="109">
        <v>12</v>
      </c>
      <c r="E18" s="112">
        <f t="shared" si="1"/>
        <v>142.94</v>
      </c>
      <c r="G18" s="109">
        <f t="shared" si="53"/>
        <v>2031</v>
      </c>
      <c r="H18" s="111">
        <f t="shared" si="2"/>
        <v>2.61</v>
      </c>
      <c r="I18" s="109">
        <v>12</v>
      </c>
      <c r="J18" s="112">
        <f t="shared" si="3"/>
        <v>2.61</v>
      </c>
      <c r="L18" s="109">
        <f t="shared" si="54"/>
        <v>2031</v>
      </c>
      <c r="M18" s="111">
        <f t="shared" si="4"/>
        <v>42.33</v>
      </c>
      <c r="N18" s="109">
        <v>12</v>
      </c>
      <c r="O18" s="112">
        <f t="shared" si="5"/>
        <v>42.33</v>
      </c>
      <c r="Q18" s="109">
        <f t="shared" si="55"/>
        <v>2031</v>
      </c>
      <c r="R18" s="111">
        <f t="shared" si="6"/>
        <v>41.9</v>
      </c>
      <c r="S18" s="109">
        <v>12</v>
      </c>
      <c r="T18" s="112">
        <f t="shared" si="7"/>
        <v>41.9</v>
      </c>
      <c r="V18" s="109">
        <f t="shared" si="56"/>
        <v>2031</v>
      </c>
      <c r="W18" s="111">
        <f t="shared" si="8"/>
        <v>11.4</v>
      </c>
      <c r="X18" s="109">
        <v>12</v>
      </c>
      <c r="Y18" s="112">
        <f t="shared" si="9"/>
        <v>11.4</v>
      </c>
      <c r="AA18" s="109">
        <f t="shared" si="57"/>
        <v>2031</v>
      </c>
      <c r="AB18" s="111">
        <f t="shared" si="10"/>
        <v>0</v>
      </c>
      <c r="AC18" s="109">
        <v>12</v>
      </c>
      <c r="AD18" s="112">
        <f t="shared" si="11"/>
        <v>0</v>
      </c>
      <c r="AF18" s="109">
        <f t="shared" si="58"/>
        <v>2031</v>
      </c>
      <c r="AG18" s="111">
        <f t="shared" si="12"/>
        <v>69.319999999999993</v>
      </c>
      <c r="AH18" s="109">
        <v>12</v>
      </c>
      <c r="AI18" s="112">
        <f t="shared" si="13"/>
        <v>69.319999999999993</v>
      </c>
      <c r="AK18" s="109">
        <f t="shared" si="59"/>
        <v>2031</v>
      </c>
      <c r="AL18" s="111">
        <f t="shared" si="14"/>
        <v>30.49</v>
      </c>
      <c r="AM18" s="109">
        <v>12</v>
      </c>
      <c r="AN18" s="112">
        <f t="shared" si="15"/>
        <v>30.49</v>
      </c>
      <c r="AP18" s="109">
        <f t="shared" si="60"/>
        <v>2031</v>
      </c>
      <c r="AQ18" s="111">
        <f t="shared" si="16"/>
        <v>59.76</v>
      </c>
      <c r="AR18" s="109">
        <v>12</v>
      </c>
      <c r="AS18" s="112">
        <f t="shared" si="17"/>
        <v>59.76</v>
      </c>
      <c r="AU18" s="109">
        <f t="shared" si="61"/>
        <v>2031</v>
      </c>
      <c r="AV18" s="111">
        <f t="shared" si="18"/>
        <v>0</v>
      </c>
      <c r="AW18" s="109">
        <v>12</v>
      </c>
      <c r="AX18" s="112">
        <f t="shared" si="19"/>
        <v>0</v>
      </c>
      <c r="AZ18" s="109">
        <f t="shared" si="62"/>
        <v>2031</v>
      </c>
      <c r="BA18" s="111">
        <f t="shared" si="20"/>
        <v>0</v>
      </c>
      <c r="BB18" s="109">
        <v>12</v>
      </c>
      <c r="BC18" s="112">
        <f t="shared" si="21"/>
        <v>0</v>
      </c>
      <c r="BE18" s="109">
        <f t="shared" si="63"/>
        <v>2031</v>
      </c>
      <c r="BF18" s="111">
        <f t="shared" si="22"/>
        <v>0.96</v>
      </c>
      <c r="BG18" s="109">
        <v>12</v>
      </c>
      <c r="BH18" s="112">
        <f t="shared" si="23"/>
        <v>0.96</v>
      </c>
      <c r="BJ18" s="109">
        <f t="shared" si="64"/>
        <v>2031</v>
      </c>
      <c r="BK18" s="111">
        <f t="shared" si="24"/>
        <v>8.1300000000000008</v>
      </c>
      <c r="BL18" s="109">
        <v>12</v>
      </c>
      <c r="BM18" s="112">
        <f t="shared" si="25"/>
        <v>8.1300000000000008</v>
      </c>
      <c r="BO18" s="109">
        <f t="shared" si="65"/>
        <v>2031</v>
      </c>
      <c r="BP18" s="111">
        <f t="shared" si="26"/>
        <v>4.1100000000000003</v>
      </c>
      <c r="BQ18" s="109">
        <v>12</v>
      </c>
      <c r="BR18" s="112">
        <f t="shared" si="27"/>
        <v>4.1100000000000003</v>
      </c>
      <c r="BT18" s="109">
        <f t="shared" si="66"/>
        <v>2031</v>
      </c>
      <c r="BU18" s="111">
        <f t="shared" si="28"/>
        <v>3.37</v>
      </c>
      <c r="BV18" s="109">
        <v>12</v>
      </c>
      <c r="BW18" s="112">
        <f t="shared" si="29"/>
        <v>3.3699999999999997</v>
      </c>
      <c r="BY18" s="109">
        <f t="shared" si="67"/>
        <v>2031</v>
      </c>
      <c r="BZ18" s="111">
        <f t="shared" si="30"/>
        <v>16.91</v>
      </c>
      <c r="CA18" s="109">
        <v>12</v>
      </c>
      <c r="CB18" s="112">
        <f t="shared" si="31"/>
        <v>16.91</v>
      </c>
      <c r="CD18" s="109">
        <f t="shared" si="68"/>
        <v>2031</v>
      </c>
      <c r="CE18" s="111">
        <f t="shared" si="32"/>
        <v>9.7100000000000009</v>
      </c>
      <c r="CF18" s="109">
        <v>12</v>
      </c>
      <c r="CG18" s="112">
        <f t="shared" si="33"/>
        <v>9.7100000000000009</v>
      </c>
      <c r="CI18" s="109">
        <f t="shared" si="69"/>
        <v>2031</v>
      </c>
      <c r="CJ18" s="111">
        <f t="shared" si="34"/>
        <v>0</v>
      </c>
      <c r="CK18" s="109">
        <v>12</v>
      </c>
      <c r="CL18" s="112">
        <f t="shared" si="35"/>
        <v>0</v>
      </c>
      <c r="CN18" s="109">
        <f t="shared" si="70"/>
        <v>2031</v>
      </c>
      <c r="CO18" s="111">
        <f t="shared" si="36"/>
        <v>12.72</v>
      </c>
      <c r="CP18" s="109">
        <v>12</v>
      </c>
      <c r="CQ18" s="112">
        <f t="shared" si="37"/>
        <v>12.72</v>
      </c>
      <c r="CS18" s="109">
        <f t="shared" si="71"/>
        <v>2031</v>
      </c>
      <c r="CT18" s="111">
        <f t="shared" si="38"/>
        <v>6.73</v>
      </c>
      <c r="CU18" s="109">
        <v>12</v>
      </c>
      <c r="CV18" s="112">
        <f t="shared" si="39"/>
        <v>6.73</v>
      </c>
      <c r="CX18" s="109">
        <f t="shared" si="72"/>
        <v>2031</v>
      </c>
      <c r="CY18" s="111">
        <f t="shared" si="40"/>
        <v>4.41</v>
      </c>
      <c r="CZ18" s="109">
        <v>12</v>
      </c>
      <c r="DA18" s="112">
        <f t="shared" si="41"/>
        <v>4.41</v>
      </c>
      <c r="DC18" s="109">
        <f t="shared" si="73"/>
        <v>2031</v>
      </c>
      <c r="DD18" s="111">
        <f t="shared" si="42"/>
        <v>2.23</v>
      </c>
      <c r="DE18" s="109">
        <v>12</v>
      </c>
      <c r="DF18" s="112">
        <f t="shared" si="43"/>
        <v>2.23</v>
      </c>
      <c r="DH18" s="109">
        <f t="shared" si="74"/>
        <v>2031</v>
      </c>
      <c r="DI18" s="111">
        <f t="shared" si="44"/>
        <v>21.09</v>
      </c>
      <c r="DJ18" s="109">
        <v>12</v>
      </c>
      <c r="DK18" s="112">
        <f t="shared" si="45"/>
        <v>21.09</v>
      </c>
      <c r="DM18" s="109">
        <f t="shared" si="75"/>
        <v>2031</v>
      </c>
      <c r="DN18" s="111">
        <f t="shared" si="46"/>
        <v>0.9</v>
      </c>
      <c r="DO18" s="109">
        <v>12</v>
      </c>
      <c r="DP18" s="112">
        <f t="shared" si="47"/>
        <v>0.9</v>
      </c>
      <c r="DR18" s="109">
        <f t="shared" si="76"/>
        <v>2031</v>
      </c>
      <c r="DS18" s="111">
        <f t="shared" si="48"/>
        <v>7.42</v>
      </c>
      <c r="DT18" s="109">
        <v>12</v>
      </c>
      <c r="DU18" s="112">
        <f t="shared" si="49"/>
        <v>7.419999999999999</v>
      </c>
      <c r="DW18" s="109">
        <f t="shared" si="77"/>
        <v>2031</v>
      </c>
      <c r="DX18" s="111">
        <f t="shared" si="50"/>
        <v>0</v>
      </c>
      <c r="DY18" s="109">
        <v>12</v>
      </c>
      <c r="DZ18" s="112">
        <f t="shared" si="51"/>
        <v>0</v>
      </c>
    </row>
    <row r="19" spans="2:130">
      <c r="B19" s="109">
        <f t="shared" si="52"/>
        <v>2032</v>
      </c>
      <c r="C19" s="111">
        <f t="shared" si="0"/>
        <v>146.18</v>
      </c>
      <c r="D19" s="109">
        <v>12</v>
      </c>
      <c r="E19" s="112">
        <f t="shared" si="1"/>
        <v>146.18</v>
      </c>
      <c r="G19" s="109">
        <f t="shared" si="53"/>
        <v>2032</v>
      </c>
      <c r="H19" s="111">
        <f t="shared" si="2"/>
        <v>2.67</v>
      </c>
      <c r="I19" s="109">
        <v>12</v>
      </c>
      <c r="J19" s="112">
        <f t="shared" si="3"/>
        <v>2.67</v>
      </c>
      <c r="L19" s="109">
        <f t="shared" si="54"/>
        <v>2032</v>
      </c>
      <c r="M19" s="111">
        <f t="shared" si="4"/>
        <v>43.29</v>
      </c>
      <c r="N19" s="109">
        <v>12</v>
      </c>
      <c r="O19" s="112">
        <f t="shared" si="5"/>
        <v>43.29</v>
      </c>
      <c r="Q19" s="109">
        <f t="shared" si="55"/>
        <v>2032</v>
      </c>
      <c r="R19" s="111">
        <f t="shared" si="6"/>
        <v>42.85</v>
      </c>
      <c r="S19" s="109">
        <v>12</v>
      </c>
      <c r="T19" s="112">
        <f t="shared" si="7"/>
        <v>42.85</v>
      </c>
      <c r="V19" s="109">
        <f t="shared" si="56"/>
        <v>2032</v>
      </c>
      <c r="W19" s="111">
        <f t="shared" si="8"/>
        <v>11.66</v>
      </c>
      <c r="X19" s="109">
        <v>12</v>
      </c>
      <c r="Y19" s="112">
        <f t="shared" si="9"/>
        <v>11.660000000000002</v>
      </c>
      <c r="AA19" s="109">
        <f t="shared" si="57"/>
        <v>2032</v>
      </c>
      <c r="AB19" s="111">
        <f t="shared" si="10"/>
        <v>0</v>
      </c>
      <c r="AC19" s="109">
        <v>12</v>
      </c>
      <c r="AD19" s="112">
        <f t="shared" si="11"/>
        <v>0</v>
      </c>
      <c r="AF19" s="109">
        <f t="shared" si="58"/>
        <v>2032</v>
      </c>
      <c r="AG19" s="111">
        <f t="shared" si="12"/>
        <v>70.89</v>
      </c>
      <c r="AH19" s="109">
        <v>12</v>
      </c>
      <c r="AI19" s="112">
        <f t="shared" si="13"/>
        <v>70.89</v>
      </c>
      <c r="AK19" s="109">
        <f t="shared" si="59"/>
        <v>2032</v>
      </c>
      <c r="AL19" s="111">
        <f t="shared" si="14"/>
        <v>31.18</v>
      </c>
      <c r="AM19" s="109">
        <v>12</v>
      </c>
      <c r="AN19" s="112">
        <f t="shared" si="15"/>
        <v>31.179999999999996</v>
      </c>
      <c r="AP19" s="109">
        <f t="shared" si="60"/>
        <v>2032</v>
      </c>
      <c r="AQ19" s="111">
        <f t="shared" si="16"/>
        <v>61.12</v>
      </c>
      <c r="AR19" s="109">
        <v>12</v>
      </c>
      <c r="AS19" s="112">
        <f t="shared" si="17"/>
        <v>61.12</v>
      </c>
      <c r="AU19" s="109">
        <f t="shared" si="61"/>
        <v>2032</v>
      </c>
      <c r="AV19" s="111">
        <f t="shared" si="18"/>
        <v>0</v>
      </c>
      <c r="AW19" s="109">
        <v>12</v>
      </c>
      <c r="AX19" s="112">
        <f t="shared" si="19"/>
        <v>0</v>
      </c>
      <c r="AZ19" s="109">
        <f t="shared" si="62"/>
        <v>2032</v>
      </c>
      <c r="BA19" s="111">
        <f t="shared" si="20"/>
        <v>0</v>
      </c>
      <c r="BB19" s="109">
        <v>12</v>
      </c>
      <c r="BC19" s="112">
        <f t="shared" si="21"/>
        <v>0</v>
      </c>
      <c r="BE19" s="109">
        <f t="shared" si="63"/>
        <v>2032</v>
      </c>
      <c r="BF19" s="111">
        <f t="shared" si="22"/>
        <v>0.98</v>
      </c>
      <c r="BG19" s="109">
        <v>12</v>
      </c>
      <c r="BH19" s="112">
        <f t="shared" si="23"/>
        <v>0.98</v>
      </c>
      <c r="BJ19" s="109">
        <f t="shared" si="64"/>
        <v>2032</v>
      </c>
      <c r="BK19" s="111">
        <f t="shared" si="24"/>
        <v>8.31</v>
      </c>
      <c r="BL19" s="109">
        <v>12</v>
      </c>
      <c r="BM19" s="112">
        <f t="shared" si="25"/>
        <v>8.31</v>
      </c>
      <c r="BO19" s="109">
        <f t="shared" si="65"/>
        <v>2032</v>
      </c>
      <c r="BP19" s="111">
        <f t="shared" si="26"/>
        <v>4.2</v>
      </c>
      <c r="BQ19" s="109">
        <v>12</v>
      </c>
      <c r="BR19" s="112">
        <f t="shared" si="27"/>
        <v>4.2</v>
      </c>
      <c r="BT19" s="109">
        <f t="shared" si="66"/>
        <v>2032</v>
      </c>
      <c r="BU19" s="111">
        <f t="shared" si="28"/>
        <v>3.45</v>
      </c>
      <c r="BV19" s="109">
        <v>12</v>
      </c>
      <c r="BW19" s="112">
        <f t="shared" si="29"/>
        <v>3.4500000000000006</v>
      </c>
      <c r="BY19" s="109">
        <f t="shared" si="67"/>
        <v>2032</v>
      </c>
      <c r="BZ19" s="111">
        <f t="shared" si="30"/>
        <v>17.29</v>
      </c>
      <c r="CA19" s="109">
        <v>12</v>
      </c>
      <c r="CB19" s="112">
        <f t="shared" si="31"/>
        <v>17.29</v>
      </c>
      <c r="CD19" s="109">
        <f t="shared" si="68"/>
        <v>2032</v>
      </c>
      <c r="CE19" s="111">
        <f t="shared" si="32"/>
        <v>9.93</v>
      </c>
      <c r="CF19" s="109">
        <v>12</v>
      </c>
      <c r="CG19" s="112">
        <f t="shared" si="33"/>
        <v>9.93</v>
      </c>
      <c r="CI19" s="243">
        <f t="shared" si="69"/>
        <v>2032</v>
      </c>
      <c r="CJ19" s="111">
        <f t="shared" si="34"/>
        <v>32.340105412971653</v>
      </c>
      <c r="CK19" s="109">
        <v>12</v>
      </c>
      <c r="CL19" s="112">
        <f t="shared" si="35"/>
        <v>32.340105412971653</v>
      </c>
      <c r="CN19" s="109">
        <f t="shared" si="70"/>
        <v>2032</v>
      </c>
      <c r="CO19" s="111">
        <f t="shared" si="36"/>
        <v>13.01</v>
      </c>
      <c r="CP19" s="109">
        <v>12</v>
      </c>
      <c r="CQ19" s="112">
        <f t="shared" si="37"/>
        <v>13.01</v>
      </c>
      <c r="CS19" s="109">
        <f t="shared" si="71"/>
        <v>2032</v>
      </c>
      <c r="CT19" s="111">
        <f t="shared" si="38"/>
        <v>6.88</v>
      </c>
      <c r="CU19" s="109">
        <v>12</v>
      </c>
      <c r="CV19" s="112">
        <f t="shared" si="39"/>
        <v>6.88</v>
      </c>
      <c r="CX19" s="109">
        <f t="shared" si="72"/>
        <v>2032</v>
      </c>
      <c r="CY19" s="111">
        <f t="shared" si="40"/>
        <v>4.51</v>
      </c>
      <c r="CZ19" s="109">
        <v>12</v>
      </c>
      <c r="DA19" s="112">
        <f t="shared" si="41"/>
        <v>4.51</v>
      </c>
      <c r="DC19" s="109">
        <f t="shared" si="73"/>
        <v>2032</v>
      </c>
      <c r="DD19" s="111">
        <f t="shared" si="42"/>
        <v>2.2799999999999998</v>
      </c>
      <c r="DE19" s="109">
        <v>12</v>
      </c>
      <c r="DF19" s="112">
        <f t="shared" si="43"/>
        <v>2.2799999999999998</v>
      </c>
      <c r="DH19" s="109">
        <f t="shared" si="74"/>
        <v>2032</v>
      </c>
      <c r="DI19" s="111">
        <f t="shared" si="44"/>
        <v>21.57</v>
      </c>
      <c r="DJ19" s="109">
        <v>12</v>
      </c>
      <c r="DK19" s="112">
        <f t="shared" si="45"/>
        <v>21.570000000000004</v>
      </c>
      <c r="DM19" s="109">
        <f t="shared" si="75"/>
        <v>2032</v>
      </c>
      <c r="DN19" s="111">
        <f t="shared" si="46"/>
        <v>0.92</v>
      </c>
      <c r="DO19" s="109">
        <v>12</v>
      </c>
      <c r="DP19" s="112">
        <f t="shared" si="47"/>
        <v>0.92</v>
      </c>
      <c r="DR19" s="109">
        <f t="shared" si="76"/>
        <v>2032</v>
      </c>
      <c r="DS19" s="111">
        <f t="shared" si="48"/>
        <v>7.59</v>
      </c>
      <c r="DT19" s="109">
        <v>12</v>
      </c>
      <c r="DU19" s="112">
        <f t="shared" si="49"/>
        <v>7.59</v>
      </c>
      <c r="DW19" s="243">
        <f t="shared" si="77"/>
        <v>2032</v>
      </c>
      <c r="DX19" s="111">
        <f t="shared" si="50"/>
        <v>49.075266518782016</v>
      </c>
      <c r="DY19" s="109">
        <v>12</v>
      </c>
      <c r="DZ19" s="112">
        <f t="shared" si="51"/>
        <v>49.075266518782009</v>
      </c>
    </row>
    <row r="20" spans="2:130">
      <c r="B20" s="109">
        <f t="shared" si="52"/>
        <v>2033</v>
      </c>
      <c r="C20" s="111">
        <f t="shared" si="0"/>
        <v>149.5</v>
      </c>
      <c r="D20" s="109">
        <v>12</v>
      </c>
      <c r="E20" s="112">
        <f t="shared" si="1"/>
        <v>149.5</v>
      </c>
      <c r="G20" s="109">
        <f t="shared" si="53"/>
        <v>2033</v>
      </c>
      <c r="H20" s="111">
        <f t="shared" si="2"/>
        <v>2.73</v>
      </c>
      <c r="I20" s="109">
        <v>12</v>
      </c>
      <c r="J20" s="112">
        <f t="shared" si="3"/>
        <v>2.73</v>
      </c>
      <c r="L20" s="109">
        <f t="shared" si="54"/>
        <v>2033</v>
      </c>
      <c r="M20" s="111">
        <f t="shared" si="4"/>
        <v>44.27</v>
      </c>
      <c r="N20" s="109">
        <v>12</v>
      </c>
      <c r="O20" s="112">
        <f t="shared" si="5"/>
        <v>44.27</v>
      </c>
      <c r="Q20" s="109">
        <f t="shared" si="55"/>
        <v>2033</v>
      </c>
      <c r="R20" s="111">
        <f t="shared" si="6"/>
        <v>43.82</v>
      </c>
      <c r="S20" s="109">
        <v>12</v>
      </c>
      <c r="T20" s="112">
        <f t="shared" si="7"/>
        <v>43.82</v>
      </c>
      <c r="V20" s="109">
        <f t="shared" si="56"/>
        <v>2033</v>
      </c>
      <c r="W20" s="111">
        <f t="shared" si="8"/>
        <v>11.92</v>
      </c>
      <c r="X20" s="109">
        <v>12</v>
      </c>
      <c r="Y20" s="112">
        <f t="shared" si="9"/>
        <v>11.92</v>
      </c>
      <c r="AA20" s="109">
        <f t="shared" si="57"/>
        <v>2033</v>
      </c>
      <c r="AB20" s="111">
        <f t="shared" si="10"/>
        <v>0</v>
      </c>
      <c r="AC20" s="109">
        <v>12</v>
      </c>
      <c r="AD20" s="112">
        <f t="shared" si="11"/>
        <v>0</v>
      </c>
      <c r="AF20" s="109">
        <f t="shared" si="58"/>
        <v>2033</v>
      </c>
      <c r="AG20" s="111">
        <f t="shared" si="12"/>
        <v>72.5</v>
      </c>
      <c r="AH20" s="109">
        <v>12</v>
      </c>
      <c r="AI20" s="112">
        <f t="shared" si="13"/>
        <v>72.5</v>
      </c>
      <c r="AK20" s="109">
        <f t="shared" si="59"/>
        <v>2033</v>
      </c>
      <c r="AL20" s="111">
        <f t="shared" si="14"/>
        <v>31.89</v>
      </c>
      <c r="AM20" s="109">
        <v>12</v>
      </c>
      <c r="AN20" s="112">
        <f t="shared" si="15"/>
        <v>31.89</v>
      </c>
      <c r="AP20" s="109">
        <f t="shared" si="60"/>
        <v>2033</v>
      </c>
      <c r="AQ20" s="111">
        <f t="shared" si="16"/>
        <v>62.51</v>
      </c>
      <c r="AR20" s="109">
        <v>12</v>
      </c>
      <c r="AS20" s="112">
        <f t="shared" si="17"/>
        <v>62.51</v>
      </c>
      <c r="AU20" s="109">
        <f t="shared" si="61"/>
        <v>2033</v>
      </c>
      <c r="AV20" s="111">
        <f t="shared" si="18"/>
        <v>0</v>
      </c>
      <c r="AW20" s="109">
        <v>12</v>
      </c>
      <c r="AX20" s="112">
        <f t="shared" si="19"/>
        <v>0</v>
      </c>
      <c r="AZ20" s="243">
        <f t="shared" si="62"/>
        <v>2033</v>
      </c>
      <c r="BA20" s="111">
        <f t="shared" si="20"/>
        <v>69.933537183487118</v>
      </c>
      <c r="BB20" s="109">
        <v>12</v>
      </c>
      <c r="BC20" s="112">
        <f t="shared" si="21"/>
        <v>69.933537183487118</v>
      </c>
      <c r="BE20" s="109">
        <f t="shared" si="63"/>
        <v>2033</v>
      </c>
      <c r="BF20" s="111">
        <f t="shared" si="22"/>
        <v>1</v>
      </c>
      <c r="BG20" s="109">
        <v>12</v>
      </c>
      <c r="BH20" s="112">
        <f t="shared" si="23"/>
        <v>1</v>
      </c>
      <c r="BJ20" s="109">
        <f t="shared" si="64"/>
        <v>2033</v>
      </c>
      <c r="BK20" s="111">
        <f t="shared" si="24"/>
        <v>8.5</v>
      </c>
      <c r="BL20" s="109">
        <v>12</v>
      </c>
      <c r="BM20" s="112">
        <f t="shared" si="25"/>
        <v>8.5</v>
      </c>
      <c r="BO20" s="109">
        <f t="shared" si="65"/>
        <v>2033</v>
      </c>
      <c r="BP20" s="111">
        <f t="shared" si="26"/>
        <v>4.3</v>
      </c>
      <c r="BQ20" s="109">
        <v>12</v>
      </c>
      <c r="BR20" s="112">
        <f t="shared" si="27"/>
        <v>4.3</v>
      </c>
      <c r="BT20" s="109">
        <f t="shared" si="66"/>
        <v>2033</v>
      </c>
      <c r="BU20" s="111">
        <f t="shared" si="28"/>
        <v>3.53</v>
      </c>
      <c r="BV20" s="109">
        <v>12</v>
      </c>
      <c r="BW20" s="112">
        <f t="shared" si="29"/>
        <v>3.53</v>
      </c>
      <c r="BY20" s="109">
        <f t="shared" si="67"/>
        <v>2033</v>
      </c>
      <c r="BZ20" s="111">
        <f t="shared" si="30"/>
        <v>17.68</v>
      </c>
      <c r="CA20" s="109">
        <v>12</v>
      </c>
      <c r="CB20" s="112">
        <f t="shared" si="31"/>
        <v>17.68</v>
      </c>
      <c r="CD20" s="109">
        <f t="shared" si="68"/>
        <v>2033</v>
      </c>
      <c r="CE20" s="111">
        <f t="shared" si="32"/>
        <v>10.16</v>
      </c>
      <c r="CF20" s="109">
        <v>12</v>
      </c>
      <c r="CG20" s="112">
        <f t="shared" si="33"/>
        <v>10.16</v>
      </c>
      <c r="CI20" s="109">
        <f t="shared" si="69"/>
        <v>2033</v>
      </c>
      <c r="CJ20" s="111">
        <f t="shared" si="34"/>
        <v>33.07</v>
      </c>
      <c r="CK20" s="109">
        <v>12</v>
      </c>
      <c r="CL20" s="112">
        <f t="shared" si="35"/>
        <v>33.07</v>
      </c>
      <c r="CN20" s="109">
        <f t="shared" si="70"/>
        <v>2033</v>
      </c>
      <c r="CO20" s="111">
        <f t="shared" si="36"/>
        <v>13.31</v>
      </c>
      <c r="CP20" s="109">
        <v>12</v>
      </c>
      <c r="CQ20" s="112">
        <f t="shared" si="37"/>
        <v>13.31</v>
      </c>
      <c r="CS20" s="109">
        <f t="shared" si="71"/>
        <v>2033</v>
      </c>
      <c r="CT20" s="111">
        <f t="shared" si="38"/>
        <v>7.04</v>
      </c>
      <c r="CU20" s="109">
        <v>12</v>
      </c>
      <c r="CV20" s="112">
        <f t="shared" si="39"/>
        <v>7.04</v>
      </c>
      <c r="CX20" s="109">
        <f t="shared" si="72"/>
        <v>2033</v>
      </c>
      <c r="CY20" s="111">
        <f t="shared" si="40"/>
        <v>4.6100000000000003</v>
      </c>
      <c r="CZ20" s="109">
        <v>12</v>
      </c>
      <c r="DA20" s="112">
        <f t="shared" si="41"/>
        <v>4.6100000000000003</v>
      </c>
      <c r="DC20" s="109">
        <f t="shared" si="73"/>
        <v>2033</v>
      </c>
      <c r="DD20" s="111">
        <f t="shared" si="42"/>
        <v>2.33</v>
      </c>
      <c r="DE20" s="109">
        <v>12</v>
      </c>
      <c r="DF20" s="112">
        <f t="shared" si="43"/>
        <v>2.33</v>
      </c>
      <c r="DH20" s="109">
        <f t="shared" si="74"/>
        <v>2033</v>
      </c>
      <c r="DI20" s="111">
        <f t="shared" si="44"/>
        <v>22.06</v>
      </c>
      <c r="DJ20" s="109">
        <v>12</v>
      </c>
      <c r="DK20" s="112">
        <f t="shared" si="45"/>
        <v>22.06</v>
      </c>
      <c r="DM20" s="109">
        <f t="shared" si="75"/>
        <v>2033</v>
      </c>
      <c r="DN20" s="111">
        <f t="shared" si="46"/>
        <v>0.94</v>
      </c>
      <c r="DO20" s="109">
        <v>12</v>
      </c>
      <c r="DP20" s="112">
        <f t="shared" si="47"/>
        <v>0.94</v>
      </c>
      <c r="DR20" s="109">
        <f t="shared" si="76"/>
        <v>2033</v>
      </c>
      <c r="DS20" s="111">
        <f t="shared" si="48"/>
        <v>7.76</v>
      </c>
      <c r="DT20" s="109">
        <v>12</v>
      </c>
      <c r="DU20" s="112">
        <f t="shared" si="49"/>
        <v>7.7600000000000007</v>
      </c>
      <c r="DW20" s="109">
        <f t="shared" si="77"/>
        <v>2033</v>
      </c>
      <c r="DX20" s="111">
        <f t="shared" si="50"/>
        <v>50.19</v>
      </c>
      <c r="DY20" s="109">
        <v>12</v>
      </c>
      <c r="DZ20" s="112">
        <f t="shared" si="51"/>
        <v>50.19</v>
      </c>
    </row>
    <row r="21" spans="2:130">
      <c r="B21" s="109">
        <f t="shared" si="52"/>
        <v>2034</v>
      </c>
      <c r="C21" s="111">
        <f t="shared" si="0"/>
        <v>152.88999999999999</v>
      </c>
      <c r="D21" s="109">
        <v>12</v>
      </c>
      <c r="E21" s="112">
        <f t="shared" si="1"/>
        <v>152.88999999999999</v>
      </c>
      <c r="G21" s="109">
        <f t="shared" si="53"/>
        <v>2034</v>
      </c>
      <c r="H21" s="111">
        <f t="shared" si="2"/>
        <v>2.79</v>
      </c>
      <c r="I21" s="109">
        <v>12</v>
      </c>
      <c r="J21" s="112">
        <f t="shared" si="3"/>
        <v>2.7900000000000005</v>
      </c>
      <c r="L21" s="109">
        <f t="shared" si="54"/>
        <v>2034</v>
      </c>
      <c r="M21" s="111">
        <f t="shared" si="4"/>
        <v>45.27</v>
      </c>
      <c r="N21" s="109">
        <v>12</v>
      </c>
      <c r="O21" s="112">
        <f t="shared" si="5"/>
        <v>45.27</v>
      </c>
      <c r="Q21" s="109">
        <f t="shared" si="55"/>
        <v>2034</v>
      </c>
      <c r="R21" s="111">
        <f t="shared" si="6"/>
        <v>44.81</v>
      </c>
      <c r="S21" s="109">
        <v>12</v>
      </c>
      <c r="T21" s="112">
        <f t="shared" si="7"/>
        <v>44.81</v>
      </c>
      <c r="V21" s="109">
        <f t="shared" si="56"/>
        <v>2034</v>
      </c>
      <c r="W21" s="111">
        <f t="shared" si="8"/>
        <v>12.19</v>
      </c>
      <c r="X21" s="109">
        <v>12</v>
      </c>
      <c r="Y21" s="112">
        <f t="shared" si="9"/>
        <v>12.19</v>
      </c>
      <c r="AA21" s="109">
        <f t="shared" si="57"/>
        <v>2034</v>
      </c>
      <c r="AB21" s="111">
        <f t="shared" si="10"/>
        <v>0</v>
      </c>
      <c r="AC21" s="109">
        <v>12</v>
      </c>
      <c r="AD21" s="112">
        <f t="shared" si="11"/>
        <v>0</v>
      </c>
      <c r="AF21" s="109">
        <f t="shared" si="58"/>
        <v>2034</v>
      </c>
      <c r="AG21" s="111">
        <f t="shared" si="12"/>
        <v>74.150000000000006</v>
      </c>
      <c r="AH21" s="109">
        <v>12</v>
      </c>
      <c r="AI21" s="112">
        <f t="shared" si="13"/>
        <v>74.150000000000006</v>
      </c>
      <c r="AK21" s="109">
        <f t="shared" si="59"/>
        <v>2034</v>
      </c>
      <c r="AL21" s="111">
        <f t="shared" si="14"/>
        <v>32.61</v>
      </c>
      <c r="AM21" s="109">
        <v>12</v>
      </c>
      <c r="AN21" s="112">
        <f t="shared" si="15"/>
        <v>32.61</v>
      </c>
      <c r="AP21" s="109">
        <f t="shared" si="60"/>
        <v>2034</v>
      </c>
      <c r="AQ21" s="111">
        <f t="shared" si="16"/>
        <v>63.93</v>
      </c>
      <c r="AR21" s="109">
        <v>12</v>
      </c>
      <c r="AS21" s="112">
        <f t="shared" si="17"/>
        <v>63.93</v>
      </c>
      <c r="AU21" s="109">
        <f t="shared" si="61"/>
        <v>2034</v>
      </c>
      <c r="AV21" s="111">
        <f t="shared" si="18"/>
        <v>0</v>
      </c>
      <c r="AW21" s="109">
        <v>12</v>
      </c>
      <c r="AX21" s="112">
        <f t="shared" si="19"/>
        <v>0</v>
      </c>
      <c r="AZ21" s="109">
        <f t="shared" si="62"/>
        <v>2034</v>
      </c>
      <c r="BA21" s="111">
        <f t="shared" si="20"/>
        <v>71.52</v>
      </c>
      <c r="BB21" s="109">
        <v>12</v>
      </c>
      <c r="BC21" s="112">
        <f t="shared" si="21"/>
        <v>71.52</v>
      </c>
      <c r="BE21" s="109">
        <f t="shared" si="63"/>
        <v>2034</v>
      </c>
      <c r="BF21" s="111">
        <f t="shared" si="22"/>
        <v>1.02</v>
      </c>
      <c r="BG21" s="109">
        <v>12</v>
      </c>
      <c r="BH21" s="112">
        <f t="shared" si="23"/>
        <v>1.02</v>
      </c>
      <c r="BJ21" s="109">
        <f t="shared" si="64"/>
        <v>2034</v>
      </c>
      <c r="BK21" s="111">
        <f t="shared" si="24"/>
        <v>8.69</v>
      </c>
      <c r="BL21" s="109">
        <v>12</v>
      </c>
      <c r="BM21" s="112">
        <f t="shared" si="25"/>
        <v>8.69</v>
      </c>
      <c r="BO21" s="109">
        <f t="shared" si="65"/>
        <v>2034</v>
      </c>
      <c r="BP21" s="111">
        <f t="shared" si="26"/>
        <v>4.4000000000000004</v>
      </c>
      <c r="BQ21" s="109">
        <v>12</v>
      </c>
      <c r="BR21" s="112">
        <f t="shared" si="27"/>
        <v>4.4000000000000004</v>
      </c>
      <c r="BT21" s="109">
        <f t="shared" si="66"/>
        <v>2034</v>
      </c>
      <c r="BU21" s="111">
        <f t="shared" si="28"/>
        <v>3.61</v>
      </c>
      <c r="BV21" s="109">
        <v>12</v>
      </c>
      <c r="BW21" s="112">
        <f t="shared" si="29"/>
        <v>3.61</v>
      </c>
      <c r="BY21" s="109">
        <f t="shared" si="67"/>
        <v>2034</v>
      </c>
      <c r="BZ21" s="111">
        <f t="shared" si="30"/>
        <v>18.079999999999998</v>
      </c>
      <c r="CA21" s="109">
        <v>12</v>
      </c>
      <c r="CB21" s="112">
        <f t="shared" si="31"/>
        <v>18.079999999999998</v>
      </c>
      <c r="CD21" s="109">
        <f t="shared" si="68"/>
        <v>2034</v>
      </c>
      <c r="CE21" s="111">
        <f t="shared" si="32"/>
        <v>10.39</v>
      </c>
      <c r="CF21" s="109">
        <v>12</v>
      </c>
      <c r="CG21" s="112">
        <f t="shared" si="33"/>
        <v>10.39</v>
      </c>
      <c r="CI21" s="109">
        <f t="shared" si="69"/>
        <v>2034</v>
      </c>
      <c r="CJ21" s="111">
        <f t="shared" si="34"/>
        <v>33.82</v>
      </c>
      <c r="CK21" s="109">
        <v>12</v>
      </c>
      <c r="CL21" s="112">
        <f t="shared" si="35"/>
        <v>33.82</v>
      </c>
      <c r="CN21" s="109">
        <f t="shared" si="70"/>
        <v>2034</v>
      </c>
      <c r="CO21" s="111">
        <f t="shared" si="36"/>
        <v>13.61</v>
      </c>
      <c r="CP21" s="109">
        <v>12</v>
      </c>
      <c r="CQ21" s="112">
        <f t="shared" si="37"/>
        <v>13.61</v>
      </c>
      <c r="CS21" s="109">
        <f t="shared" si="71"/>
        <v>2034</v>
      </c>
      <c r="CT21" s="111">
        <f t="shared" si="38"/>
        <v>7.2</v>
      </c>
      <c r="CU21" s="109">
        <v>12</v>
      </c>
      <c r="CV21" s="112">
        <f t="shared" si="39"/>
        <v>7.2</v>
      </c>
      <c r="CX21" s="109">
        <f t="shared" si="72"/>
        <v>2034</v>
      </c>
      <c r="CY21" s="111">
        <f t="shared" si="40"/>
        <v>4.71</v>
      </c>
      <c r="CZ21" s="109">
        <v>12</v>
      </c>
      <c r="DA21" s="112">
        <f t="shared" si="41"/>
        <v>4.71</v>
      </c>
      <c r="DC21" s="109">
        <f t="shared" si="73"/>
        <v>2034</v>
      </c>
      <c r="DD21" s="111">
        <f t="shared" si="42"/>
        <v>2.38</v>
      </c>
      <c r="DE21" s="109">
        <v>12</v>
      </c>
      <c r="DF21" s="112">
        <f t="shared" si="43"/>
        <v>2.38</v>
      </c>
      <c r="DH21" s="109">
        <f t="shared" si="74"/>
        <v>2034</v>
      </c>
      <c r="DI21" s="111">
        <f t="shared" si="44"/>
        <v>22.56</v>
      </c>
      <c r="DJ21" s="109">
        <v>12</v>
      </c>
      <c r="DK21" s="112">
        <f t="shared" si="45"/>
        <v>22.56</v>
      </c>
      <c r="DM21" s="109">
        <f t="shared" si="75"/>
        <v>2034</v>
      </c>
      <c r="DN21" s="111">
        <f t="shared" si="46"/>
        <v>0.96</v>
      </c>
      <c r="DO21" s="109">
        <v>12</v>
      </c>
      <c r="DP21" s="112">
        <f t="shared" si="47"/>
        <v>0.96</v>
      </c>
      <c r="DR21" s="109">
        <f t="shared" si="76"/>
        <v>2034</v>
      </c>
      <c r="DS21" s="111">
        <f t="shared" si="48"/>
        <v>7.94</v>
      </c>
      <c r="DT21" s="109">
        <v>12</v>
      </c>
      <c r="DU21" s="112">
        <f t="shared" si="49"/>
        <v>7.94</v>
      </c>
      <c r="DW21" s="109">
        <f t="shared" si="77"/>
        <v>2034</v>
      </c>
      <c r="DX21" s="111">
        <f t="shared" si="50"/>
        <v>51.33</v>
      </c>
      <c r="DY21" s="109">
        <v>12</v>
      </c>
      <c r="DZ21" s="112">
        <f t="shared" si="51"/>
        <v>51.330000000000005</v>
      </c>
    </row>
    <row r="22" spans="2:130">
      <c r="B22" s="109">
        <f t="shared" si="52"/>
        <v>2035</v>
      </c>
      <c r="C22" s="111">
        <f t="shared" si="0"/>
        <v>156.36000000000001</v>
      </c>
      <c r="D22" s="109">
        <v>12</v>
      </c>
      <c r="E22" s="112">
        <f t="shared" si="1"/>
        <v>156.36000000000001</v>
      </c>
      <c r="G22" s="109">
        <f t="shared" si="53"/>
        <v>2035</v>
      </c>
      <c r="H22" s="111">
        <f t="shared" si="2"/>
        <v>2.85</v>
      </c>
      <c r="I22" s="109">
        <v>12</v>
      </c>
      <c r="J22" s="112">
        <f t="shared" si="3"/>
        <v>2.85</v>
      </c>
      <c r="L22" s="109">
        <f t="shared" si="54"/>
        <v>2035</v>
      </c>
      <c r="M22" s="111">
        <f t="shared" si="4"/>
        <v>46.3</v>
      </c>
      <c r="N22" s="109">
        <v>12</v>
      </c>
      <c r="O22" s="112">
        <f t="shared" si="5"/>
        <v>46.29999999999999</v>
      </c>
      <c r="Q22" s="109">
        <f t="shared" si="55"/>
        <v>2035</v>
      </c>
      <c r="R22" s="111">
        <f t="shared" si="6"/>
        <v>45.83</v>
      </c>
      <c r="S22" s="109">
        <v>12</v>
      </c>
      <c r="T22" s="112">
        <f t="shared" si="7"/>
        <v>45.830000000000005</v>
      </c>
      <c r="V22" s="109">
        <f t="shared" si="56"/>
        <v>2035</v>
      </c>
      <c r="W22" s="111">
        <f t="shared" si="8"/>
        <v>12.47</v>
      </c>
      <c r="X22" s="109">
        <v>12</v>
      </c>
      <c r="Y22" s="112">
        <f t="shared" si="9"/>
        <v>12.47</v>
      </c>
      <c r="AA22" s="109">
        <f t="shared" si="57"/>
        <v>2035</v>
      </c>
      <c r="AB22" s="111">
        <f t="shared" si="10"/>
        <v>0</v>
      </c>
      <c r="AC22" s="109">
        <v>12</v>
      </c>
      <c r="AD22" s="112">
        <f t="shared" si="11"/>
        <v>0</v>
      </c>
      <c r="AF22" s="109">
        <f t="shared" si="58"/>
        <v>2035</v>
      </c>
      <c r="AG22" s="111">
        <f t="shared" si="12"/>
        <v>75.83</v>
      </c>
      <c r="AH22" s="109">
        <v>12</v>
      </c>
      <c r="AI22" s="112">
        <f t="shared" si="13"/>
        <v>75.83</v>
      </c>
      <c r="AK22" s="109">
        <f t="shared" si="59"/>
        <v>2035</v>
      </c>
      <c r="AL22" s="111">
        <f t="shared" si="14"/>
        <v>33.35</v>
      </c>
      <c r="AM22" s="109">
        <v>12</v>
      </c>
      <c r="AN22" s="112">
        <f t="shared" si="15"/>
        <v>33.35</v>
      </c>
      <c r="AP22" s="109">
        <f t="shared" si="60"/>
        <v>2035</v>
      </c>
      <c r="AQ22" s="111">
        <f t="shared" si="16"/>
        <v>65.38</v>
      </c>
      <c r="AR22" s="109">
        <v>12</v>
      </c>
      <c r="AS22" s="112">
        <f t="shared" si="17"/>
        <v>65.38</v>
      </c>
      <c r="AU22" s="109">
        <f t="shared" si="61"/>
        <v>2035</v>
      </c>
      <c r="AV22" s="111">
        <f t="shared" si="18"/>
        <v>0</v>
      </c>
      <c r="AW22" s="109">
        <v>12</v>
      </c>
      <c r="AX22" s="112">
        <f t="shared" si="19"/>
        <v>0</v>
      </c>
      <c r="AZ22" s="109">
        <f t="shared" si="62"/>
        <v>2035</v>
      </c>
      <c r="BA22" s="111">
        <f t="shared" si="20"/>
        <v>73.14</v>
      </c>
      <c r="BB22" s="109">
        <v>12</v>
      </c>
      <c r="BC22" s="112">
        <f t="shared" si="21"/>
        <v>73.14</v>
      </c>
      <c r="BE22" s="109">
        <f t="shared" si="63"/>
        <v>2035</v>
      </c>
      <c r="BF22" s="111">
        <f t="shared" si="22"/>
        <v>1.04</v>
      </c>
      <c r="BG22" s="109">
        <v>12</v>
      </c>
      <c r="BH22" s="112">
        <f t="shared" si="23"/>
        <v>1.04</v>
      </c>
      <c r="BJ22" s="109">
        <f t="shared" si="64"/>
        <v>2035</v>
      </c>
      <c r="BK22" s="111">
        <f t="shared" si="24"/>
        <v>8.89</v>
      </c>
      <c r="BL22" s="109">
        <v>12</v>
      </c>
      <c r="BM22" s="112">
        <f t="shared" si="25"/>
        <v>8.89</v>
      </c>
      <c r="BO22" s="109">
        <f t="shared" si="65"/>
        <v>2035</v>
      </c>
      <c r="BP22" s="111">
        <f t="shared" si="26"/>
        <v>4.5</v>
      </c>
      <c r="BQ22" s="109">
        <v>12</v>
      </c>
      <c r="BR22" s="112">
        <f t="shared" si="27"/>
        <v>4.5</v>
      </c>
      <c r="BT22" s="109">
        <f t="shared" si="66"/>
        <v>2035</v>
      </c>
      <c r="BU22" s="111">
        <f t="shared" si="28"/>
        <v>3.69</v>
      </c>
      <c r="BV22" s="109">
        <v>12</v>
      </c>
      <c r="BW22" s="112">
        <f t="shared" si="29"/>
        <v>3.69</v>
      </c>
      <c r="BY22" s="109">
        <f t="shared" si="67"/>
        <v>2035</v>
      </c>
      <c r="BZ22" s="111">
        <f t="shared" si="30"/>
        <v>18.489999999999998</v>
      </c>
      <c r="CA22" s="109">
        <v>12</v>
      </c>
      <c r="CB22" s="112">
        <f t="shared" si="31"/>
        <v>18.489999999999998</v>
      </c>
      <c r="CD22" s="109">
        <f t="shared" si="68"/>
        <v>2035</v>
      </c>
      <c r="CE22" s="111">
        <f t="shared" si="32"/>
        <v>10.63</v>
      </c>
      <c r="CF22" s="109">
        <v>12</v>
      </c>
      <c r="CG22" s="112">
        <f t="shared" si="33"/>
        <v>10.63</v>
      </c>
      <c r="CI22" s="109">
        <f t="shared" si="69"/>
        <v>2035</v>
      </c>
      <c r="CJ22" s="111">
        <f t="shared" si="34"/>
        <v>34.590000000000003</v>
      </c>
      <c r="CK22" s="109">
        <v>12</v>
      </c>
      <c r="CL22" s="112">
        <f t="shared" si="35"/>
        <v>34.590000000000003</v>
      </c>
      <c r="CN22" s="109">
        <f t="shared" si="70"/>
        <v>2035</v>
      </c>
      <c r="CO22" s="111">
        <f t="shared" si="36"/>
        <v>13.92</v>
      </c>
      <c r="CP22" s="109">
        <v>12</v>
      </c>
      <c r="CQ22" s="112">
        <f t="shared" si="37"/>
        <v>13.92</v>
      </c>
      <c r="CS22" s="109">
        <f t="shared" si="71"/>
        <v>2035</v>
      </c>
      <c r="CT22" s="111">
        <f t="shared" si="38"/>
        <v>7.36</v>
      </c>
      <c r="CU22" s="109">
        <v>12</v>
      </c>
      <c r="CV22" s="112">
        <f t="shared" si="39"/>
        <v>7.36</v>
      </c>
      <c r="CX22" s="109">
        <f t="shared" si="72"/>
        <v>2035</v>
      </c>
      <c r="CY22" s="111">
        <f t="shared" si="40"/>
        <v>4.82</v>
      </c>
      <c r="CZ22" s="109">
        <v>12</v>
      </c>
      <c r="DA22" s="112">
        <f t="shared" si="41"/>
        <v>4.82</v>
      </c>
      <c r="DC22" s="109">
        <f t="shared" si="73"/>
        <v>2035</v>
      </c>
      <c r="DD22" s="111">
        <f t="shared" si="42"/>
        <v>2.4300000000000002</v>
      </c>
      <c r="DE22" s="109">
        <v>12</v>
      </c>
      <c r="DF22" s="112">
        <f t="shared" si="43"/>
        <v>2.4300000000000002</v>
      </c>
      <c r="DH22" s="109">
        <f t="shared" si="74"/>
        <v>2035</v>
      </c>
      <c r="DI22" s="111">
        <f t="shared" si="44"/>
        <v>23.07</v>
      </c>
      <c r="DJ22" s="109">
        <v>12</v>
      </c>
      <c r="DK22" s="112">
        <f t="shared" si="45"/>
        <v>23.070000000000004</v>
      </c>
      <c r="DM22" s="109">
        <f t="shared" si="75"/>
        <v>2035</v>
      </c>
      <c r="DN22" s="111">
        <f t="shared" si="46"/>
        <v>0.98</v>
      </c>
      <c r="DO22" s="109">
        <v>12</v>
      </c>
      <c r="DP22" s="112">
        <f t="shared" si="47"/>
        <v>0.98</v>
      </c>
      <c r="DR22" s="109">
        <f t="shared" si="76"/>
        <v>2035</v>
      </c>
      <c r="DS22" s="111">
        <f t="shared" si="48"/>
        <v>8.1199999999999992</v>
      </c>
      <c r="DT22" s="109">
        <v>12</v>
      </c>
      <c r="DU22" s="112">
        <f t="shared" si="49"/>
        <v>8.1199999999999992</v>
      </c>
      <c r="DW22" s="109">
        <f t="shared" si="77"/>
        <v>2035</v>
      </c>
      <c r="DX22" s="111">
        <f t="shared" si="50"/>
        <v>52.5</v>
      </c>
      <c r="DY22" s="109">
        <v>12</v>
      </c>
      <c r="DZ22" s="112">
        <f t="shared" si="51"/>
        <v>52.5</v>
      </c>
    </row>
    <row r="23" spans="2:130">
      <c r="B23" s="109">
        <f t="shared" si="52"/>
        <v>2036</v>
      </c>
      <c r="C23" s="111">
        <f t="shared" si="0"/>
        <v>159.91</v>
      </c>
      <c r="D23" s="109">
        <v>12</v>
      </c>
      <c r="E23" s="112">
        <f t="shared" si="1"/>
        <v>159.91</v>
      </c>
      <c r="G23" s="109">
        <f t="shared" si="53"/>
        <v>2036</v>
      </c>
      <c r="H23" s="111">
        <f t="shared" si="2"/>
        <v>2.91</v>
      </c>
      <c r="I23" s="109">
        <v>12</v>
      </c>
      <c r="J23" s="112">
        <f t="shared" si="3"/>
        <v>2.91</v>
      </c>
      <c r="L23" s="109">
        <f t="shared" si="54"/>
        <v>2036</v>
      </c>
      <c r="M23" s="111">
        <f t="shared" si="4"/>
        <v>47.35</v>
      </c>
      <c r="N23" s="109">
        <v>12</v>
      </c>
      <c r="O23" s="112">
        <f t="shared" si="5"/>
        <v>47.35</v>
      </c>
      <c r="Q23" s="109">
        <f t="shared" si="55"/>
        <v>2036</v>
      </c>
      <c r="R23" s="111">
        <f t="shared" si="6"/>
        <v>46.87</v>
      </c>
      <c r="S23" s="109">
        <v>12</v>
      </c>
      <c r="T23" s="112">
        <f t="shared" si="7"/>
        <v>46.87</v>
      </c>
      <c r="V23" s="109">
        <f t="shared" si="56"/>
        <v>2036</v>
      </c>
      <c r="W23" s="111">
        <f t="shared" si="8"/>
        <v>12.75</v>
      </c>
      <c r="X23" s="109">
        <v>12</v>
      </c>
      <c r="Y23" s="112">
        <f t="shared" si="9"/>
        <v>12.75</v>
      </c>
      <c r="AA23" s="109">
        <f t="shared" si="57"/>
        <v>2036</v>
      </c>
      <c r="AB23" s="111">
        <f t="shared" si="10"/>
        <v>0</v>
      </c>
      <c r="AC23" s="109">
        <v>12</v>
      </c>
      <c r="AD23" s="112">
        <f t="shared" si="11"/>
        <v>0</v>
      </c>
      <c r="AF23" s="109">
        <f t="shared" si="58"/>
        <v>2036</v>
      </c>
      <c r="AG23" s="111">
        <f t="shared" si="12"/>
        <v>77.55</v>
      </c>
      <c r="AH23" s="109">
        <v>12</v>
      </c>
      <c r="AI23" s="112">
        <f t="shared" si="13"/>
        <v>77.55</v>
      </c>
      <c r="AK23" s="109">
        <f t="shared" si="59"/>
        <v>2036</v>
      </c>
      <c r="AL23" s="111">
        <f t="shared" si="14"/>
        <v>34.11</v>
      </c>
      <c r="AM23" s="109">
        <v>12</v>
      </c>
      <c r="AN23" s="112">
        <f t="shared" si="15"/>
        <v>34.11</v>
      </c>
      <c r="AP23" s="109">
        <f t="shared" si="60"/>
        <v>2036</v>
      </c>
      <c r="AQ23" s="111">
        <f t="shared" si="16"/>
        <v>66.86</v>
      </c>
      <c r="AR23" s="109">
        <v>12</v>
      </c>
      <c r="AS23" s="112">
        <f t="shared" si="17"/>
        <v>66.86</v>
      </c>
      <c r="AU23" s="109">
        <f t="shared" si="61"/>
        <v>2036</v>
      </c>
      <c r="AV23" s="111">
        <f t="shared" si="18"/>
        <v>0</v>
      </c>
      <c r="AW23" s="109">
        <v>12</v>
      </c>
      <c r="AX23" s="112">
        <f t="shared" si="19"/>
        <v>0</v>
      </c>
      <c r="AZ23" s="109">
        <f t="shared" si="62"/>
        <v>2036</v>
      </c>
      <c r="BA23" s="111">
        <f t="shared" si="20"/>
        <v>74.8</v>
      </c>
      <c r="BB23" s="109">
        <v>12</v>
      </c>
      <c r="BC23" s="112">
        <f t="shared" si="21"/>
        <v>74.8</v>
      </c>
      <c r="BE23" s="109">
        <f t="shared" si="63"/>
        <v>2036</v>
      </c>
      <c r="BF23" s="111">
        <f t="shared" si="22"/>
        <v>1.06</v>
      </c>
      <c r="BG23" s="109">
        <v>12</v>
      </c>
      <c r="BH23" s="112">
        <f t="shared" si="23"/>
        <v>1.06</v>
      </c>
      <c r="BJ23" s="109">
        <f t="shared" si="64"/>
        <v>2036</v>
      </c>
      <c r="BK23" s="111">
        <f t="shared" si="24"/>
        <v>9.09</v>
      </c>
      <c r="BL23" s="109">
        <v>12</v>
      </c>
      <c r="BM23" s="112">
        <f t="shared" si="25"/>
        <v>9.09</v>
      </c>
      <c r="BO23" s="109">
        <f t="shared" si="65"/>
        <v>2036</v>
      </c>
      <c r="BP23" s="111">
        <f t="shared" si="26"/>
        <v>4.5999999999999996</v>
      </c>
      <c r="BQ23" s="109">
        <v>12</v>
      </c>
      <c r="BR23" s="112">
        <f t="shared" si="27"/>
        <v>4.5999999999999996</v>
      </c>
      <c r="BT23" s="109">
        <f t="shared" si="66"/>
        <v>2036</v>
      </c>
      <c r="BU23" s="111">
        <f t="shared" si="28"/>
        <v>3.77</v>
      </c>
      <c r="BV23" s="109">
        <v>12</v>
      </c>
      <c r="BW23" s="112">
        <f t="shared" si="29"/>
        <v>3.77</v>
      </c>
      <c r="BY23" s="109">
        <f t="shared" si="67"/>
        <v>2036</v>
      </c>
      <c r="BZ23" s="111">
        <f t="shared" si="30"/>
        <v>18.91</v>
      </c>
      <c r="CA23" s="109">
        <v>12</v>
      </c>
      <c r="CB23" s="112">
        <f t="shared" si="31"/>
        <v>18.91</v>
      </c>
      <c r="CD23" s="109">
        <f t="shared" si="68"/>
        <v>2036</v>
      </c>
      <c r="CE23" s="111">
        <f t="shared" si="32"/>
        <v>10.87</v>
      </c>
      <c r="CF23" s="109">
        <v>12</v>
      </c>
      <c r="CG23" s="112">
        <f t="shared" si="33"/>
        <v>10.87</v>
      </c>
      <c r="CI23" s="109">
        <f t="shared" si="69"/>
        <v>2036</v>
      </c>
      <c r="CJ23" s="111">
        <f t="shared" si="34"/>
        <v>35.380000000000003</v>
      </c>
      <c r="CK23" s="109">
        <v>12</v>
      </c>
      <c r="CL23" s="112">
        <f t="shared" si="35"/>
        <v>35.380000000000003</v>
      </c>
      <c r="CN23" s="109">
        <f t="shared" si="70"/>
        <v>2036</v>
      </c>
      <c r="CO23" s="111">
        <f t="shared" si="36"/>
        <v>14.24</v>
      </c>
      <c r="CP23" s="109">
        <v>12</v>
      </c>
      <c r="CQ23" s="112">
        <f t="shared" si="37"/>
        <v>14.24</v>
      </c>
      <c r="CS23" s="109">
        <f t="shared" si="71"/>
        <v>2036</v>
      </c>
      <c r="CT23" s="111">
        <f t="shared" si="38"/>
        <v>7.53</v>
      </c>
      <c r="CU23" s="109">
        <v>12</v>
      </c>
      <c r="CV23" s="112">
        <f t="shared" si="39"/>
        <v>7.53</v>
      </c>
      <c r="CX23" s="109">
        <f t="shared" si="72"/>
        <v>2036</v>
      </c>
      <c r="CY23" s="111">
        <f t="shared" si="40"/>
        <v>4.93</v>
      </c>
      <c r="CZ23" s="109">
        <v>12</v>
      </c>
      <c r="DA23" s="112">
        <f t="shared" si="41"/>
        <v>4.93</v>
      </c>
      <c r="DC23" s="109">
        <f t="shared" si="73"/>
        <v>2036</v>
      </c>
      <c r="DD23" s="111">
        <f t="shared" si="42"/>
        <v>2.4900000000000002</v>
      </c>
      <c r="DE23" s="109">
        <v>12</v>
      </c>
      <c r="DF23" s="112">
        <f t="shared" si="43"/>
        <v>2.4900000000000002</v>
      </c>
      <c r="DH23" s="109">
        <f t="shared" si="74"/>
        <v>2036</v>
      </c>
      <c r="DI23" s="111">
        <f t="shared" si="44"/>
        <v>23.59</v>
      </c>
      <c r="DJ23" s="109">
        <v>12</v>
      </c>
      <c r="DK23" s="112">
        <f t="shared" si="45"/>
        <v>23.59</v>
      </c>
      <c r="DM23" s="109">
        <f t="shared" si="75"/>
        <v>2036</v>
      </c>
      <c r="DN23" s="111">
        <f t="shared" si="46"/>
        <v>1</v>
      </c>
      <c r="DO23" s="109">
        <v>12</v>
      </c>
      <c r="DP23" s="112">
        <f t="shared" si="47"/>
        <v>1</v>
      </c>
      <c r="DR23" s="109">
        <f t="shared" si="76"/>
        <v>2036</v>
      </c>
      <c r="DS23" s="111">
        <f t="shared" si="48"/>
        <v>8.3000000000000007</v>
      </c>
      <c r="DT23" s="109">
        <v>12</v>
      </c>
      <c r="DU23" s="112">
        <f t="shared" si="49"/>
        <v>8.3000000000000007</v>
      </c>
      <c r="DW23" s="109">
        <f t="shared" si="77"/>
        <v>2036</v>
      </c>
      <c r="DX23" s="111">
        <f t="shared" si="50"/>
        <v>53.69</v>
      </c>
      <c r="DY23" s="109">
        <v>12</v>
      </c>
      <c r="DZ23" s="112">
        <f t="shared" si="51"/>
        <v>53.69</v>
      </c>
    </row>
    <row r="24" spans="2:130">
      <c r="B24" s="109">
        <f t="shared" si="52"/>
        <v>2037</v>
      </c>
      <c r="C24" s="111">
        <f t="shared" si="0"/>
        <v>163.54</v>
      </c>
      <c r="D24" s="109">
        <v>12</v>
      </c>
      <c r="E24" s="112">
        <f t="shared" si="1"/>
        <v>163.54</v>
      </c>
      <c r="G24" s="109">
        <f t="shared" si="53"/>
        <v>2037</v>
      </c>
      <c r="H24" s="111">
        <f t="shared" si="2"/>
        <v>2.98</v>
      </c>
      <c r="I24" s="109">
        <v>12</v>
      </c>
      <c r="J24" s="112">
        <f t="shared" si="3"/>
        <v>2.98</v>
      </c>
      <c r="L24" s="109">
        <f t="shared" si="54"/>
        <v>2037</v>
      </c>
      <c r="M24" s="111">
        <f t="shared" si="4"/>
        <v>48.42</v>
      </c>
      <c r="N24" s="109">
        <v>12</v>
      </c>
      <c r="O24" s="112">
        <f t="shared" si="5"/>
        <v>48.419999999999995</v>
      </c>
      <c r="Q24" s="109">
        <f t="shared" si="55"/>
        <v>2037</v>
      </c>
      <c r="R24" s="111">
        <f t="shared" si="6"/>
        <v>47.93</v>
      </c>
      <c r="S24" s="109">
        <v>12</v>
      </c>
      <c r="T24" s="112">
        <f t="shared" si="7"/>
        <v>47.93</v>
      </c>
      <c r="V24" s="109">
        <f t="shared" si="56"/>
        <v>2037</v>
      </c>
      <c r="W24" s="111">
        <f t="shared" si="8"/>
        <v>13.04</v>
      </c>
      <c r="X24" s="109">
        <v>12</v>
      </c>
      <c r="Y24" s="112">
        <f t="shared" si="9"/>
        <v>13.04</v>
      </c>
      <c r="AA24" s="109">
        <f t="shared" si="57"/>
        <v>2037</v>
      </c>
      <c r="AB24" s="111">
        <f t="shared" si="10"/>
        <v>0</v>
      </c>
      <c r="AC24" s="109">
        <v>12</v>
      </c>
      <c r="AD24" s="112">
        <f t="shared" si="11"/>
        <v>0</v>
      </c>
      <c r="AF24" s="109">
        <f t="shared" si="58"/>
        <v>2037</v>
      </c>
      <c r="AG24" s="111">
        <f t="shared" si="12"/>
        <v>79.31</v>
      </c>
      <c r="AH24" s="109">
        <v>12</v>
      </c>
      <c r="AI24" s="112">
        <f t="shared" si="13"/>
        <v>79.31</v>
      </c>
      <c r="AK24" s="109">
        <f t="shared" si="59"/>
        <v>2037</v>
      </c>
      <c r="AL24" s="111">
        <f t="shared" si="14"/>
        <v>34.880000000000003</v>
      </c>
      <c r="AM24" s="109">
        <v>12</v>
      </c>
      <c r="AN24" s="112">
        <f t="shared" si="15"/>
        <v>34.880000000000003</v>
      </c>
      <c r="AP24" s="109">
        <f t="shared" si="60"/>
        <v>2037</v>
      </c>
      <c r="AQ24" s="111">
        <f t="shared" si="16"/>
        <v>68.38</v>
      </c>
      <c r="AR24" s="109">
        <v>12</v>
      </c>
      <c r="AS24" s="112">
        <f t="shared" si="17"/>
        <v>68.38</v>
      </c>
      <c r="AU24" s="243">
        <f t="shared" si="61"/>
        <v>2037</v>
      </c>
      <c r="AV24" s="111">
        <f t="shared" si="18"/>
        <v>26.102136404246441</v>
      </c>
      <c r="AW24" s="109">
        <v>12</v>
      </c>
      <c r="AX24" s="112">
        <f t="shared" si="19"/>
        <v>26.102136404246441</v>
      </c>
      <c r="AZ24" s="109">
        <f t="shared" si="62"/>
        <v>2037</v>
      </c>
      <c r="BA24" s="111">
        <f t="shared" si="20"/>
        <v>76.5</v>
      </c>
      <c r="BB24" s="109">
        <v>12</v>
      </c>
      <c r="BC24" s="112">
        <f t="shared" si="21"/>
        <v>76.5</v>
      </c>
      <c r="BE24" s="109">
        <f t="shared" si="63"/>
        <v>2037</v>
      </c>
      <c r="BF24" s="111">
        <f t="shared" si="22"/>
        <v>1.08</v>
      </c>
      <c r="BG24" s="109">
        <v>12</v>
      </c>
      <c r="BH24" s="112">
        <f t="shared" si="23"/>
        <v>1.08</v>
      </c>
      <c r="BJ24" s="109">
        <f t="shared" si="64"/>
        <v>2037</v>
      </c>
      <c r="BK24" s="111">
        <f t="shared" si="24"/>
        <v>9.3000000000000007</v>
      </c>
      <c r="BL24" s="109">
        <v>12</v>
      </c>
      <c r="BM24" s="112">
        <f t="shared" si="25"/>
        <v>9.3000000000000007</v>
      </c>
      <c r="BO24" s="109">
        <f t="shared" si="65"/>
        <v>2037</v>
      </c>
      <c r="BP24" s="111">
        <f t="shared" si="26"/>
        <v>4.7</v>
      </c>
      <c r="BQ24" s="109">
        <v>12</v>
      </c>
      <c r="BR24" s="112">
        <f t="shared" si="27"/>
        <v>4.7</v>
      </c>
      <c r="BT24" s="109">
        <f t="shared" si="66"/>
        <v>2037</v>
      </c>
      <c r="BU24" s="111">
        <f t="shared" si="28"/>
        <v>3.86</v>
      </c>
      <c r="BV24" s="109">
        <v>12</v>
      </c>
      <c r="BW24" s="112">
        <f t="shared" si="29"/>
        <v>3.86</v>
      </c>
      <c r="BY24" s="109">
        <f t="shared" si="67"/>
        <v>2037</v>
      </c>
      <c r="BZ24" s="111">
        <f t="shared" si="30"/>
        <v>19.34</v>
      </c>
      <c r="CA24" s="109">
        <v>12</v>
      </c>
      <c r="CB24" s="112">
        <f t="shared" si="31"/>
        <v>19.34</v>
      </c>
      <c r="CD24" s="109">
        <f t="shared" si="68"/>
        <v>2037</v>
      </c>
      <c r="CE24" s="111">
        <f t="shared" si="32"/>
        <v>11.12</v>
      </c>
      <c r="CF24" s="109">
        <v>12</v>
      </c>
      <c r="CG24" s="112">
        <f t="shared" si="33"/>
        <v>11.12</v>
      </c>
      <c r="CI24" s="109">
        <f t="shared" si="69"/>
        <v>2037</v>
      </c>
      <c r="CJ24" s="111">
        <f t="shared" si="34"/>
        <v>36.18</v>
      </c>
      <c r="CK24" s="109">
        <v>12</v>
      </c>
      <c r="CL24" s="112">
        <f t="shared" si="35"/>
        <v>36.18</v>
      </c>
      <c r="CN24" s="109">
        <f t="shared" si="70"/>
        <v>2037</v>
      </c>
      <c r="CO24" s="111">
        <f t="shared" si="36"/>
        <v>14.56</v>
      </c>
      <c r="CP24" s="109">
        <v>12</v>
      </c>
      <c r="CQ24" s="112">
        <f t="shared" si="37"/>
        <v>14.56</v>
      </c>
      <c r="CS24" s="109">
        <f t="shared" si="71"/>
        <v>2037</v>
      </c>
      <c r="CT24" s="111">
        <f t="shared" si="38"/>
        <v>7.7</v>
      </c>
      <c r="CU24" s="109">
        <v>12</v>
      </c>
      <c r="CV24" s="112">
        <f t="shared" si="39"/>
        <v>7.7</v>
      </c>
      <c r="CX24" s="109">
        <f t="shared" si="72"/>
        <v>2037</v>
      </c>
      <c r="CY24" s="111">
        <f t="shared" si="40"/>
        <v>5.04</v>
      </c>
      <c r="CZ24" s="109">
        <v>12</v>
      </c>
      <c r="DA24" s="112">
        <f t="shared" si="41"/>
        <v>5.04</v>
      </c>
      <c r="DC24" s="109">
        <f t="shared" si="73"/>
        <v>2037</v>
      </c>
      <c r="DD24" s="111">
        <f t="shared" si="42"/>
        <v>2.5499999999999998</v>
      </c>
      <c r="DE24" s="109">
        <v>12</v>
      </c>
      <c r="DF24" s="112">
        <f t="shared" si="43"/>
        <v>2.5499999999999998</v>
      </c>
      <c r="DH24" s="109">
        <f t="shared" si="74"/>
        <v>2037</v>
      </c>
      <c r="DI24" s="111">
        <f t="shared" si="44"/>
        <v>24.13</v>
      </c>
      <c r="DJ24" s="109">
        <v>12</v>
      </c>
      <c r="DK24" s="112">
        <f t="shared" si="45"/>
        <v>24.13</v>
      </c>
      <c r="DM24" s="109">
        <f t="shared" si="75"/>
        <v>2037</v>
      </c>
      <c r="DN24" s="111">
        <f t="shared" si="46"/>
        <v>1.02</v>
      </c>
      <c r="DO24" s="109">
        <v>12</v>
      </c>
      <c r="DP24" s="112">
        <f t="shared" si="47"/>
        <v>1.02</v>
      </c>
      <c r="DR24" s="109">
        <f t="shared" si="76"/>
        <v>2037</v>
      </c>
      <c r="DS24" s="111">
        <f t="shared" si="48"/>
        <v>8.49</v>
      </c>
      <c r="DT24" s="109">
        <v>12</v>
      </c>
      <c r="DU24" s="112">
        <f t="shared" si="49"/>
        <v>8.49</v>
      </c>
      <c r="DW24" s="109">
        <f t="shared" si="77"/>
        <v>2037</v>
      </c>
      <c r="DX24" s="111">
        <f t="shared" si="50"/>
        <v>54.91</v>
      </c>
      <c r="DY24" s="109">
        <v>12</v>
      </c>
      <c r="DZ24" s="112">
        <f t="shared" si="51"/>
        <v>54.91</v>
      </c>
    </row>
    <row r="25" spans="2:130">
      <c r="B25" s="109">
        <f t="shared" si="52"/>
        <v>2038</v>
      </c>
      <c r="C25" s="111">
        <f t="shared" si="0"/>
        <v>167.25</v>
      </c>
      <c r="D25" s="109">
        <v>12</v>
      </c>
      <c r="E25" s="112">
        <f t="shared" si="1"/>
        <v>167.25</v>
      </c>
      <c r="G25" s="109">
        <f t="shared" si="53"/>
        <v>2038</v>
      </c>
      <c r="H25" s="111">
        <f t="shared" si="2"/>
        <v>3.05</v>
      </c>
      <c r="I25" s="109">
        <v>12</v>
      </c>
      <c r="J25" s="112">
        <f t="shared" si="3"/>
        <v>3.0499999999999994</v>
      </c>
      <c r="L25" s="109">
        <f t="shared" si="54"/>
        <v>2038</v>
      </c>
      <c r="M25" s="111">
        <f t="shared" si="4"/>
        <v>49.52</v>
      </c>
      <c r="N25" s="109">
        <v>12</v>
      </c>
      <c r="O25" s="112">
        <f t="shared" si="5"/>
        <v>49.52</v>
      </c>
      <c r="Q25" s="109">
        <f t="shared" si="55"/>
        <v>2038</v>
      </c>
      <c r="R25" s="111">
        <f t="shared" si="6"/>
        <v>49.02</v>
      </c>
      <c r="S25" s="109">
        <v>12</v>
      </c>
      <c r="T25" s="112">
        <f t="shared" si="7"/>
        <v>49.02</v>
      </c>
      <c r="V25" s="109">
        <f t="shared" si="56"/>
        <v>2038</v>
      </c>
      <c r="W25" s="111">
        <f t="shared" si="8"/>
        <v>13.34</v>
      </c>
      <c r="X25" s="109">
        <v>12</v>
      </c>
      <c r="Y25" s="112">
        <f t="shared" si="9"/>
        <v>13.339999999999998</v>
      </c>
      <c r="AA25" s="109">
        <f t="shared" si="57"/>
        <v>2038</v>
      </c>
      <c r="AB25" s="111">
        <f t="shared" si="10"/>
        <v>0</v>
      </c>
      <c r="AC25" s="109">
        <v>12</v>
      </c>
      <c r="AD25" s="112">
        <f t="shared" si="11"/>
        <v>0</v>
      </c>
      <c r="AF25" s="109">
        <f t="shared" si="58"/>
        <v>2038</v>
      </c>
      <c r="AG25" s="111">
        <f t="shared" si="12"/>
        <v>81.11</v>
      </c>
      <c r="AH25" s="109">
        <v>12</v>
      </c>
      <c r="AI25" s="112">
        <f t="shared" si="13"/>
        <v>81.11</v>
      </c>
      <c r="AK25" s="109">
        <f t="shared" si="59"/>
        <v>2038</v>
      </c>
      <c r="AL25" s="111">
        <f t="shared" si="14"/>
        <v>35.67</v>
      </c>
      <c r="AM25" s="109">
        <v>12</v>
      </c>
      <c r="AN25" s="112">
        <f t="shared" si="15"/>
        <v>35.67</v>
      </c>
      <c r="AP25" s="109">
        <f t="shared" si="60"/>
        <v>2038</v>
      </c>
      <c r="AQ25" s="111">
        <f t="shared" si="16"/>
        <v>69.930000000000007</v>
      </c>
      <c r="AR25" s="109">
        <v>12</v>
      </c>
      <c r="AS25" s="112">
        <f t="shared" si="17"/>
        <v>69.930000000000007</v>
      </c>
      <c r="AU25" s="109">
        <f t="shared" si="61"/>
        <v>2038</v>
      </c>
      <c r="AV25" s="111">
        <f t="shared" si="18"/>
        <v>26.69</v>
      </c>
      <c r="AW25" s="109">
        <v>12</v>
      </c>
      <c r="AX25" s="112">
        <f t="shared" si="19"/>
        <v>26.69</v>
      </c>
      <c r="AZ25" s="109">
        <f t="shared" si="62"/>
        <v>2038</v>
      </c>
      <c r="BA25" s="111">
        <f t="shared" si="20"/>
        <v>78.239999999999995</v>
      </c>
      <c r="BB25" s="109">
        <v>12</v>
      </c>
      <c r="BC25" s="112">
        <f t="shared" si="21"/>
        <v>78.239999999999995</v>
      </c>
      <c r="BE25" s="109">
        <f t="shared" si="63"/>
        <v>2038</v>
      </c>
      <c r="BF25" s="111">
        <f t="shared" si="22"/>
        <v>1.1000000000000001</v>
      </c>
      <c r="BG25" s="109">
        <v>12</v>
      </c>
      <c r="BH25" s="112">
        <f t="shared" si="23"/>
        <v>1.1000000000000001</v>
      </c>
      <c r="BJ25" s="109">
        <f t="shared" si="64"/>
        <v>2038</v>
      </c>
      <c r="BK25" s="111">
        <f t="shared" si="24"/>
        <v>9.51</v>
      </c>
      <c r="BL25" s="109">
        <v>12</v>
      </c>
      <c r="BM25" s="112">
        <f t="shared" si="25"/>
        <v>9.51</v>
      </c>
      <c r="BO25" s="109">
        <f t="shared" si="65"/>
        <v>2038</v>
      </c>
      <c r="BP25" s="111">
        <f t="shared" si="26"/>
        <v>4.8099999999999996</v>
      </c>
      <c r="BQ25" s="109">
        <v>12</v>
      </c>
      <c r="BR25" s="112">
        <f t="shared" si="27"/>
        <v>4.8099999999999996</v>
      </c>
      <c r="BT25" s="109">
        <f t="shared" si="66"/>
        <v>2038</v>
      </c>
      <c r="BU25" s="111">
        <f t="shared" si="28"/>
        <v>3.95</v>
      </c>
      <c r="BV25" s="109">
        <v>12</v>
      </c>
      <c r="BW25" s="112">
        <f t="shared" si="29"/>
        <v>3.9500000000000006</v>
      </c>
      <c r="BY25" s="109">
        <f t="shared" si="67"/>
        <v>2038</v>
      </c>
      <c r="BZ25" s="111">
        <f t="shared" si="30"/>
        <v>19.78</v>
      </c>
      <c r="CA25" s="109">
        <v>12</v>
      </c>
      <c r="CB25" s="112">
        <f t="shared" si="31"/>
        <v>19.78</v>
      </c>
      <c r="CD25" s="109">
        <f t="shared" si="68"/>
        <v>2038</v>
      </c>
      <c r="CE25" s="111">
        <f t="shared" si="32"/>
        <v>11.37</v>
      </c>
      <c r="CF25" s="109">
        <v>12</v>
      </c>
      <c r="CG25" s="112">
        <f t="shared" si="33"/>
        <v>11.37</v>
      </c>
      <c r="CI25" s="109">
        <f t="shared" si="69"/>
        <v>2038</v>
      </c>
      <c r="CJ25" s="111">
        <f t="shared" si="34"/>
        <v>37</v>
      </c>
      <c r="CK25" s="109">
        <v>12</v>
      </c>
      <c r="CL25" s="112">
        <f t="shared" si="35"/>
        <v>37</v>
      </c>
      <c r="CN25" s="109">
        <f t="shared" si="70"/>
        <v>2038</v>
      </c>
      <c r="CO25" s="111">
        <f t="shared" si="36"/>
        <v>14.89</v>
      </c>
      <c r="CP25" s="109">
        <v>12</v>
      </c>
      <c r="CQ25" s="112">
        <f t="shared" si="37"/>
        <v>14.89</v>
      </c>
      <c r="CS25" s="109">
        <f t="shared" si="71"/>
        <v>2038</v>
      </c>
      <c r="CT25" s="111">
        <f t="shared" si="38"/>
        <v>7.87</v>
      </c>
      <c r="CU25" s="109">
        <v>12</v>
      </c>
      <c r="CV25" s="112">
        <f t="shared" si="39"/>
        <v>7.87</v>
      </c>
      <c r="CX25" s="109">
        <f t="shared" si="72"/>
        <v>2038</v>
      </c>
      <c r="CY25" s="111">
        <f t="shared" si="40"/>
        <v>5.15</v>
      </c>
      <c r="CZ25" s="109">
        <v>12</v>
      </c>
      <c r="DA25" s="112">
        <f t="shared" si="41"/>
        <v>5.15</v>
      </c>
      <c r="DC25" s="109">
        <f t="shared" si="73"/>
        <v>2038</v>
      </c>
      <c r="DD25" s="111">
        <f t="shared" si="42"/>
        <v>2.61</v>
      </c>
      <c r="DE25" s="109">
        <v>12</v>
      </c>
      <c r="DF25" s="112">
        <f t="shared" si="43"/>
        <v>2.61</v>
      </c>
      <c r="DH25" s="109">
        <f t="shared" si="74"/>
        <v>2038</v>
      </c>
      <c r="DI25" s="111">
        <f t="shared" si="44"/>
        <v>24.68</v>
      </c>
      <c r="DJ25" s="109">
        <v>12</v>
      </c>
      <c r="DK25" s="112">
        <f t="shared" si="45"/>
        <v>24.679999999999996</v>
      </c>
      <c r="DM25" s="109">
        <f t="shared" si="75"/>
        <v>2038</v>
      </c>
      <c r="DN25" s="111">
        <f t="shared" si="46"/>
        <v>1.04</v>
      </c>
      <c r="DO25" s="109">
        <v>12</v>
      </c>
      <c r="DP25" s="112">
        <f t="shared" si="47"/>
        <v>1.04</v>
      </c>
      <c r="DR25" s="109">
        <f t="shared" si="76"/>
        <v>2038</v>
      </c>
      <c r="DS25" s="111">
        <f t="shared" si="48"/>
        <v>8.68</v>
      </c>
      <c r="DT25" s="109">
        <v>12</v>
      </c>
      <c r="DU25" s="112">
        <f t="shared" si="49"/>
        <v>8.68</v>
      </c>
      <c r="DW25" s="109">
        <f t="shared" si="77"/>
        <v>2038</v>
      </c>
      <c r="DX25" s="111">
        <f t="shared" si="50"/>
        <v>56.16</v>
      </c>
      <c r="DY25" s="109">
        <v>12</v>
      </c>
      <c r="DZ25" s="112">
        <f t="shared" si="51"/>
        <v>56.16</v>
      </c>
    </row>
    <row r="26" spans="2:130">
      <c r="B26" s="109">
        <f t="shared" si="52"/>
        <v>2039</v>
      </c>
      <c r="C26" s="111">
        <f t="shared" si="0"/>
        <v>171.05</v>
      </c>
      <c r="D26" s="109">
        <v>12</v>
      </c>
      <c r="E26" s="112">
        <f t="shared" si="1"/>
        <v>171.05000000000004</v>
      </c>
      <c r="G26" s="109">
        <f t="shared" si="53"/>
        <v>2039</v>
      </c>
      <c r="H26" s="111">
        <f t="shared" si="2"/>
        <v>3.12</v>
      </c>
      <c r="I26" s="109">
        <v>12</v>
      </c>
      <c r="J26" s="112">
        <f t="shared" si="3"/>
        <v>3.1199999999999997</v>
      </c>
      <c r="L26" s="109">
        <f t="shared" si="54"/>
        <v>2039</v>
      </c>
      <c r="M26" s="111">
        <f t="shared" si="4"/>
        <v>50.64</v>
      </c>
      <c r="N26" s="109">
        <v>12</v>
      </c>
      <c r="O26" s="112">
        <f t="shared" si="5"/>
        <v>50.640000000000008</v>
      </c>
      <c r="Q26" s="109">
        <f t="shared" si="55"/>
        <v>2039</v>
      </c>
      <c r="R26" s="111">
        <f t="shared" si="6"/>
        <v>50.13</v>
      </c>
      <c r="S26" s="109">
        <v>12</v>
      </c>
      <c r="T26" s="112">
        <f t="shared" si="7"/>
        <v>50.13</v>
      </c>
      <c r="V26" s="109">
        <f t="shared" si="56"/>
        <v>2039</v>
      </c>
      <c r="W26" s="111">
        <f t="shared" si="8"/>
        <v>13.64</v>
      </c>
      <c r="X26" s="109">
        <v>12</v>
      </c>
      <c r="Y26" s="112">
        <f t="shared" si="9"/>
        <v>13.64</v>
      </c>
      <c r="AA26" s="109">
        <f t="shared" si="57"/>
        <v>2039</v>
      </c>
      <c r="AB26" s="111">
        <f t="shared" si="10"/>
        <v>0</v>
      </c>
      <c r="AC26" s="109">
        <v>12</v>
      </c>
      <c r="AD26" s="112">
        <f t="shared" si="11"/>
        <v>0</v>
      </c>
      <c r="AF26" s="109">
        <f t="shared" si="58"/>
        <v>2039</v>
      </c>
      <c r="AG26" s="111">
        <f t="shared" si="12"/>
        <v>82.95</v>
      </c>
      <c r="AH26" s="109">
        <v>12</v>
      </c>
      <c r="AI26" s="112">
        <f t="shared" si="13"/>
        <v>82.95</v>
      </c>
      <c r="AK26" s="109">
        <f t="shared" si="59"/>
        <v>2039</v>
      </c>
      <c r="AL26" s="111">
        <f t="shared" si="14"/>
        <v>36.479999999999997</v>
      </c>
      <c r="AM26" s="109">
        <v>12</v>
      </c>
      <c r="AN26" s="112">
        <f t="shared" si="15"/>
        <v>36.479999999999997</v>
      </c>
      <c r="AP26" s="109">
        <f t="shared" si="60"/>
        <v>2039</v>
      </c>
      <c r="AQ26" s="111">
        <f t="shared" si="16"/>
        <v>71.52</v>
      </c>
      <c r="AR26" s="109">
        <v>12</v>
      </c>
      <c r="AS26" s="112">
        <f t="shared" si="17"/>
        <v>71.52</v>
      </c>
      <c r="AU26" s="109">
        <f t="shared" si="61"/>
        <v>2039</v>
      </c>
      <c r="AV26" s="111">
        <f t="shared" si="18"/>
        <v>27.3</v>
      </c>
      <c r="AW26" s="109">
        <v>12</v>
      </c>
      <c r="AX26" s="112">
        <f t="shared" si="19"/>
        <v>27.3</v>
      </c>
      <c r="AZ26" s="109">
        <f t="shared" si="62"/>
        <v>2039</v>
      </c>
      <c r="BA26" s="111">
        <f t="shared" si="20"/>
        <v>80.02</v>
      </c>
      <c r="BB26" s="109">
        <v>12</v>
      </c>
      <c r="BC26" s="112">
        <f t="shared" si="21"/>
        <v>80.02</v>
      </c>
      <c r="BE26" s="109">
        <f t="shared" si="63"/>
        <v>2039</v>
      </c>
      <c r="BF26" s="111">
        <f t="shared" si="22"/>
        <v>1.1200000000000001</v>
      </c>
      <c r="BG26" s="109">
        <v>12</v>
      </c>
      <c r="BH26" s="112">
        <f t="shared" si="23"/>
        <v>1.1200000000000001</v>
      </c>
      <c r="BJ26" s="109">
        <f t="shared" si="64"/>
        <v>2039</v>
      </c>
      <c r="BK26" s="111">
        <f t="shared" si="24"/>
        <v>9.73</v>
      </c>
      <c r="BL26" s="109">
        <v>12</v>
      </c>
      <c r="BM26" s="112">
        <f t="shared" si="25"/>
        <v>9.73</v>
      </c>
      <c r="BO26" s="109">
        <f t="shared" si="65"/>
        <v>2039</v>
      </c>
      <c r="BP26" s="111">
        <f t="shared" si="26"/>
        <v>4.92</v>
      </c>
      <c r="BQ26" s="109">
        <v>12</v>
      </c>
      <c r="BR26" s="112">
        <f t="shared" si="27"/>
        <v>4.92</v>
      </c>
      <c r="BT26" s="109">
        <f t="shared" si="66"/>
        <v>2039</v>
      </c>
      <c r="BU26" s="111">
        <f t="shared" si="28"/>
        <v>4.04</v>
      </c>
      <c r="BV26" s="109">
        <v>12</v>
      </c>
      <c r="BW26" s="112">
        <f t="shared" si="29"/>
        <v>4.04</v>
      </c>
      <c r="BY26" s="109">
        <f t="shared" si="67"/>
        <v>2039</v>
      </c>
      <c r="BZ26" s="111">
        <f t="shared" si="30"/>
        <v>20.23</v>
      </c>
      <c r="CA26" s="109">
        <v>12</v>
      </c>
      <c r="CB26" s="112">
        <f t="shared" si="31"/>
        <v>20.23</v>
      </c>
      <c r="CD26" s="109">
        <f t="shared" si="68"/>
        <v>2039</v>
      </c>
      <c r="CE26" s="111">
        <f t="shared" si="32"/>
        <v>11.63</v>
      </c>
      <c r="CF26" s="109">
        <v>12</v>
      </c>
      <c r="CG26" s="112">
        <f t="shared" si="33"/>
        <v>11.63</v>
      </c>
      <c r="CI26" s="109">
        <f t="shared" si="69"/>
        <v>2039</v>
      </c>
      <c r="CJ26" s="111">
        <f t="shared" si="34"/>
        <v>37.840000000000003</v>
      </c>
      <c r="CK26" s="109">
        <v>12</v>
      </c>
      <c r="CL26" s="112">
        <f t="shared" si="35"/>
        <v>37.840000000000003</v>
      </c>
      <c r="CN26" s="109">
        <f t="shared" si="70"/>
        <v>2039</v>
      </c>
      <c r="CO26" s="111">
        <f t="shared" si="36"/>
        <v>15.23</v>
      </c>
      <c r="CP26" s="109">
        <v>12</v>
      </c>
      <c r="CQ26" s="112">
        <f t="shared" si="37"/>
        <v>15.229999999999999</v>
      </c>
      <c r="CS26" s="109">
        <f t="shared" si="71"/>
        <v>2039</v>
      </c>
      <c r="CT26" s="111">
        <f t="shared" si="38"/>
        <v>8.0500000000000007</v>
      </c>
      <c r="CU26" s="109">
        <v>12</v>
      </c>
      <c r="CV26" s="112">
        <f t="shared" si="39"/>
        <v>8.0500000000000007</v>
      </c>
      <c r="CX26" s="109">
        <f t="shared" si="72"/>
        <v>2039</v>
      </c>
      <c r="CY26" s="111">
        <f t="shared" si="40"/>
        <v>5.27</v>
      </c>
      <c r="CZ26" s="109">
        <v>12</v>
      </c>
      <c r="DA26" s="112">
        <f t="shared" si="41"/>
        <v>5.27</v>
      </c>
      <c r="DC26" s="109">
        <f t="shared" si="73"/>
        <v>2039</v>
      </c>
      <c r="DD26" s="111">
        <f t="shared" si="42"/>
        <v>2.67</v>
      </c>
      <c r="DE26" s="109">
        <v>12</v>
      </c>
      <c r="DF26" s="112">
        <f t="shared" si="43"/>
        <v>2.67</v>
      </c>
      <c r="DH26" s="109">
        <f t="shared" si="74"/>
        <v>2039</v>
      </c>
      <c r="DI26" s="111">
        <f t="shared" si="44"/>
        <v>25.24</v>
      </c>
      <c r="DJ26" s="109">
        <v>12</v>
      </c>
      <c r="DK26" s="112">
        <f t="shared" si="45"/>
        <v>25.24</v>
      </c>
      <c r="DM26" s="109">
        <f t="shared" si="75"/>
        <v>2039</v>
      </c>
      <c r="DN26" s="111">
        <f t="shared" si="46"/>
        <v>1.06</v>
      </c>
      <c r="DO26" s="109">
        <v>12</v>
      </c>
      <c r="DP26" s="112">
        <f t="shared" si="47"/>
        <v>1.06</v>
      </c>
      <c r="DR26" s="109">
        <f t="shared" si="76"/>
        <v>2039</v>
      </c>
      <c r="DS26" s="111">
        <f t="shared" si="48"/>
        <v>8.8800000000000008</v>
      </c>
      <c r="DT26" s="109">
        <v>12</v>
      </c>
      <c r="DU26" s="112">
        <f t="shared" si="49"/>
        <v>8.8800000000000008</v>
      </c>
      <c r="DW26" s="109">
        <f t="shared" si="77"/>
        <v>2039</v>
      </c>
      <c r="DX26" s="111">
        <f t="shared" si="50"/>
        <v>57.43</v>
      </c>
      <c r="DY26" s="109">
        <v>12</v>
      </c>
      <c r="DZ26" s="112">
        <f t="shared" si="51"/>
        <v>57.43</v>
      </c>
    </row>
    <row r="27" spans="2:130">
      <c r="B27" s="109">
        <f t="shared" si="52"/>
        <v>2040</v>
      </c>
      <c r="C27" s="111">
        <f t="shared" si="0"/>
        <v>174.93</v>
      </c>
      <c r="D27" s="109">
        <v>12</v>
      </c>
      <c r="E27" s="112">
        <f t="shared" si="1"/>
        <v>174.92999999999998</v>
      </c>
      <c r="G27" s="109">
        <f t="shared" si="53"/>
        <v>2040</v>
      </c>
      <c r="H27" s="111">
        <f t="shared" si="2"/>
        <v>3.19</v>
      </c>
      <c r="I27" s="109">
        <v>12</v>
      </c>
      <c r="J27" s="112">
        <f t="shared" si="3"/>
        <v>3.19</v>
      </c>
      <c r="L27" s="109">
        <f t="shared" si="54"/>
        <v>2040</v>
      </c>
      <c r="M27" s="111">
        <f t="shared" si="4"/>
        <v>51.79</v>
      </c>
      <c r="N27" s="109">
        <v>12</v>
      </c>
      <c r="O27" s="112">
        <f t="shared" si="5"/>
        <v>51.79</v>
      </c>
      <c r="Q27" s="109">
        <f t="shared" si="55"/>
        <v>2040</v>
      </c>
      <c r="R27" s="111">
        <f t="shared" si="6"/>
        <v>51.27</v>
      </c>
      <c r="S27" s="109">
        <v>12</v>
      </c>
      <c r="T27" s="112">
        <f t="shared" si="7"/>
        <v>51.27</v>
      </c>
      <c r="V27" s="109">
        <f t="shared" si="56"/>
        <v>2040</v>
      </c>
      <c r="W27" s="111">
        <f t="shared" si="8"/>
        <v>13.95</v>
      </c>
      <c r="X27" s="109">
        <v>12</v>
      </c>
      <c r="Y27" s="112">
        <f t="shared" si="9"/>
        <v>13.949999999999998</v>
      </c>
      <c r="AA27" s="109">
        <f t="shared" si="57"/>
        <v>2040</v>
      </c>
      <c r="AB27" s="111">
        <f t="shared" si="10"/>
        <v>0</v>
      </c>
      <c r="AC27" s="109">
        <v>12</v>
      </c>
      <c r="AD27" s="112">
        <f t="shared" si="11"/>
        <v>0</v>
      </c>
      <c r="AF27" s="109">
        <f t="shared" si="58"/>
        <v>2040</v>
      </c>
      <c r="AG27" s="111">
        <f t="shared" si="12"/>
        <v>84.83</v>
      </c>
      <c r="AH27" s="109">
        <v>12</v>
      </c>
      <c r="AI27" s="112">
        <f t="shared" si="13"/>
        <v>84.83</v>
      </c>
      <c r="AK27" s="109">
        <f t="shared" si="59"/>
        <v>2040</v>
      </c>
      <c r="AL27" s="111">
        <f t="shared" si="14"/>
        <v>37.31</v>
      </c>
      <c r="AM27" s="109">
        <v>12</v>
      </c>
      <c r="AN27" s="112">
        <f t="shared" si="15"/>
        <v>37.31</v>
      </c>
      <c r="AP27" s="109">
        <f t="shared" si="60"/>
        <v>2040</v>
      </c>
      <c r="AQ27" s="111">
        <f t="shared" si="16"/>
        <v>73.14</v>
      </c>
      <c r="AR27" s="109">
        <v>12</v>
      </c>
      <c r="AS27" s="112">
        <f t="shared" si="17"/>
        <v>73.14</v>
      </c>
      <c r="AU27" s="109">
        <f t="shared" si="61"/>
        <v>2040</v>
      </c>
      <c r="AV27" s="111">
        <f t="shared" si="18"/>
        <v>27.92</v>
      </c>
      <c r="AW27" s="109">
        <v>12</v>
      </c>
      <c r="AX27" s="112">
        <f t="shared" si="19"/>
        <v>27.92</v>
      </c>
      <c r="AZ27" s="109">
        <f t="shared" si="62"/>
        <v>2040</v>
      </c>
      <c r="BA27" s="111">
        <f t="shared" si="20"/>
        <v>81.84</v>
      </c>
      <c r="BB27" s="109">
        <v>12</v>
      </c>
      <c r="BC27" s="112">
        <f t="shared" si="21"/>
        <v>81.84</v>
      </c>
      <c r="BE27" s="109">
        <f t="shared" si="63"/>
        <v>2040</v>
      </c>
      <c r="BF27" s="111">
        <f t="shared" si="22"/>
        <v>1.1499999999999999</v>
      </c>
      <c r="BG27" s="109">
        <v>12</v>
      </c>
      <c r="BH27" s="112">
        <f t="shared" si="23"/>
        <v>1.1499999999999999</v>
      </c>
      <c r="BJ27" s="109">
        <f t="shared" si="64"/>
        <v>2040</v>
      </c>
      <c r="BK27" s="111">
        <f t="shared" si="24"/>
        <v>9.9499999999999993</v>
      </c>
      <c r="BL27" s="109">
        <v>12</v>
      </c>
      <c r="BM27" s="112">
        <f t="shared" si="25"/>
        <v>9.9499999999999993</v>
      </c>
      <c r="BO27" s="109">
        <f t="shared" si="65"/>
        <v>2040</v>
      </c>
      <c r="BP27" s="111">
        <f t="shared" si="26"/>
        <v>5.03</v>
      </c>
      <c r="BQ27" s="109">
        <v>12</v>
      </c>
      <c r="BR27" s="112">
        <f t="shared" si="27"/>
        <v>5.03</v>
      </c>
      <c r="BT27" s="109">
        <f t="shared" si="66"/>
        <v>2040</v>
      </c>
      <c r="BU27" s="111">
        <f t="shared" si="28"/>
        <v>4.13</v>
      </c>
      <c r="BV27" s="109">
        <v>12</v>
      </c>
      <c r="BW27" s="112">
        <f t="shared" si="29"/>
        <v>4.13</v>
      </c>
      <c r="BY27" s="109">
        <f t="shared" si="67"/>
        <v>2040</v>
      </c>
      <c r="BZ27" s="111">
        <f t="shared" si="30"/>
        <v>20.69</v>
      </c>
      <c r="CA27" s="109">
        <v>12</v>
      </c>
      <c r="CB27" s="112">
        <f t="shared" si="31"/>
        <v>20.69</v>
      </c>
      <c r="CD27" s="109">
        <f t="shared" si="68"/>
        <v>2040</v>
      </c>
      <c r="CE27" s="111">
        <f t="shared" si="32"/>
        <v>11.89</v>
      </c>
      <c r="CF27" s="109">
        <v>12</v>
      </c>
      <c r="CG27" s="112">
        <f t="shared" si="33"/>
        <v>11.89</v>
      </c>
      <c r="CI27" s="109">
        <f t="shared" si="69"/>
        <v>2040</v>
      </c>
      <c r="CJ27" s="111">
        <f t="shared" si="34"/>
        <v>38.700000000000003</v>
      </c>
      <c r="CK27" s="109">
        <v>12</v>
      </c>
      <c r="CL27" s="112">
        <f t="shared" si="35"/>
        <v>38.700000000000003</v>
      </c>
      <c r="CN27" s="109">
        <f t="shared" si="70"/>
        <v>2040</v>
      </c>
      <c r="CO27" s="111">
        <f t="shared" si="36"/>
        <v>15.58</v>
      </c>
      <c r="CP27" s="109">
        <v>12</v>
      </c>
      <c r="CQ27" s="112">
        <f t="shared" si="37"/>
        <v>15.58</v>
      </c>
      <c r="CS27" s="109">
        <f t="shared" si="71"/>
        <v>2040</v>
      </c>
      <c r="CT27" s="111">
        <f t="shared" si="38"/>
        <v>8.23</v>
      </c>
      <c r="CU27" s="109">
        <v>12</v>
      </c>
      <c r="CV27" s="112">
        <f t="shared" si="39"/>
        <v>8.23</v>
      </c>
      <c r="CX27" s="109">
        <f t="shared" si="72"/>
        <v>2040</v>
      </c>
      <c r="CY27" s="111">
        <f t="shared" si="40"/>
        <v>5.39</v>
      </c>
      <c r="CZ27" s="109">
        <v>12</v>
      </c>
      <c r="DA27" s="112">
        <f t="shared" si="41"/>
        <v>5.39</v>
      </c>
      <c r="DC27" s="109">
        <f t="shared" si="73"/>
        <v>2040</v>
      </c>
      <c r="DD27" s="111">
        <f t="shared" si="42"/>
        <v>2.73</v>
      </c>
      <c r="DE27" s="109">
        <v>12</v>
      </c>
      <c r="DF27" s="112">
        <f t="shared" si="43"/>
        <v>2.73</v>
      </c>
      <c r="DH27" s="109">
        <f t="shared" si="74"/>
        <v>2040</v>
      </c>
      <c r="DI27" s="111">
        <f t="shared" si="44"/>
        <v>25.81</v>
      </c>
      <c r="DJ27" s="109">
        <v>12</v>
      </c>
      <c r="DK27" s="112">
        <f t="shared" si="45"/>
        <v>25.81</v>
      </c>
      <c r="DM27" s="109">
        <f t="shared" si="75"/>
        <v>2040</v>
      </c>
      <c r="DN27" s="111">
        <f t="shared" si="46"/>
        <v>1.08</v>
      </c>
      <c r="DO27" s="109">
        <v>12</v>
      </c>
      <c r="DP27" s="112">
        <f t="shared" si="47"/>
        <v>1.08</v>
      </c>
      <c r="DR27" s="109">
        <f t="shared" si="76"/>
        <v>2040</v>
      </c>
      <c r="DS27" s="111">
        <f t="shared" si="48"/>
        <v>9.08</v>
      </c>
      <c r="DT27" s="109">
        <v>12</v>
      </c>
      <c r="DU27" s="112">
        <f t="shared" si="49"/>
        <v>9.08</v>
      </c>
      <c r="DW27" s="109">
        <f t="shared" si="77"/>
        <v>2040</v>
      </c>
      <c r="DX27" s="111">
        <f t="shared" si="50"/>
        <v>58.73</v>
      </c>
      <c r="DY27" s="109">
        <v>12</v>
      </c>
      <c r="DZ27" s="112">
        <f t="shared" si="51"/>
        <v>58.73</v>
      </c>
    </row>
    <row r="28" spans="2:130">
      <c r="B28" s="109">
        <f t="shared" si="52"/>
        <v>2041</v>
      </c>
      <c r="C28" s="111">
        <f t="shared" si="0"/>
        <v>178.9</v>
      </c>
      <c r="D28" s="109">
        <v>12</v>
      </c>
      <c r="E28" s="112">
        <f t="shared" si="1"/>
        <v>178.9</v>
      </c>
      <c r="G28" s="109">
        <f t="shared" si="53"/>
        <v>2041</v>
      </c>
      <c r="H28" s="111">
        <f t="shared" si="2"/>
        <v>3.26</v>
      </c>
      <c r="I28" s="109">
        <v>12</v>
      </c>
      <c r="J28" s="112">
        <f t="shared" si="3"/>
        <v>3.26</v>
      </c>
      <c r="L28" s="109">
        <f t="shared" si="54"/>
        <v>2041</v>
      </c>
      <c r="M28" s="111">
        <f t="shared" si="4"/>
        <v>52.97</v>
      </c>
      <c r="N28" s="109">
        <v>12</v>
      </c>
      <c r="O28" s="112">
        <f t="shared" si="5"/>
        <v>52.97</v>
      </c>
      <c r="Q28" s="109">
        <f t="shared" si="55"/>
        <v>2041</v>
      </c>
      <c r="R28" s="111">
        <f t="shared" si="6"/>
        <v>52.43</v>
      </c>
      <c r="S28" s="109">
        <v>12</v>
      </c>
      <c r="T28" s="112">
        <f t="shared" si="7"/>
        <v>52.43</v>
      </c>
      <c r="V28" s="109">
        <f t="shared" si="56"/>
        <v>2041</v>
      </c>
      <c r="W28" s="111">
        <f t="shared" si="8"/>
        <v>14.27</v>
      </c>
      <c r="X28" s="109">
        <v>12</v>
      </c>
      <c r="Y28" s="112">
        <f t="shared" si="9"/>
        <v>14.270000000000001</v>
      </c>
      <c r="AA28" s="109">
        <f t="shared" si="57"/>
        <v>2041</v>
      </c>
      <c r="AB28" s="111">
        <f t="shared" si="10"/>
        <v>0</v>
      </c>
      <c r="AC28" s="109">
        <v>12</v>
      </c>
      <c r="AD28" s="112">
        <f t="shared" si="11"/>
        <v>0</v>
      </c>
      <c r="AF28" s="109">
        <f t="shared" si="58"/>
        <v>2041</v>
      </c>
      <c r="AG28" s="111">
        <f t="shared" si="12"/>
        <v>86.76</v>
      </c>
      <c r="AH28" s="109">
        <v>12</v>
      </c>
      <c r="AI28" s="112">
        <f t="shared" si="13"/>
        <v>86.76</v>
      </c>
      <c r="AK28" s="109">
        <f t="shared" si="59"/>
        <v>2041</v>
      </c>
      <c r="AL28" s="111">
        <f t="shared" si="14"/>
        <v>38.159999999999997</v>
      </c>
      <c r="AM28" s="109">
        <v>12</v>
      </c>
      <c r="AN28" s="112">
        <f t="shared" si="15"/>
        <v>38.159999999999997</v>
      </c>
      <c r="AP28" s="109">
        <f t="shared" si="60"/>
        <v>2041</v>
      </c>
      <c r="AQ28" s="111">
        <f t="shared" si="16"/>
        <v>74.8</v>
      </c>
      <c r="AR28" s="109">
        <v>12</v>
      </c>
      <c r="AS28" s="112">
        <f t="shared" si="17"/>
        <v>74.8</v>
      </c>
      <c r="AU28" s="109">
        <f t="shared" si="61"/>
        <v>2041</v>
      </c>
      <c r="AV28" s="111">
        <f t="shared" si="18"/>
        <v>28.55</v>
      </c>
      <c r="AW28" s="109">
        <v>12</v>
      </c>
      <c r="AX28" s="112">
        <f t="shared" si="19"/>
        <v>28.55</v>
      </c>
      <c r="AZ28" s="109">
        <f t="shared" si="62"/>
        <v>2041</v>
      </c>
      <c r="BA28" s="111">
        <f t="shared" si="20"/>
        <v>83.7</v>
      </c>
      <c r="BB28" s="109">
        <v>12</v>
      </c>
      <c r="BC28" s="112">
        <f t="shared" si="21"/>
        <v>83.7</v>
      </c>
      <c r="BE28" s="109">
        <f t="shared" si="63"/>
        <v>2041</v>
      </c>
      <c r="BF28" s="111">
        <f t="shared" si="22"/>
        <v>1.18</v>
      </c>
      <c r="BG28" s="109">
        <v>12</v>
      </c>
      <c r="BH28" s="112">
        <f t="shared" si="23"/>
        <v>1.18</v>
      </c>
      <c r="BJ28" s="109">
        <f t="shared" si="64"/>
        <v>2041</v>
      </c>
      <c r="BK28" s="111">
        <f t="shared" si="24"/>
        <v>10.18</v>
      </c>
      <c r="BL28" s="109">
        <v>12</v>
      </c>
      <c r="BM28" s="112">
        <f t="shared" si="25"/>
        <v>10.18</v>
      </c>
      <c r="BO28" s="109">
        <f t="shared" si="65"/>
        <v>2041</v>
      </c>
      <c r="BP28" s="111">
        <f t="shared" si="26"/>
        <v>5.14</v>
      </c>
      <c r="BQ28" s="109">
        <v>12</v>
      </c>
      <c r="BR28" s="112">
        <f t="shared" si="27"/>
        <v>5.14</v>
      </c>
      <c r="BT28" s="109">
        <f t="shared" si="66"/>
        <v>2041</v>
      </c>
      <c r="BU28" s="111">
        <f t="shared" si="28"/>
        <v>4.22</v>
      </c>
      <c r="BV28" s="109">
        <v>12</v>
      </c>
      <c r="BW28" s="112">
        <f t="shared" si="29"/>
        <v>4.22</v>
      </c>
      <c r="BY28" s="109">
        <f t="shared" si="67"/>
        <v>2041</v>
      </c>
      <c r="BZ28" s="111">
        <f t="shared" si="30"/>
        <v>21.16</v>
      </c>
      <c r="CA28" s="109">
        <v>12</v>
      </c>
      <c r="CB28" s="112">
        <f t="shared" si="31"/>
        <v>21.16</v>
      </c>
      <c r="CD28" s="109">
        <f t="shared" si="68"/>
        <v>2041</v>
      </c>
      <c r="CE28" s="111">
        <f t="shared" si="32"/>
        <v>12.16</v>
      </c>
      <c r="CF28" s="109">
        <v>12</v>
      </c>
      <c r="CG28" s="112">
        <f t="shared" si="33"/>
        <v>12.160000000000002</v>
      </c>
      <c r="CI28" s="109">
        <f t="shared" si="69"/>
        <v>2041</v>
      </c>
      <c r="CJ28" s="111">
        <f t="shared" si="34"/>
        <v>39.58</v>
      </c>
      <c r="CK28" s="109">
        <v>12</v>
      </c>
      <c r="CL28" s="112">
        <f t="shared" si="35"/>
        <v>39.58</v>
      </c>
      <c r="CN28" s="109">
        <f t="shared" si="70"/>
        <v>2041</v>
      </c>
      <c r="CO28" s="111">
        <f t="shared" si="36"/>
        <v>15.93</v>
      </c>
      <c r="CP28" s="109">
        <v>12</v>
      </c>
      <c r="CQ28" s="112">
        <f t="shared" si="37"/>
        <v>15.93</v>
      </c>
      <c r="CS28" s="109">
        <f t="shared" si="71"/>
        <v>2041</v>
      </c>
      <c r="CT28" s="111">
        <f t="shared" si="38"/>
        <v>8.42</v>
      </c>
      <c r="CU28" s="109">
        <v>12</v>
      </c>
      <c r="CV28" s="112">
        <f t="shared" si="39"/>
        <v>8.42</v>
      </c>
      <c r="CX28" s="109">
        <f t="shared" si="72"/>
        <v>2041</v>
      </c>
      <c r="CY28" s="111">
        <f t="shared" si="40"/>
        <v>5.51</v>
      </c>
      <c r="CZ28" s="109">
        <v>12</v>
      </c>
      <c r="DA28" s="112">
        <f t="shared" si="41"/>
        <v>5.5100000000000007</v>
      </c>
      <c r="DC28" s="109">
        <f t="shared" si="73"/>
        <v>2041</v>
      </c>
      <c r="DD28" s="111">
        <f t="shared" si="42"/>
        <v>2.79</v>
      </c>
      <c r="DE28" s="109">
        <v>12</v>
      </c>
      <c r="DF28" s="112">
        <f t="shared" si="43"/>
        <v>2.7900000000000005</v>
      </c>
      <c r="DH28" s="109">
        <f t="shared" si="74"/>
        <v>2041</v>
      </c>
      <c r="DI28" s="111">
        <f t="shared" si="44"/>
        <v>26.4</v>
      </c>
      <c r="DJ28" s="109">
        <v>12</v>
      </c>
      <c r="DK28" s="112">
        <f t="shared" si="45"/>
        <v>26.399999999999995</v>
      </c>
      <c r="DM28" s="109">
        <f t="shared" si="75"/>
        <v>2041</v>
      </c>
      <c r="DN28" s="111">
        <f t="shared" si="46"/>
        <v>1.1000000000000001</v>
      </c>
      <c r="DO28" s="109">
        <v>12</v>
      </c>
      <c r="DP28" s="112">
        <f t="shared" si="47"/>
        <v>1.1000000000000001</v>
      </c>
      <c r="DR28" s="109">
        <f t="shared" si="76"/>
        <v>2041</v>
      </c>
      <c r="DS28" s="111">
        <f t="shared" si="48"/>
        <v>9.2899999999999991</v>
      </c>
      <c r="DT28" s="109">
        <v>12</v>
      </c>
      <c r="DU28" s="112">
        <f t="shared" si="49"/>
        <v>9.2899999999999991</v>
      </c>
      <c r="DW28" s="109">
        <f t="shared" si="77"/>
        <v>2041</v>
      </c>
      <c r="DX28" s="111">
        <f t="shared" si="50"/>
        <v>60.06</v>
      </c>
      <c r="DY28" s="109">
        <v>12</v>
      </c>
      <c r="DZ28" s="112">
        <f t="shared" si="51"/>
        <v>60.06</v>
      </c>
    </row>
    <row r="29" spans="2:130">
      <c r="B29" s="109">
        <f t="shared" si="52"/>
        <v>2042</v>
      </c>
      <c r="C29" s="111">
        <f t="shared" si="0"/>
        <v>182.96</v>
      </c>
      <c r="D29" s="109">
        <v>12</v>
      </c>
      <c r="E29" s="112">
        <f t="shared" si="1"/>
        <v>182.96</v>
      </c>
      <c r="G29" s="109">
        <f t="shared" si="53"/>
        <v>2042</v>
      </c>
      <c r="H29" s="111">
        <f t="shared" si="2"/>
        <v>3.33</v>
      </c>
      <c r="I29" s="109">
        <v>12</v>
      </c>
      <c r="J29" s="112">
        <f t="shared" si="3"/>
        <v>3.33</v>
      </c>
      <c r="L29" s="109">
        <f t="shared" si="54"/>
        <v>2042</v>
      </c>
      <c r="M29" s="111">
        <f t="shared" si="4"/>
        <v>54.17</v>
      </c>
      <c r="N29" s="109">
        <v>12</v>
      </c>
      <c r="O29" s="112">
        <f t="shared" si="5"/>
        <v>54.169999999999995</v>
      </c>
      <c r="Q29" s="109">
        <f t="shared" si="55"/>
        <v>2042</v>
      </c>
      <c r="R29" s="111">
        <f t="shared" si="6"/>
        <v>53.62</v>
      </c>
      <c r="S29" s="109">
        <v>12</v>
      </c>
      <c r="T29" s="112">
        <f t="shared" si="7"/>
        <v>53.62</v>
      </c>
      <c r="V29" s="109">
        <f t="shared" si="56"/>
        <v>2042</v>
      </c>
      <c r="W29" s="111">
        <f t="shared" si="8"/>
        <v>14.59</v>
      </c>
      <c r="X29" s="109">
        <v>12</v>
      </c>
      <c r="Y29" s="112">
        <f t="shared" si="9"/>
        <v>14.589999999999998</v>
      </c>
      <c r="AA29" s="109">
        <f t="shared" si="57"/>
        <v>2042</v>
      </c>
      <c r="AB29" s="111">
        <f t="shared" si="10"/>
        <v>0</v>
      </c>
      <c r="AC29" s="109">
        <v>12</v>
      </c>
      <c r="AD29" s="112">
        <f t="shared" si="11"/>
        <v>0</v>
      </c>
      <c r="AF29" s="109">
        <f t="shared" si="58"/>
        <v>2042</v>
      </c>
      <c r="AG29" s="111">
        <f t="shared" si="12"/>
        <v>88.73</v>
      </c>
      <c r="AH29" s="109">
        <v>12</v>
      </c>
      <c r="AI29" s="112">
        <f t="shared" si="13"/>
        <v>88.73</v>
      </c>
      <c r="AK29" s="109">
        <f t="shared" si="59"/>
        <v>2042</v>
      </c>
      <c r="AL29" s="111">
        <f t="shared" si="14"/>
        <v>39.03</v>
      </c>
      <c r="AM29" s="109">
        <v>12</v>
      </c>
      <c r="AN29" s="112">
        <f t="shared" si="15"/>
        <v>39.03</v>
      </c>
      <c r="AP29" s="109">
        <f t="shared" si="60"/>
        <v>2042</v>
      </c>
      <c r="AQ29" s="111">
        <f t="shared" si="16"/>
        <v>76.5</v>
      </c>
      <c r="AR29" s="109">
        <v>12</v>
      </c>
      <c r="AS29" s="112">
        <f t="shared" si="17"/>
        <v>76.5</v>
      </c>
      <c r="AU29" s="109">
        <f t="shared" si="61"/>
        <v>2042</v>
      </c>
      <c r="AV29" s="111">
        <f t="shared" si="18"/>
        <v>29.2</v>
      </c>
      <c r="AW29" s="109">
        <v>12</v>
      </c>
      <c r="AX29" s="112">
        <f t="shared" si="19"/>
        <v>29.2</v>
      </c>
      <c r="AZ29" s="109">
        <f t="shared" si="62"/>
        <v>2042</v>
      </c>
      <c r="BA29" s="111">
        <f t="shared" si="20"/>
        <v>85.6</v>
      </c>
      <c r="BB29" s="109">
        <v>12</v>
      </c>
      <c r="BC29" s="112">
        <f t="shared" si="21"/>
        <v>85.59999999999998</v>
      </c>
      <c r="BE29" s="109">
        <f t="shared" si="63"/>
        <v>2042</v>
      </c>
      <c r="BF29" s="111">
        <f t="shared" si="22"/>
        <v>1.21</v>
      </c>
      <c r="BG29" s="109">
        <v>12</v>
      </c>
      <c r="BH29" s="112">
        <f t="shared" si="23"/>
        <v>1.21</v>
      </c>
      <c r="BJ29" s="109">
        <f t="shared" si="64"/>
        <v>2042</v>
      </c>
      <c r="BK29" s="111">
        <f t="shared" si="24"/>
        <v>10.41</v>
      </c>
      <c r="BL29" s="109">
        <v>12</v>
      </c>
      <c r="BM29" s="112">
        <f t="shared" si="25"/>
        <v>10.41</v>
      </c>
      <c r="BO29" s="109">
        <f t="shared" si="65"/>
        <v>2042</v>
      </c>
      <c r="BP29" s="111">
        <f t="shared" si="26"/>
        <v>5.26</v>
      </c>
      <c r="BQ29" s="109">
        <v>12</v>
      </c>
      <c r="BR29" s="112">
        <f t="shared" si="27"/>
        <v>5.26</v>
      </c>
      <c r="BT29" s="109">
        <f t="shared" si="66"/>
        <v>2042</v>
      </c>
      <c r="BU29" s="111">
        <f t="shared" si="28"/>
        <v>4.32</v>
      </c>
      <c r="BV29" s="109">
        <v>12</v>
      </c>
      <c r="BW29" s="112">
        <f t="shared" si="29"/>
        <v>4.32</v>
      </c>
      <c r="BY29" s="109">
        <f t="shared" si="67"/>
        <v>2042</v>
      </c>
      <c r="BZ29" s="111">
        <f t="shared" si="30"/>
        <v>21.64</v>
      </c>
      <c r="CA29" s="109">
        <v>12</v>
      </c>
      <c r="CB29" s="112">
        <f t="shared" si="31"/>
        <v>21.64</v>
      </c>
      <c r="CD29" s="109">
        <f t="shared" si="68"/>
        <v>2042</v>
      </c>
      <c r="CE29" s="111">
        <f t="shared" si="32"/>
        <v>12.44</v>
      </c>
      <c r="CF29" s="109">
        <v>12</v>
      </c>
      <c r="CG29" s="112">
        <f t="shared" si="33"/>
        <v>12.44</v>
      </c>
      <c r="CI29" s="109">
        <f t="shared" si="69"/>
        <v>2042</v>
      </c>
      <c r="CJ29" s="111">
        <f t="shared" si="34"/>
        <v>40.479999999999997</v>
      </c>
      <c r="CK29" s="109">
        <v>12</v>
      </c>
      <c r="CL29" s="112">
        <f t="shared" si="35"/>
        <v>40.479999999999997</v>
      </c>
      <c r="CN29" s="109">
        <f t="shared" si="70"/>
        <v>2042</v>
      </c>
      <c r="CO29" s="111">
        <f t="shared" si="36"/>
        <v>16.29</v>
      </c>
      <c r="CP29" s="109">
        <v>12</v>
      </c>
      <c r="CQ29" s="112">
        <f t="shared" si="37"/>
        <v>16.29</v>
      </c>
      <c r="CS29" s="109">
        <f t="shared" si="71"/>
        <v>2042</v>
      </c>
      <c r="CT29" s="111">
        <f t="shared" si="38"/>
        <v>8.61</v>
      </c>
      <c r="CU29" s="109">
        <v>12</v>
      </c>
      <c r="CV29" s="112">
        <f t="shared" si="39"/>
        <v>8.61</v>
      </c>
      <c r="CX29" s="109">
        <f t="shared" si="72"/>
        <v>2042</v>
      </c>
      <c r="CY29" s="111">
        <f t="shared" si="40"/>
        <v>5.64</v>
      </c>
      <c r="CZ29" s="109">
        <v>12</v>
      </c>
      <c r="DA29" s="112">
        <f t="shared" si="41"/>
        <v>5.64</v>
      </c>
      <c r="DC29" s="109">
        <f t="shared" si="73"/>
        <v>2042</v>
      </c>
      <c r="DD29" s="111">
        <f t="shared" si="42"/>
        <v>2.85</v>
      </c>
      <c r="DE29" s="109">
        <v>12</v>
      </c>
      <c r="DF29" s="112">
        <f t="shared" si="43"/>
        <v>2.85</v>
      </c>
      <c r="DH29" s="109">
        <f t="shared" si="74"/>
        <v>2042</v>
      </c>
      <c r="DI29" s="111">
        <f t="shared" si="44"/>
        <v>27</v>
      </c>
      <c r="DJ29" s="109">
        <v>12</v>
      </c>
      <c r="DK29" s="112">
        <f t="shared" si="45"/>
        <v>27</v>
      </c>
      <c r="DM29" s="109">
        <f t="shared" si="75"/>
        <v>2042</v>
      </c>
      <c r="DN29" s="111">
        <f t="shared" si="46"/>
        <v>1.1200000000000001</v>
      </c>
      <c r="DO29" s="109">
        <v>12</v>
      </c>
      <c r="DP29" s="112">
        <f t="shared" si="47"/>
        <v>1.1200000000000001</v>
      </c>
      <c r="DR29" s="109">
        <f t="shared" si="76"/>
        <v>2042</v>
      </c>
      <c r="DS29" s="111">
        <f t="shared" si="48"/>
        <v>9.5</v>
      </c>
      <c r="DT29" s="109">
        <v>12</v>
      </c>
      <c r="DU29" s="112">
        <f t="shared" si="49"/>
        <v>9.5</v>
      </c>
      <c r="DW29" s="109">
        <f t="shared" si="77"/>
        <v>2042</v>
      </c>
      <c r="DX29" s="111">
        <f t="shared" si="50"/>
        <v>61.42</v>
      </c>
      <c r="DY29" s="109">
        <v>12</v>
      </c>
      <c r="DZ29" s="112">
        <f t="shared" si="51"/>
        <v>61.419999999999995</v>
      </c>
    </row>
    <row r="30" spans="2:130">
      <c r="B30" s="109">
        <f t="shared" si="52"/>
        <v>2043</v>
      </c>
      <c r="C30" s="111">
        <f t="shared" si="0"/>
        <v>187.11</v>
      </c>
      <c r="D30" s="109">
        <v>12</v>
      </c>
      <c r="E30" s="112">
        <f t="shared" si="1"/>
        <v>187.11</v>
      </c>
      <c r="G30" s="109">
        <f t="shared" si="53"/>
        <v>2043</v>
      </c>
      <c r="H30" s="111">
        <f t="shared" si="2"/>
        <v>3.41</v>
      </c>
      <c r="I30" s="109">
        <v>12</v>
      </c>
      <c r="J30" s="112">
        <f t="shared" si="3"/>
        <v>3.41</v>
      </c>
      <c r="L30" s="109">
        <f t="shared" si="54"/>
        <v>2043</v>
      </c>
      <c r="M30" s="111">
        <f t="shared" si="4"/>
        <v>55.4</v>
      </c>
      <c r="N30" s="109">
        <v>12</v>
      </c>
      <c r="O30" s="112">
        <f t="shared" si="5"/>
        <v>55.4</v>
      </c>
      <c r="Q30" s="109">
        <f t="shared" si="55"/>
        <v>2043</v>
      </c>
      <c r="R30" s="111">
        <f t="shared" si="6"/>
        <v>54.84</v>
      </c>
      <c r="S30" s="109">
        <v>12</v>
      </c>
      <c r="T30" s="112">
        <f t="shared" si="7"/>
        <v>54.84</v>
      </c>
      <c r="V30" s="109">
        <f t="shared" si="56"/>
        <v>2043</v>
      </c>
      <c r="W30" s="111">
        <f t="shared" si="8"/>
        <v>14.92</v>
      </c>
      <c r="X30" s="109">
        <v>12</v>
      </c>
      <c r="Y30" s="112">
        <f t="shared" si="9"/>
        <v>14.92</v>
      </c>
      <c r="AA30" s="109">
        <f t="shared" si="57"/>
        <v>2043</v>
      </c>
      <c r="AB30" s="111">
        <f t="shared" si="10"/>
        <v>0</v>
      </c>
      <c r="AC30" s="109">
        <v>12</v>
      </c>
      <c r="AD30" s="112">
        <f t="shared" si="11"/>
        <v>0</v>
      </c>
      <c r="AF30" s="109">
        <f t="shared" si="58"/>
        <v>2043</v>
      </c>
      <c r="AG30" s="111">
        <f t="shared" si="12"/>
        <v>90.74</v>
      </c>
      <c r="AH30" s="109">
        <v>12</v>
      </c>
      <c r="AI30" s="112">
        <f t="shared" si="13"/>
        <v>90.74</v>
      </c>
      <c r="AK30" s="109">
        <f t="shared" si="59"/>
        <v>2043</v>
      </c>
      <c r="AL30" s="111">
        <f t="shared" si="14"/>
        <v>39.92</v>
      </c>
      <c r="AM30" s="109">
        <v>12</v>
      </c>
      <c r="AN30" s="112">
        <f t="shared" si="15"/>
        <v>39.92</v>
      </c>
      <c r="AP30" s="109">
        <f t="shared" si="60"/>
        <v>2043</v>
      </c>
      <c r="AQ30" s="111">
        <f t="shared" si="16"/>
        <v>78.239999999999995</v>
      </c>
      <c r="AR30" s="109">
        <v>12</v>
      </c>
      <c r="AS30" s="112">
        <f t="shared" si="17"/>
        <v>78.239999999999995</v>
      </c>
      <c r="AU30" s="109">
        <f t="shared" si="61"/>
        <v>2043</v>
      </c>
      <c r="AV30" s="111">
        <f t="shared" si="18"/>
        <v>29.86</v>
      </c>
      <c r="AW30" s="109">
        <v>12</v>
      </c>
      <c r="AX30" s="112">
        <f t="shared" si="19"/>
        <v>29.86</v>
      </c>
      <c r="AZ30" s="109">
        <f t="shared" si="62"/>
        <v>2043</v>
      </c>
      <c r="BA30" s="111">
        <f t="shared" si="20"/>
        <v>87.54</v>
      </c>
      <c r="BB30" s="109">
        <v>12</v>
      </c>
      <c r="BC30" s="112">
        <f t="shared" si="21"/>
        <v>87.54</v>
      </c>
      <c r="BE30" s="109">
        <f t="shared" si="63"/>
        <v>2043</v>
      </c>
      <c r="BF30" s="111">
        <f t="shared" si="22"/>
        <v>1.24</v>
      </c>
      <c r="BG30" s="109">
        <v>12</v>
      </c>
      <c r="BH30" s="112">
        <f t="shared" si="23"/>
        <v>1.24</v>
      </c>
      <c r="BJ30" s="109">
        <f t="shared" si="64"/>
        <v>2043</v>
      </c>
      <c r="BK30" s="111">
        <f t="shared" si="24"/>
        <v>10.65</v>
      </c>
      <c r="BL30" s="109">
        <v>12</v>
      </c>
      <c r="BM30" s="112">
        <f t="shared" si="25"/>
        <v>10.65</v>
      </c>
      <c r="BO30" s="109">
        <f t="shared" si="65"/>
        <v>2043</v>
      </c>
      <c r="BP30" s="111">
        <f t="shared" si="26"/>
        <v>5.38</v>
      </c>
      <c r="BQ30" s="109">
        <v>12</v>
      </c>
      <c r="BR30" s="112">
        <f t="shared" si="27"/>
        <v>5.38</v>
      </c>
      <c r="BT30" s="109">
        <f t="shared" si="66"/>
        <v>2043</v>
      </c>
      <c r="BU30" s="111">
        <f t="shared" si="28"/>
        <v>4.42</v>
      </c>
      <c r="BV30" s="109">
        <v>12</v>
      </c>
      <c r="BW30" s="112">
        <f t="shared" si="29"/>
        <v>4.42</v>
      </c>
      <c r="BY30" s="109">
        <f t="shared" si="67"/>
        <v>2043</v>
      </c>
      <c r="BZ30" s="111">
        <f t="shared" si="30"/>
        <v>22.13</v>
      </c>
      <c r="CA30" s="109">
        <v>12</v>
      </c>
      <c r="CB30" s="112">
        <f t="shared" si="31"/>
        <v>22.13</v>
      </c>
      <c r="CD30" s="109">
        <f t="shared" si="68"/>
        <v>2043</v>
      </c>
      <c r="CE30" s="111">
        <f t="shared" si="32"/>
        <v>12.72</v>
      </c>
      <c r="CF30" s="109">
        <v>12</v>
      </c>
      <c r="CG30" s="112">
        <f t="shared" si="33"/>
        <v>12.72</v>
      </c>
      <c r="CI30" s="109">
        <f t="shared" si="69"/>
        <v>2043</v>
      </c>
      <c r="CJ30" s="111">
        <f t="shared" si="34"/>
        <v>41.4</v>
      </c>
      <c r="CK30" s="109">
        <v>12</v>
      </c>
      <c r="CL30" s="112">
        <f t="shared" si="35"/>
        <v>41.4</v>
      </c>
      <c r="CN30" s="109">
        <f t="shared" si="70"/>
        <v>2043</v>
      </c>
      <c r="CO30" s="111">
        <f t="shared" si="36"/>
        <v>16.66</v>
      </c>
      <c r="CP30" s="109">
        <v>12</v>
      </c>
      <c r="CQ30" s="112">
        <f t="shared" si="37"/>
        <v>16.66</v>
      </c>
      <c r="CS30" s="109">
        <f t="shared" si="71"/>
        <v>2043</v>
      </c>
      <c r="CT30" s="111">
        <f t="shared" si="38"/>
        <v>8.81</v>
      </c>
      <c r="CU30" s="109">
        <v>12</v>
      </c>
      <c r="CV30" s="112">
        <f t="shared" si="39"/>
        <v>8.81</v>
      </c>
      <c r="CX30" s="109">
        <f t="shared" si="72"/>
        <v>2043</v>
      </c>
      <c r="CY30" s="111">
        <f t="shared" si="40"/>
        <v>5.77</v>
      </c>
      <c r="CZ30" s="109">
        <v>12</v>
      </c>
      <c r="DA30" s="112">
        <f t="shared" si="41"/>
        <v>5.77</v>
      </c>
      <c r="DC30" s="109">
        <f t="shared" si="73"/>
        <v>2043</v>
      </c>
      <c r="DD30" s="111">
        <f t="shared" si="42"/>
        <v>2.91</v>
      </c>
      <c r="DE30" s="109">
        <v>12</v>
      </c>
      <c r="DF30" s="112">
        <f t="shared" si="43"/>
        <v>2.91</v>
      </c>
      <c r="DH30" s="109">
        <f t="shared" si="74"/>
        <v>2043</v>
      </c>
      <c r="DI30" s="111">
        <f t="shared" si="44"/>
        <v>27.61</v>
      </c>
      <c r="DJ30" s="109">
        <v>12</v>
      </c>
      <c r="DK30" s="112">
        <f t="shared" si="45"/>
        <v>27.61</v>
      </c>
      <c r="DM30" s="109">
        <f t="shared" si="75"/>
        <v>2043</v>
      </c>
      <c r="DN30" s="111">
        <f t="shared" si="46"/>
        <v>1.1499999999999999</v>
      </c>
      <c r="DO30" s="109">
        <v>12</v>
      </c>
      <c r="DP30" s="112">
        <f t="shared" si="47"/>
        <v>1.1499999999999999</v>
      </c>
      <c r="DR30" s="109">
        <f t="shared" si="76"/>
        <v>2043</v>
      </c>
      <c r="DS30" s="111">
        <f t="shared" si="48"/>
        <v>9.7200000000000006</v>
      </c>
      <c r="DT30" s="109">
        <v>12</v>
      </c>
      <c r="DU30" s="112">
        <f t="shared" si="49"/>
        <v>9.7200000000000006</v>
      </c>
      <c r="DW30" s="109">
        <f t="shared" si="77"/>
        <v>2043</v>
      </c>
      <c r="DX30" s="111">
        <f t="shared" si="50"/>
        <v>62.81</v>
      </c>
      <c r="DY30" s="109">
        <v>12</v>
      </c>
      <c r="DZ30" s="112">
        <f t="shared" si="51"/>
        <v>62.81</v>
      </c>
    </row>
    <row r="31" spans="2:130">
      <c r="B31" s="109">
        <f t="shared" si="52"/>
        <v>2044</v>
      </c>
      <c r="C31" s="111">
        <f t="shared" si="0"/>
        <v>191.36</v>
      </c>
      <c r="D31" s="109">
        <v>12</v>
      </c>
      <c r="E31" s="112">
        <f t="shared" si="1"/>
        <v>191.36</v>
      </c>
      <c r="G31" s="109">
        <f t="shared" si="53"/>
        <v>2044</v>
      </c>
      <c r="H31" s="111">
        <f t="shared" si="2"/>
        <v>3.49</v>
      </c>
      <c r="I31" s="109">
        <v>12</v>
      </c>
      <c r="J31" s="112">
        <f t="shared" si="3"/>
        <v>3.49</v>
      </c>
      <c r="L31" s="109">
        <f t="shared" si="54"/>
        <v>2044</v>
      </c>
      <c r="M31" s="111">
        <f t="shared" si="4"/>
        <v>56.66</v>
      </c>
      <c r="N31" s="109">
        <v>12</v>
      </c>
      <c r="O31" s="112">
        <f t="shared" si="5"/>
        <v>56.66</v>
      </c>
      <c r="Q31" s="109">
        <f t="shared" si="55"/>
        <v>2044</v>
      </c>
      <c r="R31" s="111">
        <f t="shared" si="6"/>
        <v>56.08</v>
      </c>
      <c r="S31" s="109">
        <v>12</v>
      </c>
      <c r="T31" s="112">
        <f t="shared" si="7"/>
        <v>56.080000000000005</v>
      </c>
      <c r="V31" s="109">
        <f t="shared" si="56"/>
        <v>2044</v>
      </c>
      <c r="W31" s="111">
        <f t="shared" si="8"/>
        <v>15.26</v>
      </c>
      <c r="X31" s="109">
        <v>12</v>
      </c>
      <c r="Y31" s="112">
        <f t="shared" si="9"/>
        <v>15.26</v>
      </c>
      <c r="AA31" s="109">
        <f t="shared" si="57"/>
        <v>2044</v>
      </c>
      <c r="AB31" s="111">
        <f t="shared" si="10"/>
        <v>0</v>
      </c>
      <c r="AC31" s="109">
        <v>12</v>
      </c>
      <c r="AD31" s="112">
        <f t="shared" si="11"/>
        <v>0</v>
      </c>
      <c r="AF31" s="109">
        <f t="shared" si="58"/>
        <v>2044</v>
      </c>
      <c r="AG31" s="111">
        <f t="shared" si="12"/>
        <v>92.8</v>
      </c>
      <c r="AH31" s="109">
        <v>12</v>
      </c>
      <c r="AI31" s="112">
        <f t="shared" si="13"/>
        <v>92.8</v>
      </c>
      <c r="AK31" s="109">
        <f t="shared" si="59"/>
        <v>2044</v>
      </c>
      <c r="AL31" s="111">
        <f t="shared" si="14"/>
        <v>40.83</v>
      </c>
      <c r="AM31" s="109">
        <v>12</v>
      </c>
      <c r="AN31" s="112">
        <f t="shared" si="15"/>
        <v>40.83</v>
      </c>
      <c r="AP31" s="109">
        <f t="shared" si="60"/>
        <v>2044</v>
      </c>
      <c r="AQ31" s="111">
        <f t="shared" si="16"/>
        <v>80.02</v>
      </c>
      <c r="AR31" s="109">
        <v>12</v>
      </c>
      <c r="AS31" s="112">
        <f t="shared" si="17"/>
        <v>80.02</v>
      </c>
      <c r="AU31" s="109">
        <f t="shared" si="61"/>
        <v>2044</v>
      </c>
      <c r="AV31" s="111">
        <f t="shared" si="18"/>
        <v>30.54</v>
      </c>
      <c r="AW31" s="109">
        <v>12</v>
      </c>
      <c r="AX31" s="112">
        <f t="shared" si="19"/>
        <v>30.540000000000003</v>
      </c>
      <c r="AZ31" s="109">
        <f t="shared" si="62"/>
        <v>2044</v>
      </c>
      <c r="BA31" s="111">
        <f t="shared" si="20"/>
        <v>89.53</v>
      </c>
      <c r="BB31" s="109">
        <v>12</v>
      </c>
      <c r="BC31" s="112">
        <f t="shared" si="21"/>
        <v>89.530000000000015</v>
      </c>
      <c r="BE31" s="109">
        <f t="shared" si="63"/>
        <v>2044</v>
      </c>
      <c r="BF31" s="111">
        <f t="shared" si="22"/>
        <v>1.27</v>
      </c>
      <c r="BG31" s="109">
        <v>12</v>
      </c>
      <c r="BH31" s="112">
        <f t="shared" si="23"/>
        <v>1.27</v>
      </c>
      <c r="BJ31" s="109">
        <f t="shared" si="64"/>
        <v>2044</v>
      </c>
      <c r="BK31" s="111">
        <f t="shared" si="24"/>
        <v>10.89</v>
      </c>
      <c r="BL31" s="109">
        <v>12</v>
      </c>
      <c r="BM31" s="112">
        <f t="shared" si="25"/>
        <v>10.89</v>
      </c>
      <c r="BO31" s="109">
        <f t="shared" si="65"/>
        <v>2044</v>
      </c>
      <c r="BP31" s="111">
        <f t="shared" si="26"/>
        <v>5.5</v>
      </c>
      <c r="BQ31" s="109">
        <v>12</v>
      </c>
      <c r="BR31" s="112">
        <f t="shared" si="27"/>
        <v>5.5</v>
      </c>
      <c r="BT31" s="109">
        <f t="shared" si="66"/>
        <v>2044</v>
      </c>
      <c r="BU31" s="111">
        <f t="shared" si="28"/>
        <v>4.5199999999999996</v>
      </c>
      <c r="BV31" s="109">
        <v>12</v>
      </c>
      <c r="BW31" s="112">
        <f t="shared" si="29"/>
        <v>4.5199999999999996</v>
      </c>
      <c r="BY31" s="109">
        <f t="shared" si="67"/>
        <v>2044</v>
      </c>
      <c r="BZ31" s="111">
        <f t="shared" si="30"/>
        <v>22.63</v>
      </c>
      <c r="CA31" s="109">
        <v>12</v>
      </c>
      <c r="CB31" s="112">
        <f t="shared" si="31"/>
        <v>22.63</v>
      </c>
      <c r="CD31" s="109">
        <f t="shared" si="68"/>
        <v>2044</v>
      </c>
      <c r="CE31" s="111">
        <f t="shared" si="32"/>
        <v>13.01</v>
      </c>
      <c r="CF31" s="109">
        <v>12</v>
      </c>
      <c r="CG31" s="112">
        <f t="shared" si="33"/>
        <v>13.01</v>
      </c>
      <c r="CI31" s="109">
        <f t="shared" si="69"/>
        <v>2044</v>
      </c>
      <c r="CJ31" s="111">
        <f t="shared" si="34"/>
        <v>42.34</v>
      </c>
      <c r="CK31" s="109">
        <v>12</v>
      </c>
      <c r="CL31" s="112">
        <f t="shared" si="35"/>
        <v>42.34</v>
      </c>
      <c r="CN31" s="109">
        <f t="shared" si="70"/>
        <v>2044</v>
      </c>
      <c r="CO31" s="111">
        <f t="shared" si="36"/>
        <v>17.04</v>
      </c>
      <c r="CP31" s="109">
        <v>12</v>
      </c>
      <c r="CQ31" s="112">
        <f t="shared" si="37"/>
        <v>17.04</v>
      </c>
      <c r="CS31" s="109">
        <f t="shared" si="71"/>
        <v>2044</v>
      </c>
      <c r="CT31" s="111">
        <f t="shared" si="38"/>
        <v>9.01</v>
      </c>
      <c r="CU31" s="109">
        <v>12</v>
      </c>
      <c r="CV31" s="112">
        <f t="shared" si="39"/>
        <v>9.01</v>
      </c>
      <c r="CX31" s="109">
        <f t="shared" si="72"/>
        <v>2044</v>
      </c>
      <c r="CY31" s="111">
        <f t="shared" si="40"/>
        <v>5.9</v>
      </c>
      <c r="CZ31" s="109">
        <v>12</v>
      </c>
      <c r="DA31" s="112">
        <f t="shared" si="41"/>
        <v>5.9000000000000012</v>
      </c>
      <c r="DC31" s="109">
        <f t="shared" si="73"/>
        <v>2044</v>
      </c>
      <c r="DD31" s="111">
        <f t="shared" si="42"/>
        <v>2.98</v>
      </c>
      <c r="DE31" s="109">
        <v>12</v>
      </c>
      <c r="DF31" s="112">
        <f t="shared" si="43"/>
        <v>2.98</v>
      </c>
      <c r="DH31" s="109">
        <f t="shared" si="74"/>
        <v>2044</v>
      </c>
      <c r="DI31" s="111">
        <f t="shared" si="44"/>
        <v>28.24</v>
      </c>
      <c r="DJ31" s="109">
        <v>12</v>
      </c>
      <c r="DK31" s="112">
        <f t="shared" si="45"/>
        <v>28.24</v>
      </c>
      <c r="DM31" s="109">
        <f t="shared" si="75"/>
        <v>2044</v>
      </c>
      <c r="DN31" s="111">
        <f t="shared" si="46"/>
        <v>1.18</v>
      </c>
      <c r="DO31" s="109">
        <v>12</v>
      </c>
      <c r="DP31" s="112">
        <f t="shared" si="47"/>
        <v>1.18</v>
      </c>
      <c r="DR31" s="109">
        <f t="shared" si="76"/>
        <v>2044</v>
      </c>
      <c r="DS31" s="111">
        <f t="shared" si="48"/>
        <v>9.94</v>
      </c>
      <c r="DT31" s="109">
        <v>12</v>
      </c>
      <c r="DU31" s="112">
        <f t="shared" si="49"/>
        <v>9.94</v>
      </c>
      <c r="DW31" s="109">
        <f t="shared" si="77"/>
        <v>2044</v>
      </c>
      <c r="DX31" s="111">
        <f t="shared" si="50"/>
        <v>64.239999999999995</v>
      </c>
      <c r="DY31" s="109">
        <v>12</v>
      </c>
      <c r="DZ31" s="112">
        <f t="shared" si="51"/>
        <v>64.239999999999995</v>
      </c>
    </row>
    <row r="32" spans="2:130">
      <c r="B32" s="109">
        <f t="shared" si="52"/>
        <v>2045</v>
      </c>
      <c r="C32" s="111">
        <f t="shared" si="0"/>
        <v>195.7</v>
      </c>
      <c r="D32" s="109">
        <v>12</v>
      </c>
      <c r="E32" s="112">
        <f t="shared" si="1"/>
        <v>195.69999999999996</v>
      </c>
      <c r="G32" s="109">
        <f t="shared" si="53"/>
        <v>2045</v>
      </c>
      <c r="H32" s="111">
        <f t="shared" si="2"/>
        <v>3.57</v>
      </c>
      <c r="I32" s="109">
        <v>12</v>
      </c>
      <c r="J32" s="112">
        <f t="shared" si="3"/>
        <v>3.57</v>
      </c>
      <c r="L32" s="109">
        <f t="shared" si="54"/>
        <v>2045</v>
      </c>
      <c r="M32" s="111">
        <f t="shared" si="4"/>
        <v>57.95</v>
      </c>
      <c r="N32" s="109">
        <v>12</v>
      </c>
      <c r="O32" s="112">
        <f t="shared" si="5"/>
        <v>57.95000000000001</v>
      </c>
      <c r="Q32" s="109">
        <f t="shared" si="55"/>
        <v>2045</v>
      </c>
      <c r="R32" s="111">
        <f t="shared" si="6"/>
        <v>57.35</v>
      </c>
      <c r="S32" s="109">
        <v>12</v>
      </c>
      <c r="T32" s="112">
        <f t="shared" si="7"/>
        <v>57.35</v>
      </c>
      <c r="V32" s="109">
        <f t="shared" si="56"/>
        <v>2045</v>
      </c>
      <c r="W32" s="111">
        <f t="shared" si="8"/>
        <v>15.61</v>
      </c>
      <c r="X32" s="109">
        <v>12</v>
      </c>
      <c r="Y32" s="112">
        <f t="shared" si="9"/>
        <v>15.61</v>
      </c>
      <c r="AA32" s="109">
        <f t="shared" si="57"/>
        <v>2045</v>
      </c>
      <c r="AB32" s="111">
        <f t="shared" si="10"/>
        <v>0</v>
      </c>
      <c r="AC32" s="109">
        <v>12</v>
      </c>
      <c r="AD32" s="112">
        <f t="shared" si="11"/>
        <v>0</v>
      </c>
      <c r="AF32" s="109">
        <f t="shared" si="58"/>
        <v>2045</v>
      </c>
      <c r="AG32" s="111">
        <f t="shared" si="12"/>
        <v>94.91</v>
      </c>
      <c r="AH32" s="109">
        <v>12</v>
      </c>
      <c r="AI32" s="112">
        <f t="shared" si="13"/>
        <v>94.910000000000011</v>
      </c>
      <c r="AK32" s="109">
        <f t="shared" si="59"/>
        <v>2045</v>
      </c>
      <c r="AL32" s="111">
        <f t="shared" si="14"/>
        <v>41.76</v>
      </c>
      <c r="AM32" s="109">
        <v>12</v>
      </c>
      <c r="AN32" s="112">
        <f t="shared" si="15"/>
        <v>41.76</v>
      </c>
      <c r="AP32" s="109">
        <f t="shared" si="60"/>
        <v>2045</v>
      </c>
      <c r="AQ32" s="111">
        <f t="shared" si="16"/>
        <v>81.84</v>
      </c>
      <c r="AR32" s="109">
        <v>12</v>
      </c>
      <c r="AS32" s="112">
        <f t="shared" si="17"/>
        <v>81.84</v>
      </c>
      <c r="AU32" s="109">
        <f t="shared" si="61"/>
        <v>2045</v>
      </c>
      <c r="AV32" s="111">
        <f t="shared" si="18"/>
        <v>31.23</v>
      </c>
      <c r="AW32" s="109">
        <v>12</v>
      </c>
      <c r="AX32" s="112">
        <f t="shared" si="19"/>
        <v>31.23</v>
      </c>
      <c r="AZ32" s="109">
        <f t="shared" si="62"/>
        <v>2045</v>
      </c>
      <c r="BA32" s="111">
        <f t="shared" si="20"/>
        <v>91.56</v>
      </c>
      <c r="BB32" s="109">
        <v>12</v>
      </c>
      <c r="BC32" s="112">
        <f t="shared" si="21"/>
        <v>91.56</v>
      </c>
      <c r="BE32" s="109">
        <f t="shared" si="63"/>
        <v>2045</v>
      </c>
      <c r="BF32" s="111">
        <f t="shared" si="22"/>
        <v>1.3</v>
      </c>
      <c r="BG32" s="109">
        <v>12</v>
      </c>
      <c r="BH32" s="112">
        <f t="shared" si="23"/>
        <v>1.3</v>
      </c>
      <c r="BJ32" s="109">
        <f t="shared" si="64"/>
        <v>2045</v>
      </c>
      <c r="BK32" s="111">
        <f t="shared" si="24"/>
        <v>11.14</v>
      </c>
      <c r="BL32" s="109">
        <v>12</v>
      </c>
      <c r="BM32" s="112">
        <f t="shared" si="25"/>
        <v>11.14</v>
      </c>
      <c r="BO32" s="109">
        <f t="shared" si="65"/>
        <v>2045</v>
      </c>
      <c r="BP32" s="111">
        <f t="shared" si="26"/>
        <v>5.62</v>
      </c>
      <c r="BQ32" s="109">
        <v>12</v>
      </c>
      <c r="BR32" s="112">
        <f t="shared" si="27"/>
        <v>5.62</v>
      </c>
      <c r="BT32" s="109">
        <f t="shared" si="66"/>
        <v>2045</v>
      </c>
      <c r="BU32" s="111">
        <f t="shared" si="28"/>
        <v>4.62</v>
      </c>
      <c r="BV32" s="109">
        <v>12</v>
      </c>
      <c r="BW32" s="112">
        <f t="shared" si="29"/>
        <v>4.62</v>
      </c>
      <c r="BY32" s="109">
        <f t="shared" si="67"/>
        <v>2045</v>
      </c>
      <c r="BZ32" s="111">
        <f t="shared" si="30"/>
        <v>23.14</v>
      </c>
      <c r="CA32" s="109">
        <v>12</v>
      </c>
      <c r="CB32" s="112">
        <f t="shared" si="31"/>
        <v>23.14</v>
      </c>
      <c r="CD32" s="109">
        <f t="shared" si="68"/>
        <v>2045</v>
      </c>
      <c r="CE32" s="111">
        <f t="shared" si="32"/>
        <v>13.31</v>
      </c>
      <c r="CF32" s="109">
        <v>12</v>
      </c>
      <c r="CG32" s="112">
        <f t="shared" si="33"/>
        <v>13.31</v>
      </c>
      <c r="CI32" s="109">
        <f t="shared" si="69"/>
        <v>2045</v>
      </c>
      <c r="CJ32" s="111">
        <f t="shared" si="34"/>
        <v>43.3</v>
      </c>
      <c r="CK32" s="109">
        <v>12</v>
      </c>
      <c r="CL32" s="112">
        <f t="shared" si="35"/>
        <v>43.29999999999999</v>
      </c>
      <c r="CN32" s="109">
        <f t="shared" si="70"/>
        <v>2045</v>
      </c>
      <c r="CO32" s="111">
        <f t="shared" si="36"/>
        <v>17.43</v>
      </c>
      <c r="CP32" s="109">
        <v>12</v>
      </c>
      <c r="CQ32" s="112">
        <f t="shared" si="37"/>
        <v>17.43</v>
      </c>
      <c r="CS32" s="109">
        <f t="shared" si="71"/>
        <v>2045</v>
      </c>
      <c r="CT32" s="111">
        <f t="shared" si="38"/>
        <v>9.2100000000000009</v>
      </c>
      <c r="CU32" s="109">
        <v>12</v>
      </c>
      <c r="CV32" s="112">
        <f t="shared" si="39"/>
        <v>9.2100000000000009</v>
      </c>
      <c r="CX32" s="109">
        <f t="shared" si="72"/>
        <v>2045</v>
      </c>
      <c r="CY32" s="111">
        <f t="shared" si="40"/>
        <v>6.03</v>
      </c>
      <c r="CZ32" s="109">
        <v>12</v>
      </c>
      <c r="DA32" s="112">
        <f t="shared" si="41"/>
        <v>6.03</v>
      </c>
      <c r="DC32" s="109">
        <f t="shared" si="73"/>
        <v>2045</v>
      </c>
      <c r="DD32" s="111">
        <f t="shared" si="42"/>
        <v>3.05</v>
      </c>
      <c r="DE32" s="109">
        <v>12</v>
      </c>
      <c r="DF32" s="112">
        <f t="shared" si="43"/>
        <v>3.0499999999999994</v>
      </c>
      <c r="DH32" s="109">
        <f t="shared" si="74"/>
        <v>2045</v>
      </c>
      <c r="DI32" s="111">
        <f t="shared" si="44"/>
        <v>28.88</v>
      </c>
      <c r="DJ32" s="109">
        <v>12</v>
      </c>
      <c r="DK32" s="112">
        <f t="shared" si="45"/>
        <v>28.88</v>
      </c>
      <c r="DM32" s="109">
        <f t="shared" si="75"/>
        <v>2045</v>
      </c>
      <c r="DN32" s="111">
        <f t="shared" si="46"/>
        <v>1.21</v>
      </c>
      <c r="DO32" s="109">
        <v>12</v>
      </c>
      <c r="DP32" s="112">
        <f t="shared" si="47"/>
        <v>1.21</v>
      </c>
      <c r="DR32" s="109">
        <f t="shared" si="76"/>
        <v>2045</v>
      </c>
      <c r="DS32" s="111">
        <f t="shared" si="48"/>
        <v>10.17</v>
      </c>
      <c r="DT32" s="109">
        <v>12</v>
      </c>
      <c r="DU32" s="112">
        <f t="shared" si="49"/>
        <v>10.17</v>
      </c>
      <c r="DW32" s="109">
        <f t="shared" si="77"/>
        <v>2045</v>
      </c>
      <c r="DX32" s="111">
        <f t="shared" si="50"/>
        <v>65.7</v>
      </c>
      <c r="DY32" s="109">
        <v>12</v>
      </c>
      <c r="DZ32" s="112">
        <f t="shared" si="51"/>
        <v>65.7</v>
      </c>
    </row>
    <row r="33" spans="2:130">
      <c r="B33" s="109"/>
      <c r="C33" s="111"/>
      <c r="D33" s="109"/>
      <c r="E33" s="112"/>
      <c r="G33" s="109"/>
      <c r="H33" s="111"/>
      <c r="I33" s="109"/>
      <c r="J33" s="112"/>
      <c r="L33" s="109"/>
      <c r="M33" s="111"/>
      <c r="N33" s="109"/>
      <c r="O33" s="112"/>
      <c r="Q33" s="109"/>
      <c r="R33" s="111"/>
      <c r="S33" s="109"/>
      <c r="T33" s="112"/>
      <c r="V33" s="109"/>
      <c r="W33" s="111"/>
      <c r="X33" s="109"/>
      <c r="Y33" s="112"/>
      <c r="AA33" s="109"/>
      <c r="AB33" s="111"/>
      <c r="AC33" s="109"/>
      <c r="AD33" s="112"/>
      <c r="AF33" s="109"/>
      <c r="AG33" s="111"/>
      <c r="AH33" s="109"/>
      <c r="AI33" s="112"/>
      <c r="AK33" s="109"/>
      <c r="AL33" s="111"/>
      <c r="AM33" s="109"/>
      <c r="AN33" s="112"/>
      <c r="AP33" s="109"/>
      <c r="AQ33" s="111"/>
      <c r="AR33" s="109"/>
      <c r="AS33" s="112"/>
      <c r="AU33" s="109"/>
      <c r="AV33" s="111"/>
      <c r="AW33" s="109"/>
      <c r="AX33" s="112"/>
      <c r="AZ33" s="109"/>
      <c r="BA33" s="111"/>
      <c r="BB33" s="109"/>
      <c r="BC33" s="112"/>
      <c r="BE33" s="109"/>
      <c r="BF33" s="111"/>
      <c r="BG33" s="109"/>
      <c r="BH33" s="112"/>
      <c r="BJ33" s="109"/>
      <c r="BK33" s="111"/>
      <c r="BL33" s="109"/>
      <c r="BM33" s="112"/>
      <c r="BO33" s="109"/>
      <c r="BP33" s="111"/>
      <c r="BQ33" s="109"/>
      <c r="BR33" s="112"/>
      <c r="BT33" s="109"/>
      <c r="BU33" s="111"/>
      <c r="BV33" s="109"/>
      <c r="BW33" s="112"/>
      <c r="BY33" s="109"/>
      <c r="BZ33" s="111"/>
      <c r="CA33" s="109"/>
      <c r="CB33" s="112"/>
      <c r="CD33" s="109"/>
      <c r="CE33" s="111"/>
      <c r="CF33" s="109"/>
      <c r="CG33" s="112"/>
      <c r="CI33" s="109"/>
      <c r="CJ33" s="111"/>
      <c r="CK33" s="109"/>
      <c r="CL33" s="112"/>
      <c r="CN33" s="109"/>
      <c r="CO33" s="111"/>
      <c r="CP33" s="109"/>
      <c r="CQ33" s="112"/>
      <c r="CS33" s="109"/>
      <c r="CT33" s="111"/>
      <c r="CU33" s="109"/>
      <c r="CV33" s="112"/>
      <c r="CX33" s="109"/>
      <c r="CY33" s="111"/>
      <c r="CZ33" s="109"/>
      <c r="DA33" s="112"/>
      <c r="DC33" s="109"/>
      <c r="DD33" s="111"/>
      <c r="DE33" s="109"/>
      <c r="DF33" s="112"/>
      <c r="DH33" s="109"/>
      <c r="DI33" s="111"/>
      <c r="DJ33" s="109"/>
      <c r="DK33" s="112"/>
      <c r="DM33" s="109"/>
      <c r="DN33" s="111"/>
      <c r="DO33" s="109"/>
      <c r="DP33" s="112"/>
      <c r="DR33" s="109"/>
      <c r="DS33" s="111"/>
      <c r="DT33" s="109"/>
      <c r="DU33" s="112"/>
      <c r="DW33" s="109"/>
      <c r="DX33" s="111"/>
      <c r="DY33" s="109"/>
      <c r="DZ33" s="112"/>
    </row>
    <row r="34" spans="2:130">
      <c r="B34" s="109"/>
      <c r="C34" s="113"/>
      <c r="D34" s="111"/>
      <c r="E34" s="111"/>
      <c r="F34" s="112"/>
      <c r="G34" s="109"/>
      <c r="H34" s="113"/>
      <c r="I34" s="111"/>
      <c r="J34" s="111"/>
      <c r="K34" s="112"/>
      <c r="L34" s="109"/>
      <c r="M34" s="113"/>
      <c r="N34" s="111"/>
      <c r="O34" s="111"/>
      <c r="Q34" s="109"/>
      <c r="R34" s="113"/>
      <c r="S34" s="111"/>
      <c r="T34" s="111"/>
      <c r="U34" s="112"/>
      <c r="V34" s="109"/>
      <c r="W34" s="113"/>
      <c r="X34" s="111"/>
      <c r="Y34" s="111"/>
      <c r="Z34" s="112"/>
      <c r="AA34" s="109"/>
      <c r="AB34" s="113"/>
      <c r="AC34" s="111"/>
      <c r="AD34" s="111"/>
      <c r="AE34" s="112"/>
      <c r="AF34" s="109"/>
      <c r="AG34" s="113"/>
      <c r="AH34" s="111"/>
      <c r="AI34" s="111"/>
      <c r="AJ34" s="112"/>
      <c r="AK34" s="109"/>
      <c r="AL34" s="113"/>
      <c r="AM34" s="111"/>
      <c r="AN34" s="111"/>
      <c r="AO34" s="112"/>
      <c r="AP34" s="109"/>
      <c r="AQ34" s="113"/>
      <c r="AR34" s="111"/>
      <c r="AS34" s="111"/>
      <c r="AT34" s="112"/>
      <c r="AU34" s="109"/>
      <c r="AV34" s="113"/>
      <c r="AW34" s="111"/>
      <c r="AX34" s="111"/>
      <c r="AY34" s="112"/>
      <c r="AZ34" s="109"/>
      <c r="BA34" s="113"/>
      <c r="BB34" s="111"/>
      <c r="BC34" s="111"/>
      <c r="BD34" s="112"/>
      <c r="BE34" s="109"/>
      <c r="BF34" s="113"/>
      <c r="BG34" s="111"/>
      <c r="BH34" s="111"/>
      <c r="BI34" s="112"/>
      <c r="BJ34" s="109"/>
      <c r="BK34" s="113"/>
      <c r="BL34" s="111"/>
      <c r="BM34" s="111"/>
      <c r="BN34" s="112"/>
      <c r="BO34" s="109"/>
      <c r="BP34" s="113"/>
      <c r="BQ34" s="111"/>
      <c r="BR34" s="111"/>
      <c r="BS34" s="116"/>
      <c r="BT34" s="109"/>
      <c r="BU34" s="113"/>
      <c r="BV34" s="111"/>
      <c r="BW34" s="111"/>
      <c r="BY34" s="109"/>
      <c r="BZ34" s="113"/>
      <c r="CA34" s="111"/>
      <c r="CB34" s="111"/>
      <c r="CD34" s="109"/>
      <c r="CE34" s="113"/>
      <c r="CF34" s="111"/>
      <c r="CG34" s="111"/>
      <c r="CI34" s="109"/>
      <c r="CJ34" s="113"/>
      <c r="CK34" s="111"/>
      <c r="CL34" s="111"/>
      <c r="CN34" s="109"/>
      <c r="CO34" s="113"/>
      <c r="CP34" s="111"/>
      <c r="CQ34" s="111"/>
      <c r="CS34" s="109"/>
      <c r="CT34" s="113"/>
      <c r="CU34" s="111"/>
      <c r="CV34" s="111"/>
      <c r="CX34" s="109"/>
      <c r="CY34" s="113"/>
      <c r="CZ34" s="111"/>
      <c r="DA34" s="111"/>
      <c r="DC34" s="109"/>
      <c r="DD34" s="113"/>
      <c r="DE34" s="111"/>
      <c r="DF34" s="111"/>
      <c r="DH34" s="109"/>
      <c r="DI34" s="113"/>
      <c r="DJ34" s="111"/>
      <c r="DK34" s="111"/>
      <c r="DM34" s="109"/>
      <c r="DN34" s="113"/>
      <c r="DO34" s="111"/>
      <c r="DP34" s="111"/>
      <c r="DR34" s="109"/>
      <c r="DS34" s="113"/>
      <c r="DT34" s="111"/>
      <c r="DU34" s="111"/>
      <c r="DW34" s="109"/>
      <c r="DX34" s="113"/>
      <c r="DY34" s="111"/>
      <c r="DZ34" s="111"/>
    </row>
    <row r="35" spans="2:130" ht="12" customHeight="1">
      <c r="C35" s="111" t="s">
        <v>98</v>
      </c>
      <c r="D35" s="288">
        <v>2025</v>
      </c>
      <c r="H35" s="111" t="s">
        <v>98</v>
      </c>
      <c r="I35" s="288">
        <v>2029</v>
      </c>
      <c r="M35" s="111" t="s">
        <v>98</v>
      </c>
      <c r="N35" s="288">
        <v>2028</v>
      </c>
      <c r="R35" s="111" t="s">
        <v>98</v>
      </c>
      <c r="S35" s="288">
        <v>2029</v>
      </c>
      <c r="W35" s="111" t="s">
        <v>98</v>
      </c>
      <c r="X35" s="288">
        <v>2025</v>
      </c>
      <c r="AB35" s="111" t="s">
        <v>98</v>
      </c>
      <c r="AC35" s="288">
        <v>2026</v>
      </c>
      <c r="AG35" s="111" t="s">
        <v>98</v>
      </c>
      <c r="AH35" s="288">
        <v>2026</v>
      </c>
      <c r="AL35" s="111" t="s">
        <v>98</v>
      </c>
      <c r="AM35" s="288">
        <v>2026</v>
      </c>
      <c r="AQ35" s="111" t="s">
        <v>98</v>
      </c>
      <c r="AR35" s="288">
        <v>2026</v>
      </c>
      <c r="AV35" s="111" t="s">
        <v>98</v>
      </c>
      <c r="AW35" s="288">
        <v>2037</v>
      </c>
      <c r="BA35" s="111" t="s">
        <v>98</v>
      </c>
      <c r="BB35" s="288">
        <v>2033</v>
      </c>
      <c r="BF35" s="111" t="s">
        <v>98</v>
      </c>
      <c r="BG35" s="288">
        <v>2026</v>
      </c>
      <c r="BK35" s="111" t="s">
        <v>98</v>
      </c>
      <c r="BL35" s="288">
        <v>2026</v>
      </c>
      <c r="BP35" s="111" t="s">
        <v>98</v>
      </c>
      <c r="BQ35" s="288">
        <v>2026</v>
      </c>
      <c r="BU35" s="111" t="s">
        <v>98</v>
      </c>
      <c r="BV35" s="288">
        <v>2026</v>
      </c>
      <c r="BZ35" s="111" t="s">
        <v>98</v>
      </c>
      <c r="CA35" s="288">
        <v>2024</v>
      </c>
      <c r="CE35" s="111" t="s">
        <v>98</v>
      </c>
      <c r="CF35" s="288">
        <v>2029</v>
      </c>
      <c r="CJ35" s="111" t="s">
        <v>98</v>
      </c>
      <c r="CK35" s="288">
        <v>2032</v>
      </c>
      <c r="CO35" s="111" t="s">
        <v>98</v>
      </c>
      <c r="CP35" s="288">
        <v>2030</v>
      </c>
      <c r="CT35" s="111" t="s">
        <v>98</v>
      </c>
      <c r="CU35" s="288">
        <v>2027</v>
      </c>
      <c r="CY35" s="111" t="s">
        <v>98</v>
      </c>
      <c r="CZ35" s="288">
        <v>2025</v>
      </c>
      <c r="DD35" s="111" t="s">
        <v>98</v>
      </c>
      <c r="DE35" s="288">
        <v>2026</v>
      </c>
      <c r="DI35" s="111" t="s">
        <v>98</v>
      </c>
      <c r="DJ35" s="288">
        <v>2024</v>
      </c>
      <c r="DN35" s="111" t="s">
        <v>98</v>
      </c>
      <c r="DO35" s="288">
        <v>2026</v>
      </c>
      <c r="DS35" s="111" t="s">
        <v>98</v>
      </c>
      <c r="DT35" s="288">
        <v>2028</v>
      </c>
      <c r="DX35" s="111" t="s">
        <v>98</v>
      </c>
      <c r="DY35" s="288">
        <v>2032</v>
      </c>
    </row>
    <row r="36" spans="2:130">
      <c r="C36" s="154" t="s">
        <v>84</v>
      </c>
      <c r="D36" s="288">
        <v>1200</v>
      </c>
      <c r="H36" s="154" t="s">
        <v>84</v>
      </c>
      <c r="I36" s="288">
        <v>728</v>
      </c>
      <c r="M36" s="154" t="s">
        <v>84</v>
      </c>
      <c r="N36" s="288">
        <v>1621</v>
      </c>
      <c r="R36" s="154" t="s">
        <v>84</v>
      </c>
      <c r="S36" s="288">
        <v>950</v>
      </c>
      <c r="W36" s="154" t="s">
        <v>84</v>
      </c>
      <c r="X36" s="288">
        <v>400</v>
      </c>
      <c r="AB36" s="154" t="s">
        <v>84</v>
      </c>
      <c r="AC36" s="288">
        <v>600</v>
      </c>
      <c r="AG36" s="154" t="s">
        <v>84</v>
      </c>
      <c r="AH36" s="288">
        <v>818</v>
      </c>
      <c r="AL36" s="154" t="s">
        <v>84</v>
      </c>
      <c r="AM36" s="288">
        <v>300</v>
      </c>
      <c r="AQ36" s="154" t="s">
        <v>84</v>
      </c>
      <c r="AR36" s="288">
        <v>300</v>
      </c>
      <c r="AV36" s="154" t="s">
        <v>84</v>
      </c>
      <c r="AW36" s="292">
        <v>30.038295000000002</v>
      </c>
      <c r="BA36" s="154" t="s">
        <v>84</v>
      </c>
      <c r="BB36" s="288">
        <v>389.45994000000002</v>
      </c>
      <c r="BF36" s="154" t="s">
        <v>84</v>
      </c>
      <c r="BG36" s="288">
        <v>1100</v>
      </c>
      <c r="BK36" s="154" t="s">
        <v>84</v>
      </c>
      <c r="BL36" s="288">
        <v>160</v>
      </c>
      <c r="BP36" s="154" t="s">
        <v>84</v>
      </c>
      <c r="BQ36" s="288">
        <v>240</v>
      </c>
      <c r="BU36" s="154" t="s">
        <v>84</v>
      </c>
      <c r="BV36" s="288">
        <v>331.1</v>
      </c>
      <c r="BZ36" s="154" t="s">
        <v>84</v>
      </c>
      <c r="CA36" s="288">
        <v>100</v>
      </c>
      <c r="CE36" s="154" t="s">
        <v>84</v>
      </c>
      <c r="CF36" s="288">
        <v>662</v>
      </c>
      <c r="CJ36" s="154" t="s">
        <v>84</v>
      </c>
      <c r="CK36" s="288">
        <v>130</v>
      </c>
      <c r="CO36" s="154" t="s">
        <v>84</v>
      </c>
      <c r="CP36" s="288">
        <v>558</v>
      </c>
      <c r="CT36" s="154" t="s">
        <v>84</v>
      </c>
      <c r="CU36" s="288">
        <v>733</v>
      </c>
      <c r="CY36" s="154" t="s">
        <v>84</v>
      </c>
      <c r="CZ36" s="288">
        <v>9</v>
      </c>
      <c r="DD36" s="154" t="s">
        <v>84</v>
      </c>
      <c r="DE36" s="288">
        <v>719</v>
      </c>
      <c r="DI36" s="154" t="s">
        <v>84</v>
      </c>
      <c r="DJ36" s="288">
        <v>80</v>
      </c>
      <c r="DN36" s="154" t="s">
        <v>84</v>
      </c>
      <c r="DO36" s="288">
        <v>449.99</v>
      </c>
      <c r="DS36" s="154" t="s">
        <v>84</v>
      </c>
      <c r="DT36" s="288">
        <v>180</v>
      </c>
      <c r="DX36" s="154" t="s">
        <v>84</v>
      </c>
      <c r="DY36" s="288">
        <v>100</v>
      </c>
    </row>
    <row r="37" spans="2:130">
      <c r="B37" s="112"/>
      <c r="C37" s="111" t="s">
        <v>134</v>
      </c>
      <c r="D37" s="256">
        <v>2604.6811089190955</v>
      </c>
      <c r="G37" s="112"/>
      <c r="H37" s="111" t="s">
        <v>134</v>
      </c>
      <c r="I37" s="256">
        <v>31.511573432724152</v>
      </c>
      <c r="L37" s="112"/>
      <c r="M37" s="111" t="s">
        <v>134</v>
      </c>
      <c r="N37" s="256">
        <v>1114.5397204770484</v>
      </c>
      <c r="Q37" s="112"/>
      <c r="R37" s="111" t="s">
        <v>134</v>
      </c>
      <c r="S37" s="256">
        <v>661.21023770582167</v>
      </c>
      <c r="V37" s="112"/>
      <c r="W37" s="111" t="s">
        <v>134</v>
      </c>
      <c r="X37" s="256">
        <v>69.207679346569321</v>
      </c>
      <c r="AA37" s="112"/>
      <c r="AB37" s="111" t="s">
        <v>134</v>
      </c>
      <c r="AC37" s="256">
        <v>0</v>
      </c>
      <c r="AF37" s="112"/>
      <c r="AG37" s="111" t="s">
        <v>134</v>
      </c>
      <c r="AH37" s="256">
        <v>880.55908570366523</v>
      </c>
      <c r="AK37" s="112"/>
      <c r="AL37" s="111" t="s">
        <v>134</v>
      </c>
      <c r="AM37" s="256">
        <v>142.00806071836004</v>
      </c>
      <c r="AP37" s="112"/>
      <c r="AQ37" s="111" t="s">
        <v>134</v>
      </c>
      <c r="AR37" s="256">
        <v>278.34718432103097</v>
      </c>
      <c r="AU37" s="112"/>
      <c r="AV37" s="111" t="s">
        <v>134</v>
      </c>
      <c r="AW37" s="256">
        <v>13.621676050052013</v>
      </c>
      <c r="AZ37" s="112"/>
      <c r="BA37" s="111" t="s">
        <v>134</v>
      </c>
      <c r="BB37" s="256">
        <v>473.1812229928538</v>
      </c>
      <c r="BE37" s="112"/>
      <c r="BF37" s="111" t="s">
        <v>134</v>
      </c>
      <c r="BG37" s="256">
        <v>16.390106890973531</v>
      </c>
      <c r="BJ37" s="112"/>
      <c r="BK37" s="111" t="s">
        <v>134</v>
      </c>
      <c r="BL37" s="256">
        <v>20.185211236214364</v>
      </c>
      <c r="BO37" s="112"/>
      <c r="BP37" s="111" t="s">
        <v>134</v>
      </c>
      <c r="BQ37" s="256">
        <v>15.299014391746605</v>
      </c>
      <c r="BT37" s="112"/>
      <c r="BU37" s="111" t="s">
        <v>134</v>
      </c>
      <c r="BV37" s="256">
        <v>17.362602379495804</v>
      </c>
      <c r="BY37" s="112"/>
      <c r="BZ37" s="111" t="s">
        <v>134</v>
      </c>
      <c r="CA37" s="256">
        <v>25.082506206818145</v>
      </c>
      <c r="CD37" s="112"/>
      <c r="CE37" s="111" t="s">
        <v>134</v>
      </c>
      <c r="CF37" s="256">
        <v>106.6877345287143</v>
      </c>
      <c r="CI37" s="112"/>
      <c r="CJ37" s="111" t="s">
        <v>134</v>
      </c>
      <c r="CK37" s="256">
        <v>73.040543844446049</v>
      </c>
      <c r="CN37" s="112"/>
      <c r="CO37" s="111" t="s">
        <v>134</v>
      </c>
      <c r="CP37" s="256">
        <v>120.57837736630458</v>
      </c>
      <c r="CS37" s="112"/>
      <c r="CT37" s="111" t="s">
        <v>134</v>
      </c>
      <c r="CU37" s="256">
        <v>78.280022714481433</v>
      </c>
      <c r="CX37" s="112"/>
      <c r="CY37" s="111" t="s">
        <v>134</v>
      </c>
      <c r="CZ37" s="256">
        <v>0.6030159728393345</v>
      </c>
      <c r="DC37" s="112"/>
      <c r="DD37" s="111" t="s">
        <v>134</v>
      </c>
      <c r="DE37" s="256">
        <v>24.786775254848241</v>
      </c>
      <c r="DH37" s="112"/>
      <c r="DI37" s="111" t="s">
        <v>134</v>
      </c>
      <c r="DJ37" s="256">
        <v>25.037025687809258</v>
      </c>
      <c r="DM37" s="112"/>
      <c r="DN37" s="111" t="s">
        <v>134</v>
      </c>
      <c r="DO37" s="256">
        <v>6.2856415717801388</v>
      </c>
      <c r="DR37" s="112"/>
      <c r="DS37" s="111" t="s">
        <v>134</v>
      </c>
      <c r="DT37" s="256">
        <v>21.717143405082631</v>
      </c>
      <c r="DW37" s="112"/>
      <c r="DX37" s="111" t="s">
        <v>134</v>
      </c>
      <c r="DY37" s="256">
        <v>85.259323347432272</v>
      </c>
    </row>
    <row r="38" spans="2:130">
      <c r="B38" s="112"/>
      <c r="C38" s="111" t="s">
        <v>135</v>
      </c>
      <c r="D38" s="289">
        <v>5.756E-2</v>
      </c>
      <c r="G38" s="112"/>
      <c r="H38" s="111" t="s">
        <v>135</v>
      </c>
      <c r="I38" s="289">
        <v>5.756E-2</v>
      </c>
      <c r="L38" s="112"/>
      <c r="M38" s="111" t="s">
        <v>135</v>
      </c>
      <c r="N38" s="289">
        <v>5.756E-2</v>
      </c>
      <c r="Q38" s="112"/>
      <c r="R38" s="111" t="s">
        <v>135</v>
      </c>
      <c r="S38" s="289">
        <v>5.756E-2</v>
      </c>
      <c r="V38" s="112"/>
      <c r="W38" s="111" t="s">
        <v>135</v>
      </c>
      <c r="X38" s="289">
        <v>5.756E-2</v>
      </c>
      <c r="AA38" s="112"/>
      <c r="AB38" s="111" t="s">
        <v>135</v>
      </c>
      <c r="AC38" s="289">
        <v>5.756E-2</v>
      </c>
      <c r="AF38" s="112"/>
      <c r="AG38" s="111" t="s">
        <v>135</v>
      </c>
      <c r="AH38" s="289">
        <v>5.756E-2</v>
      </c>
      <c r="AK38" s="112"/>
      <c r="AL38" s="111" t="s">
        <v>135</v>
      </c>
      <c r="AM38" s="289">
        <v>5.756E-2</v>
      </c>
      <c r="AP38" s="112"/>
      <c r="AQ38" s="111" t="s">
        <v>135</v>
      </c>
      <c r="AR38" s="289">
        <v>5.756E-2</v>
      </c>
      <c r="AU38" s="112"/>
      <c r="AV38" s="111" t="s">
        <v>135</v>
      </c>
      <c r="AW38" s="289">
        <v>5.756E-2</v>
      </c>
      <c r="AZ38" s="112"/>
      <c r="BA38" s="111" t="s">
        <v>135</v>
      </c>
      <c r="BB38" s="289">
        <v>5.756E-2</v>
      </c>
      <c r="BE38" s="112"/>
      <c r="BF38" s="111" t="s">
        <v>135</v>
      </c>
      <c r="BG38" s="289">
        <v>5.756E-2</v>
      </c>
      <c r="BJ38" s="112"/>
      <c r="BK38" s="111" t="s">
        <v>135</v>
      </c>
      <c r="BL38" s="289">
        <v>5.756E-2</v>
      </c>
      <c r="BO38" s="112"/>
      <c r="BP38" s="111" t="s">
        <v>135</v>
      </c>
      <c r="BQ38" s="289">
        <v>5.756E-2</v>
      </c>
      <c r="BT38" s="112"/>
      <c r="BU38" s="111" t="s">
        <v>135</v>
      </c>
      <c r="BV38" s="289">
        <v>5.756E-2</v>
      </c>
      <c r="BY38" s="112"/>
      <c r="BZ38" s="111" t="s">
        <v>135</v>
      </c>
      <c r="CA38" s="289">
        <v>5.756E-2</v>
      </c>
      <c r="CD38" s="112"/>
      <c r="CE38" s="111" t="s">
        <v>135</v>
      </c>
      <c r="CF38" s="289">
        <v>5.756E-2</v>
      </c>
      <c r="CI38" s="112"/>
      <c r="CJ38" s="111" t="s">
        <v>135</v>
      </c>
      <c r="CK38" s="289">
        <v>5.756E-2</v>
      </c>
      <c r="CN38" s="112"/>
      <c r="CO38" s="111" t="s">
        <v>135</v>
      </c>
      <c r="CP38" s="289">
        <v>5.756E-2</v>
      </c>
      <c r="CS38" s="112"/>
      <c r="CT38" s="111" t="s">
        <v>135</v>
      </c>
      <c r="CU38" s="289">
        <v>5.756E-2</v>
      </c>
      <c r="CX38" s="112"/>
      <c r="CY38" s="111" t="s">
        <v>135</v>
      </c>
      <c r="CZ38" s="289">
        <v>5.756E-2</v>
      </c>
      <c r="DC38" s="112"/>
      <c r="DD38" s="111" t="s">
        <v>135</v>
      </c>
      <c r="DE38" s="289">
        <v>5.756E-2</v>
      </c>
      <c r="DH38" s="112"/>
      <c r="DI38" s="111" t="s">
        <v>135</v>
      </c>
      <c r="DJ38" s="289">
        <v>5.756E-2</v>
      </c>
      <c r="DM38" s="112"/>
      <c r="DN38" s="111" t="s">
        <v>135</v>
      </c>
      <c r="DO38" s="289">
        <v>5.756E-2</v>
      </c>
      <c r="DR38" s="112"/>
      <c r="DS38" s="111" t="s">
        <v>135</v>
      </c>
      <c r="DT38" s="289">
        <v>5.756E-2</v>
      </c>
      <c r="DW38" s="112"/>
      <c r="DX38" s="111" t="s">
        <v>135</v>
      </c>
      <c r="DY38" s="289">
        <v>5.756E-2</v>
      </c>
    </row>
    <row r="39" spans="2:130" ht="41.25" customHeight="1">
      <c r="B39" s="427" t="s">
        <v>142</v>
      </c>
      <c r="C39" s="427"/>
      <c r="D39" s="290">
        <f>D37*1000000*D38/(D36*1000)</f>
        <v>124.93787052448596</v>
      </c>
      <c r="G39" s="427" t="s">
        <v>150</v>
      </c>
      <c r="H39" s="427"/>
      <c r="I39" s="290">
        <f>I37*1000000*I38/(I36*1000)</f>
        <v>2.4914919873456074</v>
      </c>
      <c r="L39" s="427" t="s">
        <v>146</v>
      </c>
      <c r="M39" s="427"/>
      <c r="N39" s="290">
        <f>N37*1000000*N38/(N36*1000)</f>
        <v>39.576129741307163</v>
      </c>
      <c r="Q39" s="431" t="s">
        <v>150</v>
      </c>
      <c r="R39" s="431"/>
      <c r="S39" s="290">
        <f>S37*1000000*S38/(S36*1000)</f>
        <v>40.062380297207461</v>
      </c>
      <c r="V39" s="431" t="s">
        <v>142</v>
      </c>
      <c r="W39" s="431"/>
      <c r="X39" s="290">
        <f>X37*1000000*X38/(X36*1000)</f>
        <v>9.9589850579713239</v>
      </c>
      <c r="AA39" s="431" t="s">
        <v>145</v>
      </c>
      <c r="AB39" s="431"/>
      <c r="AC39" s="290">
        <f>AC37*1000000*AC38/(AC36*1000)</f>
        <v>0</v>
      </c>
      <c r="AF39" s="431" t="s">
        <v>145</v>
      </c>
      <c r="AG39" s="431"/>
      <c r="AH39" s="290">
        <f>AH37*1000000*AH38/(AH36*1000)</f>
        <v>61.962079429221234</v>
      </c>
      <c r="AK39" s="431" t="s">
        <v>145</v>
      </c>
      <c r="AL39" s="431"/>
      <c r="AM39" s="290">
        <f>AM37*1000000*AM38/(AM36*1000)</f>
        <v>27.246613249829345</v>
      </c>
      <c r="AP39" s="431" t="s">
        <v>145</v>
      </c>
      <c r="AQ39" s="431"/>
      <c r="AR39" s="290">
        <f>AR37*1000000*AR38/(AR36*1000)</f>
        <v>53.405546431728474</v>
      </c>
      <c r="AU39" s="431" t="s">
        <v>374</v>
      </c>
      <c r="AV39" s="431"/>
      <c r="AW39" s="290">
        <f>AW37*1000000*AW38/(AW36*1000)</f>
        <v>26.102136404246441</v>
      </c>
      <c r="AZ39" s="431" t="s">
        <v>136</v>
      </c>
      <c r="BA39" s="431"/>
      <c r="BB39" s="290">
        <f>BB37*1000000*BB38/(BB36*1000)</f>
        <v>69.933537183487118</v>
      </c>
      <c r="BE39" s="431" t="s">
        <v>145</v>
      </c>
      <c r="BF39" s="431"/>
      <c r="BG39" s="290">
        <f>BG37*1000000*BG38/(BG36*1000)</f>
        <v>0.85764959331312407</v>
      </c>
      <c r="BJ39" s="431" t="s">
        <v>145</v>
      </c>
      <c r="BK39" s="431"/>
      <c r="BL39" s="290">
        <f>BL37*1000000*BL38/(BL36*1000)</f>
        <v>7.2616297422281173</v>
      </c>
      <c r="BO39" s="431" t="s">
        <v>145</v>
      </c>
      <c r="BP39" s="431"/>
      <c r="BQ39" s="290">
        <f>BQ37*1000000*BQ38/(BQ36*1000)</f>
        <v>3.6692136182872273</v>
      </c>
      <c r="BT39" s="431" t="s">
        <v>145</v>
      </c>
      <c r="BU39" s="431"/>
      <c r="BV39" s="290">
        <f>BV37*1000000*BV38/(BV36*1000)</f>
        <v>3.0183974417510675</v>
      </c>
      <c r="BY39" s="427" t="s">
        <v>133</v>
      </c>
      <c r="BZ39" s="427"/>
      <c r="CA39" s="290">
        <f>CA37*1000000*CA38/(CA36*1000)</f>
        <v>14.437490572644524</v>
      </c>
      <c r="CD39" s="427" t="s">
        <v>150</v>
      </c>
      <c r="CE39" s="427"/>
      <c r="CF39" s="290">
        <f>CF37*1000000*CF38/(CF36*1000)</f>
        <v>9.2763534735238604</v>
      </c>
      <c r="CI39" s="427" t="s">
        <v>143</v>
      </c>
      <c r="CJ39" s="427"/>
      <c r="CK39" s="290">
        <f>CK37*1000000*CK38/(CK36*1000)</f>
        <v>32.340105412971653</v>
      </c>
      <c r="CN39" s="427" t="s">
        <v>362</v>
      </c>
      <c r="CO39" s="427"/>
      <c r="CP39" s="290">
        <f>CP37*1000000*CP38/(CP36*1000)</f>
        <v>12.43815663298296</v>
      </c>
      <c r="CS39" s="427" t="s">
        <v>365</v>
      </c>
      <c r="CT39" s="427"/>
      <c r="CU39" s="290">
        <f>CU37*1000000*CU38/(CU36*1000)</f>
        <v>6.1470642666378597</v>
      </c>
      <c r="CX39" s="427" t="s">
        <v>142</v>
      </c>
      <c r="CY39" s="427"/>
      <c r="CZ39" s="290">
        <f>CZ37*1000000*CZ38/(CZ36*1000)</f>
        <v>3.856622155181344</v>
      </c>
      <c r="DC39" s="427" t="s">
        <v>145</v>
      </c>
      <c r="DD39" s="427"/>
      <c r="DE39" s="290">
        <f>DE37*1000000*DE38/(DE36*1000)</f>
        <v>1.9843209786774196</v>
      </c>
      <c r="DH39" s="427" t="s">
        <v>133</v>
      </c>
      <c r="DI39" s="427"/>
      <c r="DJ39" s="290">
        <f>DJ37*1000000*DJ38/(DJ36*1000)</f>
        <v>18.014139982378762</v>
      </c>
      <c r="DM39" s="427" t="s">
        <v>145</v>
      </c>
      <c r="DN39" s="427"/>
      <c r="DO39" s="290">
        <f>DO37*1000000*DO38/(DO36*1000)</f>
        <v>0.80402126463180246</v>
      </c>
      <c r="DR39" s="427" t="s">
        <v>146</v>
      </c>
      <c r="DS39" s="427"/>
      <c r="DT39" s="290">
        <f>DT37*1000000*DT38/(DT36*1000)</f>
        <v>6.9446598577586451</v>
      </c>
      <c r="DW39" s="427" t="s">
        <v>143</v>
      </c>
      <c r="DX39" s="427"/>
      <c r="DY39" s="290">
        <f>DY37*1000000*DY38/(DY36*1000)</f>
        <v>49.075266518782016</v>
      </c>
    </row>
    <row r="40" spans="2:130">
      <c r="B40" s="109"/>
      <c r="C40" s="113"/>
      <c r="D40" s="111"/>
      <c r="E40" s="111"/>
      <c r="F40" s="112"/>
      <c r="I40" s="112"/>
      <c r="J40" s="112"/>
      <c r="K40" s="112"/>
      <c r="N40" s="112"/>
      <c r="O40" s="112"/>
      <c r="U40" s="112"/>
      <c r="X40" s="112"/>
      <c r="Y40" s="112"/>
      <c r="Z40" s="112"/>
      <c r="AC40" s="112"/>
      <c r="AD40" s="112"/>
      <c r="AE40" s="112"/>
      <c r="AH40" s="112"/>
      <c r="AI40" s="112"/>
      <c r="AJ40" s="112"/>
      <c r="AM40" s="112"/>
      <c r="AN40" s="112"/>
      <c r="AO40" s="112"/>
      <c r="AR40" s="112"/>
      <c r="AS40" s="112"/>
      <c r="AT40" s="112"/>
      <c r="AW40" s="112"/>
      <c r="AX40" s="112"/>
      <c r="AY40" s="112"/>
      <c r="BB40" s="112"/>
      <c r="BC40" s="112"/>
      <c r="BD40" s="112"/>
      <c r="BG40" s="112"/>
      <c r="BH40" s="112"/>
      <c r="BI40" s="112"/>
      <c r="BL40" s="112"/>
      <c r="BM40" s="112"/>
      <c r="BN40" s="112"/>
      <c r="BQ40" s="112"/>
      <c r="BR40" s="112"/>
      <c r="BS40" s="116"/>
    </row>
    <row r="41" spans="2:130">
      <c r="E41" s="111"/>
      <c r="I41" s="112"/>
      <c r="J41" s="112"/>
      <c r="K41" s="116"/>
    </row>
    <row r="42" spans="2:130">
      <c r="D42" s="130"/>
    </row>
    <row r="43" spans="2:130">
      <c r="B43"/>
      <c r="C43"/>
      <c r="D43"/>
      <c r="E43"/>
      <c r="F43"/>
      <c r="G43"/>
      <c r="H43"/>
      <c r="I43"/>
      <c r="J43"/>
      <c r="K43"/>
    </row>
    <row r="44" spans="2:130">
      <c r="B44"/>
      <c r="C44"/>
      <c r="D44"/>
      <c r="E44"/>
      <c r="F44"/>
      <c r="G44"/>
      <c r="H44"/>
      <c r="I44"/>
      <c r="J44"/>
      <c r="K44"/>
    </row>
    <row r="45" spans="2:130">
      <c r="B45"/>
      <c r="C45"/>
      <c r="D45"/>
      <c r="E45"/>
      <c r="F45"/>
      <c r="G45"/>
      <c r="H45"/>
      <c r="I45"/>
      <c r="J45"/>
      <c r="K45"/>
    </row>
    <row r="46" spans="2:130">
      <c r="B46"/>
      <c r="C46"/>
      <c r="D46"/>
      <c r="E46"/>
      <c r="F46"/>
      <c r="G46"/>
      <c r="H46"/>
      <c r="I46"/>
      <c r="J46"/>
      <c r="K46"/>
    </row>
    <row r="47" spans="2:130">
      <c r="B47"/>
      <c r="C47"/>
      <c r="D47"/>
      <c r="E47"/>
      <c r="F47"/>
      <c r="G47"/>
      <c r="H47"/>
      <c r="I47"/>
      <c r="J47"/>
      <c r="K47"/>
    </row>
    <row r="48" spans="2:130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64" spans="2:11">
      <c r="C64" s="127"/>
      <c r="D64" s="130"/>
    </row>
    <row r="65" spans="3:4">
      <c r="C65" s="127"/>
      <c r="D65" s="130"/>
    </row>
    <row r="66" spans="3:4">
      <c r="C66" s="127"/>
      <c r="D66" s="130"/>
    </row>
    <row r="67" spans="3:4">
      <c r="C67" s="127"/>
      <c r="D67" s="130"/>
    </row>
    <row r="68" spans="3:4">
      <c r="C68" s="127"/>
      <c r="D68" s="130"/>
    </row>
    <row r="69" spans="3:4">
      <c r="C69" s="127"/>
      <c r="D69" s="130"/>
    </row>
    <row r="70" spans="3:4">
      <c r="C70" s="127"/>
      <c r="D70" s="130"/>
    </row>
    <row r="71" spans="3:4">
      <c r="C71" s="127"/>
      <c r="D71" s="130"/>
    </row>
    <row r="72" spans="3:4">
      <c r="C72" s="127"/>
      <c r="D72" s="130"/>
    </row>
    <row r="73" spans="3:4">
      <c r="C73" s="127"/>
      <c r="D73" s="130"/>
    </row>
  </sheetData>
  <mergeCells count="52">
    <mergeCell ref="AF4:AI4"/>
    <mergeCell ref="AF39:AG39"/>
    <mergeCell ref="AK4:AN4"/>
    <mergeCell ref="AK39:AL39"/>
    <mergeCell ref="AU4:AX4"/>
    <mergeCell ref="AU39:AV39"/>
    <mergeCell ref="BY4:CB4"/>
    <mergeCell ref="BY39:BZ39"/>
    <mergeCell ref="BT4:BW4"/>
    <mergeCell ref="BT39:BU39"/>
    <mergeCell ref="Q4:T4"/>
    <mergeCell ref="Q39:R39"/>
    <mergeCell ref="BO4:BR4"/>
    <mergeCell ref="BO39:BP39"/>
    <mergeCell ref="AP4:AS4"/>
    <mergeCell ref="AP39:AQ39"/>
    <mergeCell ref="AZ4:BC4"/>
    <mergeCell ref="AZ39:BA39"/>
    <mergeCell ref="BE4:BH4"/>
    <mergeCell ref="BE39:BF39"/>
    <mergeCell ref="BJ4:BM4"/>
    <mergeCell ref="BJ39:BK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  <mergeCell ref="DW4:DZ4"/>
    <mergeCell ref="DW39:DX39"/>
    <mergeCell ref="CX4:DA4"/>
    <mergeCell ref="CX39:CY39"/>
    <mergeCell ref="DC4:DF4"/>
    <mergeCell ref="DC39:DD39"/>
    <mergeCell ref="DH4:DK4"/>
    <mergeCell ref="DH39:DI39"/>
    <mergeCell ref="CD4:CG4"/>
    <mergeCell ref="CD39:CE39"/>
    <mergeCell ref="DM4:DP4"/>
    <mergeCell ref="DM39:DN39"/>
    <mergeCell ref="DR4:DU4"/>
    <mergeCell ref="DR39:DS39"/>
    <mergeCell ref="CI4:CL4"/>
    <mergeCell ref="CI39:CJ39"/>
    <mergeCell ref="CN4:CQ4"/>
    <mergeCell ref="CN39:CO39"/>
    <mergeCell ref="CS4:CV4"/>
    <mergeCell ref="CS39:CT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A388-BE7D-412D-A7F1-78114089B909}">
  <dimension ref="A1:AP101"/>
  <sheetViews>
    <sheetView zoomScale="90" zoomScaleNormal="90" workbookViewId="0">
      <pane ySplit="2" topLeftCell="A78" activePane="bottomLeft" state="frozen"/>
      <selection pane="bottomLeft" activeCell="R88" sqref="R88"/>
    </sheetView>
  </sheetViews>
  <sheetFormatPr defaultRowHeight="12.75"/>
  <cols>
    <col min="3" max="3" width="34.6640625" customWidth="1"/>
    <col min="4" max="4" width="16.1640625" customWidth="1"/>
    <col min="10" max="10" width="11.83203125" customWidth="1"/>
    <col min="12" max="12" width="13.83203125" customWidth="1"/>
    <col min="18" max="18" width="14.83203125" customWidth="1"/>
  </cols>
  <sheetData>
    <row r="1" spans="1:42">
      <c r="A1" s="278" t="s">
        <v>300</v>
      </c>
    </row>
    <row r="2" spans="1:42" s="174" customFormat="1" ht="63.75">
      <c r="A2" s="174" t="s">
        <v>176</v>
      </c>
      <c r="B2" s="174" t="s">
        <v>153</v>
      </c>
      <c r="C2" s="174" t="s">
        <v>177</v>
      </c>
      <c r="D2" s="174" t="s">
        <v>168</v>
      </c>
      <c r="E2" s="174" t="s">
        <v>178</v>
      </c>
      <c r="F2" s="174" t="s">
        <v>179</v>
      </c>
      <c r="G2" s="174" t="s">
        <v>180</v>
      </c>
      <c r="H2" s="174" t="s">
        <v>181</v>
      </c>
      <c r="I2" s="174" t="s">
        <v>182</v>
      </c>
      <c r="J2" s="174" t="s">
        <v>183</v>
      </c>
      <c r="K2" s="174" t="s">
        <v>184</v>
      </c>
      <c r="L2" s="174" t="s">
        <v>185</v>
      </c>
      <c r="M2" s="174" t="s">
        <v>186</v>
      </c>
      <c r="N2" s="174" t="s">
        <v>187</v>
      </c>
      <c r="O2" s="174" t="s">
        <v>188</v>
      </c>
      <c r="P2" s="174" t="s">
        <v>189</v>
      </c>
      <c r="Q2" s="174" t="s">
        <v>190</v>
      </c>
      <c r="R2" s="174" t="s">
        <v>191</v>
      </c>
      <c r="S2" s="174" t="s">
        <v>192</v>
      </c>
      <c r="T2" s="174" t="s">
        <v>157</v>
      </c>
      <c r="U2" s="174" t="s">
        <v>193</v>
      </c>
      <c r="V2" s="174" t="s">
        <v>194</v>
      </c>
      <c r="W2" s="174" t="s">
        <v>195</v>
      </c>
      <c r="X2" s="174" t="s">
        <v>196</v>
      </c>
      <c r="Y2" s="174" t="s">
        <v>197</v>
      </c>
      <c r="Z2" s="174" t="s">
        <v>198</v>
      </c>
      <c r="AA2" s="174" t="s">
        <v>199</v>
      </c>
      <c r="AB2" s="174" t="s">
        <v>200</v>
      </c>
      <c r="AC2" s="174" t="s">
        <v>201</v>
      </c>
      <c r="AD2" s="174" t="s">
        <v>202</v>
      </c>
      <c r="AE2" s="174" t="s">
        <v>203</v>
      </c>
      <c r="AF2" s="174" t="s">
        <v>204</v>
      </c>
      <c r="AG2" s="174" t="s">
        <v>205</v>
      </c>
      <c r="AH2" s="174" t="s">
        <v>206</v>
      </c>
      <c r="AI2" s="174" t="s">
        <v>207</v>
      </c>
      <c r="AJ2" s="174" t="s">
        <v>208</v>
      </c>
      <c r="AK2" s="174" t="s">
        <v>209</v>
      </c>
      <c r="AL2" s="174" t="s">
        <v>210</v>
      </c>
      <c r="AM2" s="174" t="s">
        <v>211</v>
      </c>
      <c r="AN2" s="174" t="s">
        <v>212</v>
      </c>
      <c r="AO2" s="174" t="s">
        <v>213</v>
      </c>
      <c r="AP2" s="174" t="s">
        <v>214</v>
      </c>
    </row>
    <row r="3" spans="1:42">
      <c r="A3" t="s">
        <v>170</v>
      </c>
      <c r="B3" t="s">
        <v>215</v>
      </c>
      <c r="C3" t="s">
        <v>216</v>
      </c>
      <c r="D3" t="s">
        <v>217</v>
      </c>
      <c r="E3">
        <v>2025</v>
      </c>
      <c r="F3">
        <v>118.39435206164001</v>
      </c>
      <c r="I3">
        <v>0</v>
      </c>
      <c r="J3" s="248">
        <v>4238.5177134810274</v>
      </c>
      <c r="K3">
        <v>0</v>
      </c>
      <c r="L3">
        <v>6585.5072424049131</v>
      </c>
      <c r="M3">
        <v>295</v>
      </c>
      <c r="N3">
        <v>295</v>
      </c>
      <c r="O3">
        <v>1</v>
      </c>
      <c r="P3">
        <v>0</v>
      </c>
      <c r="Q3">
        <v>295</v>
      </c>
      <c r="R3">
        <v>454622.55616722</v>
      </c>
      <c r="S3">
        <v>0</v>
      </c>
      <c r="T3">
        <v>295</v>
      </c>
      <c r="U3">
        <v>0</v>
      </c>
      <c r="V3">
        <v>0</v>
      </c>
      <c r="W3" t="s">
        <v>218</v>
      </c>
      <c r="X3" t="s">
        <v>219</v>
      </c>
      <c r="Y3" t="s">
        <v>220</v>
      </c>
      <c r="Z3" t="s">
        <v>221</v>
      </c>
      <c r="AA3" t="s">
        <v>222</v>
      </c>
      <c r="AB3" t="s">
        <v>223</v>
      </c>
      <c r="AC3" t="s">
        <v>224</v>
      </c>
      <c r="AD3" t="s">
        <v>225</v>
      </c>
      <c r="AE3" t="s">
        <v>226</v>
      </c>
      <c r="AF3" t="s">
        <v>227</v>
      </c>
      <c r="AI3" t="s">
        <v>220</v>
      </c>
      <c r="AJ3" t="s">
        <v>220</v>
      </c>
      <c r="AK3">
        <v>295</v>
      </c>
      <c r="AL3">
        <v>0</v>
      </c>
      <c r="AM3" t="s">
        <v>220</v>
      </c>
      <c r="AN3" t="s">
        <v>228</v>
      </c>
      <c r="AO3" t="s">
        <v>223</v>
      </c>
      <c r="AP3" t="s">
        <v>229</v>
      </c>
    </row>
    <row r="4" spans="1:42" s="280" customFormat="1">
      <c r="J4" s="260">
        <f>J3/F3</f>
        <v>35.799999237077756</v>
      </c>
      <c r="L4" s="280">
        <f>L3/Q3</f>
        <v>22.32375336408445</v>
      </c>
      <c r="R4" s="280">
        <f>R3/Q3</f>
        <v>1541.0934107363389</v>
      </c>
    </row>
    <row r="5" spans="1:42">
      <c r="A5" t="s">
        <v>170</v>
      </c>
      <c r="B5" t="s">
        <v>215</v>
      </c>
      <c r="C5" t="s">
        <v>428</v>
      </c>
      <c r="D5" t="s">
        <v>217</v>
      </c>
      <c r="E5">
        <v>2025</v>
      </c>
      <c r="F5">
        <v>9.4142584670500007</v>
      </c>
      <c r="I5">
        <v>0</v>
      </c>
      <c r="J5" s="248">
        <v>337.03044593648968</v>
      </c>
      <c r="K5">
        <v>0</v>
      </c>
      <c r="L5">
        <v>446.47506728330319</v>
      </c>
      <c r="M5">
        <v>20</v>
      </c>
      <c r="N5">
        <v>20</v>
      </c>
      <c r="O5">
        <v>1</v>
      </c>
      <c r="P5">
        <v>0</v>
      </c>
      <c r="Q5">
        <v>20</v>
      </c>
      <c r="R5">
        <v>32089.920294759999</v>
      </c>
      <c r="S5">
        <v>0</v>
      </c>
      <c r="T5">
        <v>20</v>
      </c>
      <c r="U5">
        <v>0</v>
      </c>
      <c r="V5">
        <v>0</v>
      </c>
      <c r="W5" t="s">
        <v>218</v>
      </c>
      <c r="X5" t="s">
        <v>219</v>
      </c>
      <c r="Y5" t="s">
        <v>220</v>
      </c>
      <c r="Z5" t="s">
        <v>429</v>
      </c>
      <c r="AA5" t="s">
        <v>222</v>
      </c>
      <c r="AB5" t="s">
        <v>223</v>
      </c>
      <c r="AC5" t="s">
        <v>224</v>
      </c>
      <c r="AD5" t="s">
        <v>225</v>
      </c>
      <c r="AE5" t="s">
        <v>226</v>
      </c>
      <c r="AF5" t="s">
        <v>227</v>
      </c>
      <c r="AI5" t="s">
        <v>220</v>
      </c>
      <c r="AJ5" t="s">
        <v>220</v>
      </c>
      <c r="AK5">
        <v>20</v>
      </c>
      <c r="AL5">
        <v>0</v>
      </c>
      <c r="AM5" t="s">
        <v>220</v>
      </c>
      <c r="AN5" t="s">
        <v>228</v>
      </c>
      <c r="AO5" t="s">
        <v>223</v>
      </c>
      <c r="AP5" t="s">
        <v>229</v>
      </c>
    </row>
    <row r="6" spans="1:42" s="280" customFormat="1">
      <c r="J6" s="260">
        <f>J5/F5</f>
        <v>35.799999236912775</v>
      </c>
      <c r="L6" s="280">
        <f>L5/Q5</f>
        <v>22.32375336416516</v>
      </c>
      <c r="R6" s="280">
        <f>R5/Q5</f>
        <v>1604.496014738</v>
      </c>
    </row>
    <row r="7" spans="1:42">
      <c r="A7" t="s">
        <v>170</v>
      </c>
      <c r="B7" t="s">
        <v>215</v>
      </c>
      <c r="C7" t="s">
        <v>377</v>
      </c>
      <c r="D7" t="s">
        <v>217</v>
      </c>
      <c r="E7">
        <v>2028</v>
      </c>
      <c r="F7">
        <v>1939.4884733809979</v>
      </c>
      <c r="I7">
        <v>0</v>
      </c>
      <c r="J7">
        <v>-74573.333281210595</v>
      </c>
      <c r="K7">
        <v>0</v>
      </c>
      <c r="L7">
        <v>17238.451741752109</v>
      </c>
      <c r="M7">
        <v>200</v>
      </c>
      <c r="N7">
        <v>686.59360000000004</v>
      </c>
      <c r="O7">
        <v>3.4329679999999998</v>
      </c>
      <c r="P7">
        <v>0</v>
      </c>
      <c r="Q7">
        <v>686.59360000000004</v>
      </c>
      <c r="R7">
        <v>1058104.87281373</v>
      </c>
      <c r="S7">
        <v>0</v>
      </c>
      <c r="T7">
        <v>686.59360000000004</v>
      </c>
      <c r="U7">
        <v>0</v>
      </c>
      <c r="V7">
        <v>0</v>
      </c>
      <c r="W7" t="s">
        <v>218</v>
      </c>
      <c r="X7" t="s">
        <v>219</v>
      </c>
      <c r="Y7" t="s">
        <v>220</v>
      </c>
      <c r="Z7" t="s">
        <v>378</v>
      </c>
      <c r="AA7" t="s">
        <v>222</v>
      </c>
      <c r="AB7" t="s">
        <v>223</v>
      </c>
      <c r="AC7" t="s">
        <v>224</v>
      </c>
      <c r="AD7" t="s">
        <v>225</v>
      </c>
      <c r="AE7" t="s">
        <v>226</v>
      </c>
      <c r="AF7" t="s">
        <v>318</v>
      </c>
      <c r="AI7" t="s">
        <v>220</v>
      </c>
      <c r="AJ7" t="s">
        <v>220</v>
      </c>
      <c r="AK7">
        <v>686.59360000000004</v>
      </c>
      <c r="AL7">
        <v>0</v>
      </c>
      <c r="AM7" t="s">
        <v>220</v>
      </c>
      <c r="AN7" t="s">
        <v>228</v>
      </c>
      <c r="AO7" t="s">
        <v>223</v>
      </c>
      <c r="AP7" t="s">
        <v>229</v>
      </c>
    </row>
    <row r="8" spans="1:42" s="280" customFormat="1">
      <c r="J8" s="379">
        <f>J7/F7</f>
        <v>-38.450000762938913</v>
      </c>
      <c r="L8" s="280">
        <f>L7/Q7</f>
        <v>25.107212973951562</v>
      </c>
      <c r="R8" s="280">
        <f>R7/Q7</f>
        <v>1541.0934107363221</v>
      </c>
    </row>
    <row r="9" spans="1:42">
      <c r="A9" t="s">
        <v>170</v>
      </c>
      <c r="B9" t="s">
        <v>215</v>
      </c>
      <c r="C9" t="s">
        <v>379</v>
      </c>
      <c r="D9" t="s">
        <v>217</v>
      </c>
      <c r="E9">
        <v>2028</v>
      </c>
      <c r="F9">
        <v>2318.489409135047</v>
      </c>
      <c r="I9">
        <v>0</v>
      </c>
      <c r="J9">
        <v>-89145.919550108636</v>
      </c>
      <c r="K9">
        <v>0</v>
      </c>
      <c r="L9">
        <v>20607.066420693609</v>
      </c>
      <c r="M9">
        <v>200</v>
      </c>
      <c r="N9">
        <v>820.76279999999997</v>
      </c>
      <c r="O9">
        <v>4.1038139999999999</v>
      </c>
      <c r="P9">
        <v>0</v>
      </c>
      <c r="Q9">
        <v>820.76279999999997</v>
      </c>
      <c r="R9">
        <v>1264872.1428574901</v>
      </c>
      <c r="S9">
        <v>0</v>
      </c>
      <c r="T9">
        <v>820.76279999999997</v>
      </c>
      <c r="U9">
        <v>0</v>
      </c>
      <c r="V9">
        <v>0</v>
      </c>
      <c r="W9" t="s">
        <v>218</v>
      </c>
      <c r="X9" t="s">
        <v>219</v>
      </c>
      <c r="Y9" t="s">
        <v>220</v>
      </c>
      <c r="Z9" t="s">
        <v>380</v>
      </c>
      <c r="AA9" t="s">
        <v>222</v>
      </c>
      <c r="AB9" t="s">
        <v>223</v>
      </c>
      <c r="AC9" t="s">
        <v>224</v>
      </c>
      <c r="AD9" t="s">
        <v>225</v>
      </c>
      <c r="AE9" t="s">
        <v>226</v>
      </c>
      <c r="AF9" t="s">
        <v>318</v>
      </c>
      <c r="AI9" t="s">
        <v>220</v>
      </c>
      <c r="AJ9" t="s">
        <v>220</v>
      </c>
      <c r="AK9">
        <v>820.76279999999997</v>
      </c>
      <c r="AL9">
        <v>0</v>
      </c>
      <c r="AM9" t="s">
        <v>220</v>
      </c>
      <c r="AN9" t="s">
        <v>228</v>
      </c>
      <c r="AO9" t="s">
        <v>223</v>
      </c>
      <c r="AP9" t="s">
        <v>229</v>
      </c>
    </row>
    <row r="10" spans="1:42" s="280" customFormat="1">
      <c r="J10" s="379">
        <f>J9/F9</f>
        <v>-38.450000762939034</v>
      </c>
      <c r="L10" s="280">
        <f>L9/Q9</f>
        <v>25.107212973947661</v>
      </c>
      <c r="R10" s="280">
        <f>R9/Q9</f>
        <v>1541.0934107363178</v>
      </c>
    </row>
    <row r="11" spans="1:42">
      <c r="A11" t="s">
        <v>170</v>
      </c>
      <c r="B11" t="s">
        <v>215</v>
      </c>
      <c r="C11" t="s">
        <v>375</v>
      </c>
      <c r="D11" t="s">
        <v>217</v>
      </c>
      <c r="E11">
        <v>2028</v>
      </c>
      <c r="F11">
        <v>977.4428798992102</v>
      </c>
      <c r="I11">
        <v>0</v>
      </c>
      <c r="J11">
        <v>-37582.679477856123</v>
      </c>
      <c r="K11">
        <v>0</v>
      </c>
      <c r="L11">
        <v>9708.8913482219559</v>
      </c>
      <c r="M11">
        <v>200</v>
      </c>
      <c r="N11">
        <v>400</v>
      </c>
      <c r="O11">
        <v>2</v>
      </c>
      <c r="P11">
        <v>0</v>
      </c>
      <c r="Q11">
        <v>400</v>
      </c>
      <c r="R11">
        <v>622778.96939468</v>
      </c>
      <c r="S11">
        <v>0</v>
      </c>
      <c r="T11">
        <v>400</v>
      </c>
      <c r="U11">
        <v>0</v>
      </c>
      <c r="V11">
        <v>0</v>
      </c>
      <c r="W11" t="s">
        <v>218</v>
      </c>
      <c r="X11" t="s">
        <v>259</v>
      </c>
      <c r="Y11" t="s">
        <v>220</v>
      </c>
      <c r="Z11" t="s">
        <v>376</v>
      </c>
      <c r="AA11" t="s">
        <v>222</v>
      </c>
      <c r="AB11" t="s">
        <v>223</v>
      </c>
      <c r="AC11" t="s">
        <v>224</v>
      </c>
      <c r="AD11" t="s">
        <v>225</v>
      </c>
      <c r="AE11" t="s">
        <v>226</v>
      </c>
      <c r="AF11" t="s">
        <v>318</v>
      </c>
      <c r="AI11" t="s">
        <v>220</v>
      </c>
      <c r="AJ11" t="s">
        <v>220</v>
      </c>
      <c r="AK11">
        <v>400</v>
      </c>
      <c r="AL11">
        <v>0</v>
      </c>
      <c r="AM11" t="s">
        <v>220</v>
      </c>
      <c r="AN11" t="s">
        <v>262</v>
      </c>
      <c r="AO11" t="s">
        <v>223</v>
      </c>
      <c r="AP11" t="s">
        <v>229</v>
      </c>
    </row>
    <row r="12" spans="1:42" s="280" customFormat="1">
      <c r="J12" s="379">
        <f>J11/F11</f>
        <v>-38.450000762941251</v>
      </c>
      <c r="L12" s="280">
        <f>L11/Q11</f>
        <v>24.272228370554888</v>
      </c>
      <c r="R12" s="280">
        <f>R11/Q11</f>
        <v>1556.9474234867</v>
      </c>
    </row>
    <row r="13" spans="1:42">
      <c r="A13" t="s">
        <v>170</v>
      </c>
      <c r="B13" t="s">
        <v>215</v>
      </c>
      <c r="C13" t="s">
        <v>433</v>
      </c>
      <c r="D13" t="s">
        <v>217</v>
      </c>
      <c r="E13">
        <v>2032</v>
      </c>
      <c r="F13">
        <v>2445.4408941733191</v>
      </c>
      <c r="I13">
        <v>0</v>
      </c>
      <c r="J13">
        <v>-100532.0766520388</v>
      </c>
      <c r="K13">
        <v>0</v>
      </c>
      <c r="L13">
        <v>24926.427145452421</v>
      </c>
      <c r="M13">
        <v>200</v>
      </c>
      <c r="N13">
        <v>938.76599999999996</v>
      </c>
      <c r="O13">
        <v>4.6938300000000002</v>
      </c>
      <c r="P13">
        <v>0</v>
      </c>
      <c r="Q13">
        <v>938.76599999999996</v>
      </c>
      <c r="R13">
        <v>1198651.4316696001</v>
      </c>
      <c r="S13">
        <v>0</v>
      </c>
      <c r="T13">
        <v>938.76599999999996</v>
      </c>
      <c r="U13">
        <v>0</v>
      </c>
      <c r="V13">
        <v>0</v>
      </c>
      <c r="W13" t="s">
        <v>218</v>
      </c>
      <c r="X13" t="s">
        <v>253</v>
      </c>
      <c r="Y13" t="s">
        <v>220</v>
      </c>
      <c r="Z13" t="s">
        <v>434</v>
      </c>
      <c r="AA13" t="s">
        <v>222</v>
      </c>
      <c r="AB13" t="s">
        <v>223</v>
      </c>
      <c r="AC13" t="s">
        <v>224</v>
      </c>
      <c r="AD13" t="s">
        <v>225</v>
      </c>
      <c r="AE13" t="s">
        <v>226</v>
      </c>
      <c r="AF13" t="s">
        <v>318</v>
      </c>
      <c r="AI13" t="s">
        <v>220</v>
      </c>
      <c r="AJ13" t="s">
        <v>220</v>
      </c>
      <c r="AK13">
        <v>938.76599999999996</v>
      </c>
      <c r="AL13">
        <v>0</v>
      </c>
      <c r="AM13" t="s">
        <v>220</v>
      </c>
      <c r="AN13" t="s">
        <v>255</v>
      </c>
      <c r="AO13" t="s">
        <v>223</v>
      </c>
      <c r="AP13" t="s">
        <v>229</v>
      </c>
    </row>
    <row r="14" spans="1:42" s="280" customFormat="1">
      <c r="J14" s="379">
        <f>J13/F13</f>
        <v>-41.110000610349509</v>
      </c>
      <c r="L14" s="280">
        <f>L13/Q13</f>
        <v>26.552332685091301</v>
      </c>
      <c r="R14" s="280">
        <f>R13/Q13</f>
        <v>1276.8372860431675</v>
      </c>
    </row>
    <row r="15" spans="1:42">
      <c r="A15" t="s">
        <v>170</v>
      </c>
      <c r="B15" t="s">
        <v>215</v>
      </c>
      <c r="C15" t="s">
        <v>435</v>
      </c>
      <c r="D15" t="s">
        <v>217</v>
      </c>
      <c r="E15">
        <v>2034</v>
      </c>
      <c r="F15">
        <v>805.06753181752958</v>
      </c>
      <c r="I15">
        <v>0</v>
      </c>
      <c r="J15">
        <v>-35229.753841047197</v>
      </c>
      <c r="K15">
        <v>0</v>
      </c>
      <c r="L15">
        <v>8594.5093644087374</v>
      </c>
      <c r="M15">
        <v>200</v>
      </c>
      <c r="N15">
        <v>300</v>
      </c>
      <c r="O15">
        <v>1.5</v>
      </c>
      <c r="P15">
        <v>0</v>
      </c>
      <c r="Q15">
        <v>300</v>
      </c>
      <c r="R15">
        <v>370493.77422273002</v>
      </c>
      <c r="S15">
        <v>0</v>
      </c>
      <c r="T15">
        <v>300</v>
      </c>
      <c r="U15">
        <v>0</v>
      </c>
      <c r="V15">
        <v>0</v>
      </c>
      <c r="W15" t="s">
        <v>218</v>
      </c>
      <c r="X15" t="s">
        <v>219</v>
      </c>
      <c r="Y15" t="s">
        <v>220</v>
      </c>
      <c r="Z15" t="s">
        <v>436</v>
      </c>
      <c r="AA15" t="s">
        <v>222</v>
      </c>
      <c r="AB15" t="s">
        <v>223</v>
      </c>
      <c r="AC15" t="s">
        <v>224</v>
      </c>
      <c r="AD15" t="s">
        <v>225</v>
      </c>
      <c r="AE15" t="s">
        <v>226</v>
      </c>
      <c r="AF15" t="s">
        <v>318</v>
      </c>
      <c r="AI15" t="s">
        <v>220</v>
      </c>
      <c r="AJ15" t="s">
        <v>220</v>
      </c>
      <c r="AK15">
        <v>300</v>
      </c>
      <c r="AL15">
        <v>0</v>
      </c>
      <c r="AM15" t="s">
        <v>220</v>
      </c>
      <c r="AN15" t="s">
        <v>228</v>
      </c>
      <c r="AO15" t="s">
        <v>223</v>
      </c>
      <c r="AP15" t="s">
        <v>229</v>
      </c>
    </row>
    <row r="16" spans="1:42" s="280" customFormat="1">
      <c r="J16" s="379">
        <f>J15/F15</f>
        <v>-43.759998321522303</v>
      </c>
      <c r="L16" s="280">
        <f>L15/Q15</f>
        <v>28.648364548029125</v>
      </c>
      <c r="R16" s="280">
        <f>R15/Q15</f>
        <v>1234.9792474091</v>
      </c>
    </row>
    <row r="17" spans="1:42">
      <c r="A17" t="s">
        <v>170</v>
      </c>
      <c r="B17" t="s">
        <v>215</v>
      </c>
      <c r="C17" t="s">
        <v>233</v>
      </c>
      <c r="D17" t="s">
        <v>217</v>
      </c>
      <c r="E17">
        <v>2025</v>
      </c>
      <c r="F17">
        <v>37.032127886899993</v>
      </c>
      <c r="I17">
        <v>0</v>
      </c>
      <c r="J17" s="248">
        <v>1325.750150098879</v>
      </c>
      <c r="K17">
        <v>0</v>
      </c>
      <c r="L17">
        <v>3527.1530315242139</v>
      </c>
      <c r="M17">
        <v>158</v>
      </c>
      <c r="N17">
        <v>158</v>
      </c>
      <c r="O17">
        <v>1</v>
      </c>
      <c r="P17">
        <v>0</v>
      </c>
      <c r="Q17">
        <v>158</v>
      </c>
      <c r="R17">
        <v>243492.75889634</v>
      </c>
      <c r="S17">
        <v>0</v>
      </c>
      <c r="T17">
        <v>158</v>
      </c>
      <c r="U17">
        <v>0</v>
      </c>
      <c r="V17">
        <v>0</v>
      </c>
      <c r="W17" t="s">
        <v>218</v>
      </c>
      <c r="X17" t="s">
        <v>219</v>
      </c>
      <c r="Y17" t="s">
        <v>220</v>
      </c>
      <c r="Z17" t="s">
        <v>234</v>
      </c>
      <c r="AA17" t="s">
        <v>222</v>
      </c>
      <c r="AB17" t="s">
        <v>223</v>
      </c>
      <c r="AC17" t="s">
        <v>224</v>
      </c>
      <c r="AD17" t="s">
        <v>225</v>
      </c>
      <c r="AE17" t="s">
        <v>235</v>
      </c>
      <c r="AF17" t="s">
        <v>227</v>
      </c>
      <c r="AI17" t="s">
        <v>220</v>
      </c>
      <c r="AJ17" t="s">
        <v>220</v>
      </c>
      <c r="AK17">
        <v>158</v>
      </c>
      <c r="AL17">
        <v>0</v>
      </c>
      <c r="AM17" t="s">
        <v>220</v>
      </c>
      <c r="AN17" t="s">
        <v>228</v>
      </c>
      <c r="AO17" t="s">
        <v>236</v>
      </c>
      <c r="AP17" t="s">
        <v>237</v>
      </c>
    </row>
    <row r="18" spans="1:42" s="280" customFormat="1">
      <c r="J18" s="260">
        <f>J17/F17</f>
        <v>35.799999237091079</v>
      </c>
      <c r="L18" s="280">
        <f>L17/Q17</f>
        <v>22.323753364077302</v>
      </c>
      <c r="R18" s="280">
        <f>R17/T17</f>
        <v>1541.0934107363291</v>
      </c>
    </row>
    <row r="19" spans="1:42">
      <c r="A19" t="s">
        <v>170</v>
      </c>
      <c r="B19" t="s">
        <v>239</v>
      </c>
      <c r="C19" t="s">
        <v>240</v>
      </c>
      <c r="D19" t="s">
        <v>241</v>
      </c>
      <c r="E19">
        <v>2025</v>
      </c>
      <c r="F19">
        <v>81.308840394079994</v>
      </c>
      <c r="J19">
        <v>0</v>
      </c>
      <c r="K19">
        <v>0</v>
      </c>
      <c r="L19">
        <v>7321.7200000018393</v>
      </c>
      <c r="M19">
        <v>158</v>
      </c>
      <c r="N19">
        <v>158</v>
      </c>
      <c r="O19">
        <v>1</v>
      </c>
      <c r="P19">
        <v>0</v>
      </c>
      <c r="Q19">
        <v>158</v>
      </c>
      <c r="R19">
        <v>285921.07727512001</v>
      </c>
      <c r="S19">
        <v>0</v>
      </c>
      <c r="T19">
        <v>158</v>
      </c>
      <c r="U19">
        <v>0</v>
      </c>
      <c r="V19">
        <v>0</v>
      </c>
      <c r="W19" t="s">
        <v>218</v>
      </c>
      <c r="X19" t="s">
        <v>219</v>
      </c>
      <c r="Y19" t="s">
        <v>220</v>
      </c>
      <c r="Z19" t="s">
        <v>242</v>
      </c>
      <c r="AA19" t="s">
        <v>222</v>
      </c>
      <c r="AB19" t="s">
        <v>243</v>
      </c>
      <c r="AC19" t="s">
        <v>244</v>
      </c>
      <c r="AD19" t="s">
        <v>225</v>
      </c>
      <c r="AE19" t="s">
        <v>235</v>
      </c>
      <c r="AF19" t="s">
        <v>227</v>
      </c>
      <c r="AI19" t="s">
        <v>220</v>
      </c>
      <c r="AJ19" t="s">
        <v>220</v>
      </c>
      <c r="AK19">
        <v>158</v>
      </c>
      <c r="AL19">
        <v>0</v>
      </c>
      <c r="AM19" t="s">
        <v>220</v>
      </c>
      <c r="AN19" t="s">
        <v>228</v>
      </c>
      <c r="AO19" t="s">
        <v>245</v>
      </c>
      <c r="AP19" t="s">
        <v>237</v>
      </c>
    </row>
    <row r="20" spans="1:42" s="279" customFormat="1">
      <c r="L20" s="280">
        <f>L19/Q19</f>
        <v>46.340000000011642</v>
      </c>
      <c r="M20" s="280"/>
      <c r="N20" s="280"/>
      <c r="O20" s="280"/>
      <c r="P20" s="280"/>
      <c r="Q20" s="280"/>
      <c r="R20" s="280">
        <f>R19/T19</f>
        <v>1809.627071361519</v>
      </c>
    </row>
    <row r="21" spans="1:42">
      <c r="A21" t="s">
        <v>170</v>
      </c>
      <c r="B21" t="s">
        <v>215</v>
      </c>
      <c r="C21" t="s">
        <v>248</v>
      </c>
      <c r="D21" t="s">
        <v>217</v>
      </c>
      <c r="E21">
        <v>2025</v>
      </c>
      <c r="F21">
        <v>39.899317572019989</v>
      </c>
      <c r="I21">
        <v>0</v>
      </c>
      <c r="J21" s="248">
        <v>1428.395538638031</v>
      </c>
      <c r="K21">
        <v>0</v>
      </c>
      <c r="L21">
        <v>6072.0609150302616</v>
      </c>
      <c r="M21">
        <v>272</v>
      </c>
      <c r="N21">
        <v>272</v>
      </c>
      <c r="O21">
        <v>1</v>
      </c>
      <c r="P21">
        <v>0</v>
      </c>
      <c r="Q21">
        <v>272</v>
      </c>
      <c r="R21">
        <v>436422.91600875999</v>
      </c>
      <c r="S21">
        <v>0</v>
      </c>
      <c r="T21">
        <v>272</v>
      </c>
      <c r="U21">
        <v>0</v>
      </c>
      <c r="V21">
        <v>0</v>
      </c>
      <c r="W21" t="s">
        <v>218</v>
      </c>
      <c r="X21" t="s">
        <v>219</v>
      </c>
      <c r="Y21" t="s">
        <v>220</v>
      </c>
      <c r="Z21" t="s">
        <v>249</v>
      </c>
      <c r="AA21" t="s">
        <v>222</v>
      </c>
      <c r="AB21" t="s">
        <v>223</v>
      </c>
      <c r="AC21" t="s">
        <v>224</v>
      </c>
      <c r="AD21" t="s">
        <v>225</v>
      </c>
      <c r="AE21" t="s">
        <v>235</v>
      </c>
      <c r="AF21" t="s">
        <v>227</v>
      </c>
      <c r="AI21" t="s">
        <v>220</v>
      </c>
      <c r="AJ21" t="s">
        <v>220</v>
      </c>
      <c r="AK21">
        <v>272</v>
      </c>
      <c r="AL21">
        <v>0</v>
      </c>
      <c r="AM21" t="s">
        <v>220</v>
      </c>
      <c r="AN21" t="s">
        <v>228</v>
      </c>
      <c r="AO21" t="s">
        <v>236</v>
      </c>
      <c r="AP21" t="s">
        <v>237</v>
      </c>
    </row>
    <row r="22" spans="1:42" s="280" customFormat="1">
      <c r="J22" s="260">
        <f>J21/F21</f>
        <v>35.799999237072548</v>
      </c>
      <c r="L22" s="280">
        <f>L21/Q21</f>
        <v>22.323753364081846</v>
      </c>
      <c r="R22" s="280">
        <f>R21/Q21</f>
        <v>1604.4960147380882</v>
      </c>
    </row>
    <row r="23" spans="1:42">
      <c r="A23" t="s">
        <v>170</v>
      </c>
      <c r="B23" t="s">
        <v>239</v>
      </c>
      <c r="C23" t="s">
        <v>250</v>
      </c>
      <c r="D23" t="s">
        <v>241</v>
      </c>
      <c r="E23">
        <v>2025</v>
      </c>
      <c r="F23">
        <v>112.6172097334</v>
      </c>
      <c r="J23">
        <v>0</v>
      </c>
      <c r="K23">
        <v>0</v>
      </c>
      <c r="L23">
        <v>12604.480000000651</v>
      </c>
      <c r="M23">
        <v>272</v>
      </c>
      <c r="N23">
        <v>272</v>
      </c>
      <c r="O23">
        <v>1</v>
      </c>
      <c r="P23">
        <v>0</v>
      </c>
      <c r="Q23">
        <v>272</v>
      </c>
      <c r="R23">
        <v>492218.56341033999</v>
      </c>
      <c r="S23">
        <v>0</v>
      </c>
      <c r="T23">
        <v>272</v>
      </c>
      <c r="U23">
        <v>0</v>
      </c>
      <c r="V23">
        <v>0</v>
      </c>
      <c r="W23" t="s">
        <v>218</v>
      </c>
      <c r="X23" t="s">
        <v>219</v>
      </c>
      <c r="Y23" t="s">
        <v>220</v>
      </c>
      <c r="Z23" t="s">
        <v>251</v>
      </c>
      <c r="AA23" t="s">
        <v>222</v>
      </c>
      <c r="AB23" t="s">
        <v>243</v>
      </c>
      <c r="AC23" t="s">
        <v>244</v>
      </c>
      <c r="AD23" t="s">
        <v>225</v>
      </c>
      <c r="AE23" t="s">
        <v>235</v>
      </c>
      <c r="AF23" t="s">
        <v>227</v>
      </c>
      <c r="AI23" t="s">
        <v>220</v>
      </c>
      <c r="AJ23" t="s">
        <v>220</v>
      </c>
      <c r="AK23">
        <v>272</v>
      </c>
      <c r="AL23">
        <v>0</v>
      </c>
      <c r="AM23" t="s">
        <v>220</v>
      </c>
      <c r="AN23" t="s">
        <v>228</v>
      </c>
      <c r="AO23" t="s">
        <v>245</v>
      </c>
      <c r="AP23" t="s">
        <v>237</v>
      </c>
    </row>
    <row r="24" spans="1:42">
      <c r="L24" s="280">
        <f>L23/Q23</f>
        <v>46.340000000002391</v>
      </c>
      <c r="M24" s="280"/>
      <c r="N24" s="280"/>
      <c r="O24" s="280"/>
      <c r="P24" s="280"/>
      <c r="Q24" s="280"/>
      <c r="R24" s="280">
        <f>R23/Q23</f>
        <v>1809.627071361544</v>
      </c>
    </row>
    <row r="25" spans="1:42">
      <c r="A25" t="s">
        <v>170</v>
      </c>
      <c r="B25" t="s">
        <v>215</v>
      </c>
      <c r="C25" t="s">
        <v>256</v>
      </c>
      <c r="D25" t="s">
        <v>217</v>
      </c>
      <c r="E25">
        <v>2025</v>
      </c>
      <c r="F25">
        <v>820.29956088645042</v>
      </c>
      <c r="I25">
        <v>0</v>
      </c>
      <c r="J25">
        <v>-29366.723653896399</v>
      </c>
      <c r="K25">
        <v>0</v>
      </c>
      <c r="L25">
        <v>7029.7499343490144</v>
      </c>
      <c r="M25">
        <v>314.89999999999998</v>
      </c>
      <c r="N25">
        <v>314.89999999999998</v>
      </c>
      <c r="O25">
        <v>1</v>
      </c>
      <c r="P25">
        <v>0</v>
      </c>
      <c r="Q25">
        <v>314.89999999999998</v>
      </c>
      <c r="R25">
        <v>505255.79504102003</v>
      </c>
      <c r="S25">
        <v>0</v>
      </c>
      <c r="T25">
        <v>314.89999999999998</v>
      </c>
      <c r="U25">
        <v>0</v>
      </c>
      <c r="V25">
        <v>0</v>
      </c>
      <c r="W25" t="s">
        <v>218</v>
      </c>
      <c r="X25" t="s">
        <v>253</v>
      </c>
      <c r="Y25" t="s">
        <v>220</v>
      </c>
      <c r="Z25" t="s">
        <v>257</v>
      </c>
      <c r="AA25" t="s">
        <v>222</v>
      </c>
      <c r="AB25" t="s">
        <v>223</v>
      </c>
      <c r="AC25" t="s">
        <v>224</v>
      </c>
      <c r="AD25" t="s">
        <v>225</v>
      </c>
      <c r="AE25" t="s">
        <v>235</v>
      </c>
      <c r="AF25" t="s">
        <v>227</v>
      </c>
      <c r="AI25" t="s">
        <v>220</v>
      </c>
      <c r="AJ25" t="s">
        <v>220</v>
      </c>
      <c r="AK25">
        <v>314.89999999999998</v>
      </c>
      <c r="AL25">
        <v>0</v>
      </c>
      <c r="AM25" t="s">
        <v>220</v>
      </c>
      <c r="AN25" t="s">
        <v>255</v>
      </c>
      <c r="AO25" t="s">
        <v>236</v>
      </c>
      <c r="AP25" t="s">
        <v>237</v>
      </c>
    </row>
    <row r="26" spans="1:42">
      <c r="J26" s="379">
        <f>J25/F25</f>
        <v>-35.799999237061002</v>
      </c>
      <c r="L26" s="280">
        <f>L25/Q25</f>
        <v>22.323753364080709</v>
      </c>
      <c r="M26" s="280"/>
      <c r="N26" s="280"/>
      <c r="O26" s="280"/>
      <c r="P26" s="280"/>
      <c r="Q26" s="280"/>
      <c r="R26" s="280">
        <f>R25/Q25</f>
        <v>1604.4960147380757</v>
      </c>
    </row>
    <row r="27" spans="1:42">
      <c r="A27" t="s">
        <v>170</v>
      </c>
      <c r="B27" t="s">
        <v>239</v>
      </c>
      <c r="C27" t="s">
        <v>252</v>
      </c>
      <c r="D27" t="s">
        <v>241</v>
      </c>
      <c r="E27">
        <v>2025</v>
      </c>
      <c r="F27">
        <v>208.85594945869011</v>
      </c>
      <c r="J27">
        <v>0</v>
      </c>
      <c r="K27">
        <v>0</v>
      </c>
      <c r="L27">
        <v>14592.466000000029</v>
      </c>
      <c r="M27">
        <v>314.89999999999998</v>
      </c>
      <c r="N27">
        <v>314.89999999999998</v>
      </c>
      <c r="O27">
        <v>1</v>
      </c>
      <c r="P27">
        <v>0</v>
      </c>
      <c r="Q27">
        <v>314.89999999999998</v>
      </c>
      <c r="R27">
        <v>569851.56477175001</v>
      </c>
      <c r="S27">
        <v>0</v>
      </c>
      <c r="T27">
        <v>314.89999999999998</v>
      </c>
      <c r="U27">
        <v>0</v>
      </c>
      <c r="V27">
        <v>0</v>
      </c>
      <c r="W27" t="s">
        <v>218</v>
      </c>
      <c r="X27" t="s">
        <v>253</v>
      </c>
      <c r="Y27" t="s">
        <v>220</v>
      </c>
      <c r="Z27" t="s">
        <v>254</v>
      </c>
      <c r="AA27" t="s">
        <v>222</v>
      </c>
      <c r="AB27" t="s">
        <v>243</v>
      </c>
      <c r="AC27" t="s">
        <v>244</v>
      </c>
      <c r="AD27" t="s">
        <v>225</v>
      </c>
      <c r="AE27" t="s">
        <v>235</v>
      </c>
      <c r="AF27" t="s">
        <v>227</v>
      </c>
      <c r="AI27" t="s">
        <v>220</v>
      </c>
      <c r="AJ27" t="s">
        <v>220</v>
      </c>
      <c r="AK27">
        <v>314.89999999999998</v>
      </c>
      <c r="AL27">
        <v>0</v>
      </c>
      <c r="AM27" t="s">
        <v>220</v>
      </c>
      <c r="AN27" t="s">
        <v>255</v>
      </c>
      <c r="AO27" t="s">
        <v>245</v>
      </c>
      <c r="AP27" t="s">
        <v>237</v>
      </c>
    </row>
    <row r="28" spans="1:42">
      <c r="L28" s="280">
        <f>L27/Q27</f>
        <v>46.340000000000096</v>
      </c>
      <c r="M28" s="280"/>
      <c r="N28" s="280"/>
      <c r="O28" s="280"/>
      <c r="P28" s="280"/>
      <c r="Q28" s="280"/>
      <c r="R28" s="280">
        <f>R27/Q27</f>
        <v>1809.6270713615436</v>
      </c>
    </row>
    <row r="29" spans="1:42">
      <c r="A29" t="s">
        <v>170</v>
      </c>
      <c r="B29" t="s">
        <v>215</v>
      </c>
      <c r="C29" t="s">
        <v>258</v>
      </c>
      <c r="D29" t="s">
        <v>217</v>
      </c>
      <c r="E29">
        <v>2026</v>
      </c>
      <c r="F29">
        <v>2687.9679197229689</v>
      </c>
      <c r="I29">
        <v>0</v>
      </c>
      <c r="J29">
        <v>-110502.36282041611</v>
      </c>
      <c r="K29">
        <v>0</v>
      </c>
      <c r="L29">
        <v>25113.55366325206</v>
      </c>
      <c r="M29">
        <v>1100</v>
      </c>
      <c r="N29">
        <v>1100</v>
      </c>
      <c r="O29">
        <v>1</v>
      </c>
      <c r="P29">
        <v>0</v>
      </c>
      <c r="Q29">
        <v>1100</v>
      </c>
      <c r="R29">
        <v>1712642.1658353801</v>
      </c>
      <c r="S29">
        <v>0</v>
      </c>
      <c r="T29">
        <v>1100</v>
      </c>
      <c r="U29">
        <v>0</v>
      </c>
      <c r="V29">
        <v>0</v>
      </c>
      <c r="W29" t="s">
        <v>218</v>
      </c>
      <c r="X29" t="s">
        <v>259</v>
      </c>
      <c r="Y29" t="s">
        <v>220</v>
      </c>
      <c r="Z29" t="s">
        <v>260</v>
      </c>
      <c r="AA29" t="s">
        <v>222</v>
      </c>
      <c r="AB29" t="s">
        <v>223</v>
      </c>
      <c r="AC29" t="s">
        <v>224</v>
      </c>
      <c r="AD29" t="s">
        <v>225</v>
      </c>
      <c r="AE29" t="s">
        <v>235</v>
      </c>
      <c r="AF29" t="s">
        <v>261</v>
      </c>
      <c r="AI29" t="s">
        <v>220</v>
      </c>
      <c r="AJ29" t="s">
        <v>220</v>
      </c>
      <c r="AK29">
        <v>1100</v>
      </c>
      <c r="AL29">
        <v>0</v>
      </c>
      <c r="AM29" t="s">
        <v>220</v>
      </c>
      <c r="AN29" t="s">
        <v>262</v>
      </c>
      <c r="AO29" t="s">
        <v>236</v>
      </c>
      <c r="AP29" t="s">
        <v>237</v>
      </c>
    </row>
    <row r="30" spans="1:42">
      <c r="J30" s="379">
        <f>J29/F29</f>
        <v>-41.110000610351356</v>
      </c>
      <c r="L30" s="280">
        <f>L29/Q29</f>
        <v>22.830503330229146</v>
      </c>
      <c r="M30" s="280"/>
      <c r="N30" s="280"/>
      <c r="O30" s="280"/>
      <c r="P30" s="280"/>
      <c r="Q30" s="280"/>
      <c r="R30" s="280">
        <f>R29/Q29</f>
        <v>1556.9474234867091</v>
      </c>
    </row>
    <row r="31" spans="1:42">
      <c r="A31" t="s">
        <v>170</v>
      </c>
      <c r="B31" t="s">
        <v>239</v>
      </c>
      <c r="C31" t="s">
        <v>263</v>
      </c>
      <c r="D31" t="s">
        <v>241</v>
      </c>
      <c r="E31">
        <v>2026</v>
      </c>
      <c r="F31">
        <v>1161.352616577899</v>
      </c>
      <c r="J31">
        <v>0</v>
      </c>
      <c r="K31">
        <v>0</v>
      </c>
      <c r="L31">
        <v>77333.96899999911</v>
      </c>
      <c r="M31">
        <v>1099.9000000000001</v>
      </c>
      <c r="N31">
        <v>1099.9000000000001</v>
      </c>
      <c r="O31">
        <v>1</v>
      </c>
      <c r="P31">
        <v>0</v>
      </c>
      <c r="Q31">
        <v>1099.9000000000001</v>
      </c>
      <c r="R31">
        <v>1990408.8157905601</v>
      </c>
      <c r="S31">
        <v>0</v>
      </c>
      <c r="T31">
        <v>1099.9000000000001</v>
      </c>
      <c r="U31">
        <v>0</v>
      </c>
      <c r="V31">
        <v>0</v>
      </c>
      <c r="W31" t="s">
        <v>218</v>
      </c>
      <c r="X31" t="s">
        <v>259</v>
      </c>
      <c r="Y31" t="s">
        <v>220</v>
      </c>
      <c r="Z31" t="s">
        <v>264</v>
      </c>
      <c r="AA31" t="s">
        <v>222</v>
      </c>
      <c r="AB31" t="s">
        <v>243</v>
      </c>
      <c r="AC31" t="s">
        <v>244</v>
      </c>
      <c r="AD31" t="s">
        <v>225</v>
      </c>
      <c r="AE31" t="s">
        <v>235</v>
      </c>
      <c r="AF31" t="s">
        <v>261</v>
      </c>
      <c r="AI31" t="s">
        <v>220</v>
      </c>
      <c r="AJ31" t="s">
        <v>220</v>
      </c>
      <c r="AK31">
        <v>1099.9000000000001</v>
      </c>
      <c r="AL31">
        <v>0</v>
      </c>
      <c r="AM31" t="s">
        <v>220</v>
      </c>
      <c r="AN31" t="s">
        <v>262</v>
      </c>
      <c r="AO31" t="s">
        <v>245</v>
      </c>
      <c r="AP31" t="s">
        <v>237</v>
      </c>
    </row>
    <row r="32" spans="1:42">
      <c r="L32" s="280">
        <f>L31/Q31</f>
        <v>70.309999999999178</v>
      </c>
      <c r="M32" s="280"/>
      <c r="N32" s="280"/>
      <c r="O32" s="280"/>
      <c r="P32" s="280"/>
      <c r="Q32" s="280"/>
      <c r="R32" s="280">
        <f>R31/Q31</f>
        <v>1809.627071361542</v>
      </c>
    </row>
    <row r="33" spans="1:42">
      <c r="A33" t="s">
        <v>170</v>
      </c>
      <c r="B33" t="s">
        <v>215</v>
      </c>
      <c r="C33" t="s">
        <v>266</v>
      </c>
      <c r="D33" t="s">
        <v>217</v>
      </c>
      <c r="E33">
        <v>2026</v>
      </c>
      <c r="F33">
        <v>847.43950717615951</v>
      </c>
      <c r="I33">
        <v>0</v>
      </c>
      <c r="J33">
        <v>-34838.238657246962</v>
      </c>
      <c r="K33">
        <v>0</v>
      </c>
      <c r="L33">
        <v>6849.1509990677669</v>
      </c>
      <c r="M33">
        <v>300</v>
      </c>
      <c r="N33">
        <v>300</v>
      </c>
      <c r="O33">
        <v>1</v>
      </c>
      <c r="P33">
        <v>0</v>
      </c>
      <c r="Q33">
        <v>300</v>
      </c>
      <c r="R33">
        <v>462328.02322089998</v>
      </c>
      <c r="S33">
        <v>0</v>
      </c>
      <c r="T33">
        <v>300</v>
      </c>
      <c r="U33">
        <v>0</v>
      </c>
      <c r="V33">
        <v>0</v>
      </c>
      <c r="W33" t="s">
        <v>218</v>
      </c>
      <c r="X33" t="s">
        <v>219</v>
      </c>
      <c r="Y33" t="s">
        <v>220</v>
      </c>
      <c r="Z33" t="s">
        <v>267</v>
      </c>
      <c r="AA33" t="s">
        <v>222</v>
      </c>
      <c r="AB33" t="s">
        <v>223</v>
      </c>
      <c r="AC33" t="s">
        <v>224</v>
      </c>
      <c r="AD33" t="s">
        <v>225</v>
      </c>
      <c r="AE33" t="s">
        <v>235</v>
      </c>
      <c r="AF33" t="s">
        <v>268</v>
      </c>
      <c r="AI33" t="s">
        <v>220</v>
      </c>
      <c r="AJ33" t="s">
        <v>220</v>
      </c>
      <c r="AK33">
        <v>300</v>
      </c>
      <c r="AL33">
        <v>0</v>
      </c>
      <c r="AM33" t="s">
        <v>220</v>
      </c>
      <c r="AN33" t="s">
        <v>228</v>
      </c>
      <c r="AO33" t="s">
        <v>236</v>
      </c>
      <c r="AP33" t="s">
        <v>237</v>
      </c>
    </row>
    <row r="34" spans="1:42">
      <c r="J34" s="379">
        <f>J33/F33</f>
        <v>-41.110000610350404</v>
      </c>
      <c r="L34" s="280">
        <f>L33/Q33</f>
        <v>22.830503330225891</v>
      </c>
      <c r="M34" s="280"/>
      <c r="N34" s="280"/>
      <c r="O34" s="280"/>
      <c r="P34" s="280"/>
      <c r="Q34" s="280"/>
      <c r="R34" s="280">
        <f>R33/Q33</f>
        <v>1541.0934107363332</v>
      </c>
    </row>
    <row r="35" spans="1:42">
      <c r="A35" t="s">
        <v>170</v>
      </c>
      <c r="B35" t="s">
        <v>239</v>
      </c>
      <c r="C35" t="s">
        <v>269</v>
      </c>
      <c r="D35" t="s">
        <v>241</v>
      </c>
      <c r="E35">
        <v>2026</v>
      </c>
      <c r="F35">
        <v>282.18266744269988</v>
      </c>
      <c r="J35">
        <v>0</v>
      </c>
      <c r="K35">
        <v>0</v>
      </c>
      <c r="L35">
        <v>14217.00000000108</v>
      </c>
      <c r="M35">
        <v>300</v>
      </c>
      <c r="N35">
        <v>300</v>
      </c>
      <c r="O35">
        <v>1</v>
      </c>
      <c r="P35">
        <v>0</v>
      </c>
      <c r="Q35">
        <v>300</v>
      </c>
      <c r="R35">
        <v>542888.12140845996</v>
      </c>
      <c r="S35">
        <v>0</v>
      </c>
      <c r="T35">
        <v>300</v>
      </c>
      <c r="U35">
        <v>0</v>
      </c>
      <c r="V35">
        <v>0</v>
      </c>
      <c r="W35" t="s">
        <v>218</v>
      </c>
      <c r="X35" t="s">
        <v>219</v>
      </c>
      <c r="Y35" t="s">
        <v>220</v>
      </c>
      <c r="Z35" t="s">
        <v>270</v>
      </c>
      <c r="AA35" t="s">
        <v>222</v>
      </c>
      <c r="AB35" t="s">
        <v>243</v>
      </c>
      <c r="AC35" t="s">
        <v>244</v>
      </c>
      <c r="AD35" t="s">
        <v>225</v>
      </c>
      <c r="AE35" t="s">
        <v>235</v>
      </c>
      <c r="AF35" t="s">
        <v>268</v>
      </c>
      <c r="AI35" t="s">
        <v>220</v>
      </c>
      <c r="AJ35" t="s">
        <v>220</v>
      </c>
      <c r="AK35">
        <v>300</v>
      </c>
      <c r="AL35">
        <v>0</v>
      </c>
      <c r="AM35" t="s">
        <v>220</v>
      </c>
      <c r="AN35" t="s">
        <v>228</v>
      </c>
      <c r="AO35" t="s">
        <v>245</v>
      </c>
      <c r="AP35" t="s">
        <v>237</v>
      </c>
    </row>
    <row r="36" spans="1:42">
      <c r="L36" s="280">
        <f>L35/Q35</f>
        <v>47.390000000003603</v>
      </c>
      <c r="M36" s="280"/>
      <c r="N36" s="280"/>
      <c r="O36" s="280"/>
      <c r="P36" s="280"/>
      <c r="Q36" s="280"/>
      <c r="R36" s="280">
        <f>R35/Q35</f>
        <v>1809.6270713615331</v>
      </c>
    </row>
    <row r="37" spans="1:42">
      <c r="A37" t="s">
        <v>170</v>
      </c>
      <c r="B37" t="s">
        <v>215</v>
      </c>
      <c r="C37" t="s">
        <v>287</v>
      </c>
      <c r="D37" t="s">
        <v>217</v>
      </c>
      <c r="E37">
        <v>2026</v>
      </c>
      <c r="F37">
        <v>487.57973471914988</v>
      </c>
      <c r="I37">
        <v>0</v>
      </c>
      <c r="J37">
        <v>-18103.836070912352</v>
      </c>
      <c r="K37">
        <v>0</v>
      </c>
      <c r="L37">
        <v>4566.1006660452267</v>
      </c>
      <c r="M37">
        <v>200</v>
      </c>
      <c r="N37">
        <v>200</v>
      </c>
      <c r="O37">
        <v>1</v>
      </c>
      <c r="P37">
        <v>0</v>
      </c>
      <c r="Q37">
        <v>200</v>
      </c>
      <c r="R37">
        <v>333579.72374797001</v>
      </c>
      <c r="S37">
        <v>0</v>
      </c>
      <c r="T37">
        <v>200</v>
      </c>
      <c r="U37">
        <v>0</v>
      </c>
      <c r="V37">
        <v>0</v>
      </c>
      <c r="W37" t="s">
        <v>288</v>
      </c>
      <c r="X37" t="s">
        <v>289</v>
      </c>
      <c r="Y37" t="s">
        <v>220</v>
      </c>
      <c r="Z37" t="s">
        <v>290</v>
      </c>
      <c r="AA37" t="s">
        <v>222</v>
      </c>
      <c r="AB37" t="s">
        <v>223</v>
      </c>
      <c r="AC37" t="s">
        <v>224</v>
      </c>
      <c r="AD37" t="s">
        <v>225</v>
      </c>
      <c r="AE37" t="s">
        <v>235</v>
      </c>
      <c r="AF37" t="s">
        <v>291</v>
      </c>
      <c r="AI37" t="s">
        <v>220</v>
      </c>
      <c r="AJ37" t="s">
        <v>220</v>
      </c>
      <c r="AK37">
        <v>200</v>
      </c>
      <c r="AL37">
        <v>0</v>
      </c>
      <c r="AM37" t="s">
        <v>220</v>
      </c>
      <c r="AN37" t="s">
        <v>292</v>
      </c>
      <c r="AO37" t="s">
        <v>236</v>
      </c>
      <c r="AP37" t="s">
        <v>237</v>
      </c>
    </row>
    <row r="38" spans="1:42">
      <c r="J38" s="379">
        <f>J37/F37</f>
        <v>-37.130001068113131</v>
      </c>
      <c r="L38" s="280">
        <f>L37/Q37</f>
        <v>22.830503330226133</v>
      </c>
      <c r="M38" s="280"/>
      <c r="N38" s="280"/>
      <c r="O38" s="280"/>
      <c r="P38" s="280"/>
      <c r="Q38" s="280"/>
      <c r="R38" s="280">
        <f>R37/Q37</f>
        <v>1667.89861873985</v>
      </c>
    </row>
    <row r="39" spans="1:42">
      <c r="A39" t="s">
        <v>170</v>
      </c>
      <c r="B39" t="s">
        <v>239</v>
      </c>
      <c r="C39" t="s">
        <v>293</v>
      </c>
      <c r="D39" t="s">
        <v>241</v>
      </c>
      <c r="E39">
        <v>2026</v>
      </c>
      <c r="F39">
        <v>107.9228145929799</v>
      </c>
      <c r="J39">
        <v>0</v>
      </c>
      <c r="K39">
        <v>0</v>
      </c>
      <c r="L39">
        <v>9477.9999999995161</v>
      </c>
      <c r="M39">
        <v>200</v>
      </c>
      <c r="N39">
        <v>200</v>
      </c>
      <c r="O39">
        <v>1</v>
      </c>
      <c r="P39">
        <v>0</v>
      </c>
      <c r="Q39">
        <v>200</v>
      </c>
      <c r="R39">
        <v>361925.41427230998</v>
      </c>
      <c r="S39">
        <v>0</v>
      </c>
      <c r="T39">
        <v>200</v>
      </c>
      <c r="U39">
        <v>0</v>
      </c>
      <c r="V39">
        <v>0</v>
      </c>
      <c r="W39" t="s">
        <v>288</v>
      </c>
      <c r="X39" t="s">
        <v>289</v>
      </c>
      <c r="Y39" t="s">
        <v>220</v>
      </c>
      <c r="Z39" t="s">
        <v>294</v>
      </c>
      <c r="AA39" t="s">
        <v>222</v>
      </c>
      <c r="AB39" t="s">
        <v>243</v>
      </c>
      <c r="AC39" t="s">
        <v>244</v>
      </c>
      <c r="AD39" t="s">
        <v>225</v>
      </c>
      <c r="AE39" t="s">
        <v>235</v>
      </c>
      <c r="AF39" t="s">
        <v>291</v>
      </c>
      <c r="AI39" t="s">
        <v>220</v>
      </c>
      <c r="AJ39" t="s">
        <v>220</v>
      </c>
      <c r="AK39">
        <v>200</v>
      </c>
      <c r="AL39">
        <v>0</v>
      </c>
      <c r="AM39" t="s">
        <v>220</v>
      </c>
      <c r="AN39" t="s">
        <v>292</v>
      </c>
      <c r="AO39" t="s">
        <v>245</v>
      </c>
      <c r="AP39" t="s">
        <v>237</v>
      </c>
    </row>
    <row r="40" spans="1:42">
      <c r="L40" s="280">
        <f>L39/Q39</f>
        <v>47.389999999997578</v>
      </c>
      <c r="M40" s="280"/>
      <c r="N40" s="280"/>
      <c r="O40" s="280"/>
      <c r="P40" s="280"/>
      <c r="Q40" s="280"/>
      <c r="R40" s="280">
        <f>R39/Q39</f>
        <v>1809.62707136155</v>
      </c>
    </row>
    <row r="41" spans="1:42">
      <c r="A41" t="s">
        <v>170</v>
      </c>
      <c r="B41" t="s">
        <v>215</v>
      </c>
      <c r="C41" t="s">
        <v>295</v>
      </c>
      <c r="D41" t="s">
        <v>217</v>
      </c>
      <c r="E41">
        <v>2026</v>
      </c>
      <c r="F41">
        <v>1216.383127667702</v>
      </c>
      <c r="I41">
        <v>0</v>
      </c>
      <c r="J41">
        <v>-45164.306829539208</v>
      </c>
      <c r="K41">
        <v>0</v>
      </c>
      <c r="L41">
        <v>10821.65857852802</v>
      </c>
      <c r="M41">
        <v>474</v>
      </c>
      <c r="N41">
        <v>474</v>
      </c>
      <c r="O41">
        <v>1</v>
      </c>
      <c r="P41">
        <v>0</v>
      </c>
      <c r="Q41">
        <v>474</v>
      </c>
      <c r="R41">
        <v>775554.34119532001</v>
      </c>
      <c r="S41">
        <v>0</v>
      </c>
      <c r="T41">
        <v>474</v>
      </c>
      <c r="U41">
        <v>0</v>
      </c>
      <c r="V41">
        <v>0</v>
      </c>
      <c r="W41" t="s">
        <v>288</v>
      </c>
      <c r="X41" t="s">
        <v>289</v>
      </c>
      <c r="Y41" t="s">
        <v>220</v>
      </c>
      <c r="Z41" t="s">
        <v>296</v>
      </c>
      <c r="AA41" t="s">
        <v>222</v>
      </c>
      <c r="AB41" t="s">
        <v>223</v>
      </c>
      <c r="AC41" t="s">
        <v>224</v>
      </c>
      <c r="AD41" t="s">
        <v>225</v>
      </c>
      <c r="AE41" t="s">
        <v>235</v>
      </c>
      <c r="AF41" t="s">
        <v>297</v>
      </c>
      <c r="AI41" t="s">
        <v>220</v>
      </c>
      <c r="AJ41" t="s">
        <v>220</v>
      </c>
      <c r="AK41">
        <v>474</v>
      </c>
      <c r="AL41">
        <v>0</v>
      </c>
      <c r="AM41" t="s">
        <v>220</v>
      </c>
      <c r="AN41" t="s">
        <v>292</v>
      </c>
      <c r="AO41" t="s">
        <v>236</v>
      </c>
      <c r="AP41" t="s">
        <v>237</v>
      </c>
    </row>
    <row r="42" spans="1:42">
      <c r="J42" s="379">
        <f>J41/F41</f>
        <v>-37.130001068115305</v>
      </c>
      <c r="L42" s="280">
        <f>L41/Q41</f>
        <v>22.830503330227891</v>
      </c>
      <c r="M42" s="280"/>
      <c r="N42" s="280"/>
      <c r="O42" s="280"/>
      <c r="P42" s="280"/>
      <c r="Q42" s="280"/>
      <c r="R42" s="280">
        <f>R41/Q41</f>
        <v>1636.1905932390719</v>
      </c>
    </row>
    <row r="43" spans="1:42">
      <c r="A43" t="s">
        <v>170</v>
      </c>
      <c r="B43" t="s">
        <v>239</v>
      </c>
      <c r="C43" t="s">
        <v>298</v>
      </c>
      <c r="D43" t="s">
        <v>241</v>
      </c>
      <c r="E43">
        <v>2026</v>
      </c>
      <c r="F43">
        <v>400.85494983939009</v>
      </c>
      <c r="J43">
        <v>0</v>
      </c>
      <c r="K43">
        <v>0</v>
      </c>
      <c r="L43">
        <v>33326.940000001232</v>
      </c>
      <c r="M43">
        <v>474</v>
      </c>
      <c r="N43">
        <v>474</v>
      </c>
      <c r="O43">
        <v>1</v>
      </c>
      <c r="P43">
        <v>0</v>
      </c>
      <c r="Q43">
        <v>474</v>
      </c>
      <c r="R43">
        <v>857763.23182536999</v>
      </c>
      <c r="S43">
        <v>0</v>
      </c>
      <c r="T43">
        <v>474</v>
      </c>
      <c r="U43">
        <v>0</v>
      </c>
      <c r="V43">
        <v>0</v>
      </c>
      <c r="W43" t="s">
        <v>288</v>
      </c>
      <c r="X43" t="s">
        <v>289</v>
      </c>
      <c r="Y43" t="s">
        <v>220</v>
      </c>
      <c r="Z43" t="s">
        <v>299</v>
      </c>
      <c r="AA43" t="s">
        <v>222</v>
      </c>
      <c r="AB43" t="s">
        <v>243</v>
      </c>
      <c r="AC43" t="s">
        <v>244</v>
      </c>
      <c r="AD43" t="s">
        <v>225</v>
      </c>
      <c r="AE43" t="s">
        <v>235</v>
      </c>
      <c r="AF43" t="s">
        <v>297</v>
      </c>
      <c r="AI43" t="s">
        <v>220</v>
      </c>
      <c r="AJ43" t="s">
        <v>220</v>
      </c>
      <c r="AK43">
        <v>474</v>
      </c>
      <c r="AL43">
        <v>0</v>
      </c>
      <c r="AM43" t="s">
        <v>220</v>
      </c>
      <c r="AN43" t="s">
        <v>292</v>
      </c>
      <c r="AO43" t="s">
        <v>245</v>
      </c>
      <c r="AP43" t="s">
        <v>237</v>
      </c>
    </row>
    <row r="44" spans="1:42">
      <c r="L44" s="280">
        <f>L43/Q43</f>
        <v>70.310000000002603</v>
      </c>
      <c r="M44" s="280"/>
      <c r="N44" s="280"/>
      <c r="O44" s="280"/>
      <c r="P44" s="280"/>
      <c r="Q44" s="280"/>
      <c r="R44" s="280">
        <f>R43/Q43</f>
        <v>1809.6270713615402</v>
      </c>
    </row>
    <row r="45" spans="1:42">
      <c r="A45" t="s">
        <v>170</v>
      </c>
      <c r="B45" t="s">
        <v>215</v>
      </c>
      <c r="C45" t="s">
        <v>306</v>
      </c>
      <c r="D45" t="s">
        <v>217</v>
      </c>
      <c r="E45">
        <v>2026</v>
      </c>
      <c r="F45">
        <v>976.32905218736039</v>
      </c>
      <c r="I45">
        <v>0</v>
      </c>
      <c r="J45">
        <v>-36251.098750546887</v>
      </c>
      <c r="K45">
        <v>0</v>
      </c>
      <c r="L45">
        <v>31534.273803550652</v>
      </c>
      <c r="M45">
        <v>449.99</v>
      </c>
      <c r="N45">
        <v>449.99</v>
      </c>
      <c r="O45">
        <v>1</v>
      </c>
      <c r="P45">
        <v>0</v>
      </c>
      <c r="Q45">
        <v>449.99</v>
      </c>
      <c r="R45">
        <v>736269.40505165001</v>
      </c>
      <c r="S45">
        <v>0</v>
      </c>
      <c r="T45">
        <v>449.99</v>
      </c>
      <c r="U45">
        <v>0</v>
      </c>
      <c r="V45">
        <v>0</v>
      </c>
      <c r="W45" t="s">
        <v>288</v>
      </c>
      <c r="X45" t="s">
        <v>302</v>
      </c>
      <c r="Y45" t="s">
        <v>220</v>
      </c>
      <c r="Z45" t="s">
        <v>307</v>
      </c>
      <c r="AA45" t="s">
        <v>222</v>
      </c>
      <c r="AB45" t="s">
        <v>223</v>
      </c>
      <c r="AC45" t="s">
        <v>224</v>
      </c>
      <c r="AD45" t="s">
        <v>225</v>
      </c>
      <c r="AE45" t="s">
        <v>235</v>
      </c>
      <c r="AF45" t="s">
        <v>304</v>
      </c>
      <c r="AI45" t="s">
        <v>220</v>
      </c>
      <c r="AJ45" t="s">
        <v>220</v>
      </c>
      <c r="AK45">
        <v>449.99</v>
      </c>
      <c r="AL45">
        <v>0</v>
      </c>
      <c r="AM45" t="s">
        <v>220</v>
      </c>
      <c r="AN45" t="s">
        <v>305</v>
      </c>
      <c r="AO45" t="s">
        <v>236</v>
      </c>
      <c r="AP45" t="s">
        <v>237</v>
      </c>
    </row>
    <row r="46" spans="1:42">
      <c r="J46" s="379">
        <f>J45/F45</f>
        <v>-37.130001068113451</v>
      </c>
      <c r="L46" s="280">
        <f>L45/Q45</f>
        <v>70.077721290585686</v>
      </c>
      <c r="M46" s="280"/>
      <c r="N46" s="280"/>
      <c r="O46" s="280"/>
      <c r="P46" s="280"/>
      <c r="Q46" s="280"/>
      <c r="R46" s="280">
        <f>R45/Q45</f>
        <v>1636.1905932390721</v>
      </c>
    </row>
    <row r="47" spans="1:42">
      <c r="A47" t="s">
        <v>170</v>
      </c>
      <c r="B47" t="s">
        <v>239</v>
      </c>
      <c r="C47" t="s">
        <v>301</v>
      </c>
      <c r="D47" t="s">
        <v>241</v>
      </c>
      <c r="E47">
        <v>2026</v>
      </c>
      <c r="F47">
        <v>397.22085379670023</v>
      </c>
      <c r="J47">
        <v>0</v>
      </c>
      <c r="K47">
        <v>0</v>
      </c>
      <c r="L47">
        <v>21325.0261000016</v>
      </c>
      <c r="M47">
        <v>449.99</v>
      </c>
      <c r="N47">
        <v>449.99</v>
      </c>
      <c r="O47">
        <v>1</v>
      </c>
      <c r="P47">
        <v>0</v>
      </c>
      <c r="Q47">
        <v>449.99</v>
      </c>
      <c r="R47">
        <v>814314.08584197995</v>
      </c>
      <c r="S47">
        <v>0</v>
      </c>
      <c r="T47">
        <v>449.99</v>
      </c>
      <c r="U47">
        <v>0</v>
      </c>
      <c r="V47">
        <v>0</v>
      </c>
      <c r="W47" t="s">
        <v>288</v>
      </c>
      <c r="X47" t="s">
        <v>302</v>
      </c>
      <c r="Y47" t="s">
        <v>220</v>
      </c>
      <c r="Z47" t="s">
        <v>303</v>
      </c>
      <c r="AA47" t="s">
        <v>222</v>
      </c>
      <c r="AB47" t="s">
        <v>243</v>
      </c>
      <c r="AC47" t="s">
        <v>244</v>
      </c>
      <c r="AD47" t="s">
        <v>225</v>
      </c>
      <c r="AE47" t="s">
        <v>235</v>
      </c>
      <c r="AF47" t="s">
        <v>304</v>
      </c>
      <c r="AI47" t="s">
        <v>220</v>
      </c>
      <c r="AJ47" t="s">
        <v>220</v>
      </c>
      <c r="AK47">
        <v>449.99</v>
      </c>
      <c r="AL47">
        <v>0</v>
      </c>
      <c r="AM47" t="s">
        <v>220</v>
      </c>
      <c r="AN47" t="s">
        <v>305</v>
      </c>
      <c r="AO47" t="s">
        <v>245</v>
      </c>
      <c r="AP47" t="s">
        <v>237</v>
      </c>
    </row>
    <row r="48" spans="1:42">
      <c r="L48" s="280">
        <f>L47/Q47</f>
        <v>47.390000000003553</v>
      </c>
      <c r="M48" s="280"/>
      <c r="N48" s="280"/>
      <c r="O48" s="280"/>
      <c r="P48" s="280"/>
      <c r="Q48" s="280"/>
      <c r="R48" s="280">
        <f>R47/Q47</f>
        <v>1809.6270713615413</v>
      </c>
    </row>
    <row r="49" spans="1:42">
      <c r="A49" t="s">
        <v>170</v>
      </c>
      <c r="B49" t="s">
        <v>215</v>
      </c>
      <c r="C49" t="s">
        <v>308</v>
      </c>
      <c r="D49" t="s">
        <v>217</v>
      </c>
      <c r="E49">
        <v>2027</v>
      </c>
      <c r="F49">
        <v>1239.479009838532</v>
      </c>
      <c r="I49">
        <v>0</v>
      </c>
      <c r="J49">
        <v>-47657.96887394198</v>
      </c>
      <c r="K49">
        <v>0</v>
      </c>
      <c r="L49">
        <v>11277.448591701859</v>
      </c>
      <c r="M49">
        <v>483</v>
      </c>
      <c r="N49">
        <v>483</v>
      </c>
      <c r="O49">
        <v>1</v>
      </c>
      <c r="P49">
        <v>0</v>
      </c>
      <c r="Q49">
        <v>483</v>
      </c>
      <c r="R49">
        <v>790280.05653446994</v>
      </c>
      <c r="S49">
        <v>0</v>
      </c>
      <c r="T49">
        <v>483</v>
      </c>
      <c r="U49">
        <v>0</v>
      </c>
      <c r="V49">
        <v>0</v>
      </c>
      <c r="W49" t="s">
        <v>288</v>
      </c>
      <c r="X49" t="s">
        <v>302</v>
      </c>
      <c r="Y49" t="s">
        <v>220</v>
      </c>
      <c r="Z49" t="s">
        <v>309</v>
      </c>
      <c r="AA49" t="s">
        <v>222</v>
      </c>
      <c r="AB49" t="s">
        <v>223</v>
      </c>
      <c r="AC49" t="s">
        <v>224</v>
      </c>
      <c r="AD49" t="s">
        <v>225</v>
      </c>
      <c r="AE49" t="s">
        <v>235</v>
      </c>
      <c r="AF49" t="s">
        <v>310</v>
      </c>
      <c r="AI49" t="s">
        <v>220</v>
      </c>
      <c r="AJ49" t="s">
        <v>220</v>
      </c>
      <c r="AK49">
        <v>483</v>
      </c>
      <c r="AL49">
        <v>0</v>
      </c>
      <c r="AM49" t="s">
        <v>220</v>
      </c>
      <c r="AN49" t="s">
        <v>305</v>
      </c>
      <c r="AO49" t="s">
        <v>236</v>
      </c>
      <c r="AP49" t="s">
        <v>237</v>
      </c>
    </row>
    <row r="50" spans="1:42">
      <c r="J50" s="379">
        <f>J49/F49</f>
        <v>-38.450000762941862</v>
      </c>
      <c r="L50" s="280">
        <f>L49/Q49</f>
        <v>23.348754848244013</v>
      </c>
      <c r="M50" s="280"/>
      <c r="N50" s="280"/>
      <c r="O50" s="280"/>
      <c r="P50" s="280"/>
      <c r="Q50" s="280"/>
      <c r="R50" s="280">
        <f>R49/Q49</f>
        <v>1636.1905932390682</v>
      </c>
    </row>
    <row r="51" spans="1:42">
      <c r="A51" t="s">
        <v>170</v>
      </c>
      <c r="B51" t="s">
        <v>239</v>
      </c>
      <c r="C51" t="s">
        <v>311</v>
      </c>
      <c r="D51" t="s">
        <v>241</v>
      </c>
      <c r="E51">
        <v>2027</v>
      </c>
      <c r="F51">
        <v>337.53967417053991</v>
      </c>
      <c r="J51">
        <v>0</v>
      </c>
      <c r="K51">
        <v>0</v>
      </c>
      <c r="L51">
        <v>34727.699999998658</v>
      </c>
      <c r="M51">
        <v>483</v>
      </c>
      <c r="N51">
        <v>483</v>
      </c>
      <c r="O51">
        <v>1</v>
      </c>
      <c r="P51">
        <v>0</v>
      </c>
      <c r="Q51">
        <v>483</v>
      </c>
      <c r="R51">
        <v>874049.87546761998</v>
      </c>
      <c r="S51">
        <v>0</v>
      </c>
      <c r="T51">
        <v>483</v>
      </c>
      <c r="U51">
        <v>0</v>
      </c>
      <c r="V51">
        <v>0</v>
      </c>
      <c r="W51" t="s">
        <v>288</v>
      </c>
      <c r="X51" t="s">
        <v>302</v>
      </c>
      <c r="Y51" t="s">
        <v>220</v>
      </c>
      <c r="Z51" t="s">
        <v>312</v>
      </c>
      <c r="AA51" t="s">
        <v>222</v>
      </c>
      <c r="AB51" t="s">
        <v>243</v>
      </c>
      <c r="AC51" t="s">
        <v>244</v>
      </c>
      <c r="AD51" t="s">
        <v>225</v>
      </c>
      <c r="AE51" t="s">
        <v>235</v>
      </c>
      <c r="AF51" t="s">
        <v>310</v>
      </c>
      <c r="AI51" t="s">
        <v>220</v>
      </c>
      <c r="AJ51" t="s">
        <v>220</v>
      </c>
      <c r="AK51">
        <v>483</v>
      </c>
      <c r="AL51">
        <v>0</v>
      </c>
      <c r="AM51" t="s">
        <v>220</v>
      </c>
      <c r="AN51" t="s">
        <v>305</v>
      </c>
      <c r="AO51" t="s">
        <v>245</v>
      </c>
      <c r="AP51" t="s">
        <v>237</v>
      </c>
    </row>
    <row r="52" spans="1:42">
      <c r="L52" s="280">
        <f>L51/Q51</f>
        <v>71.89999999999722</v>
      </c>
      <c r="M52" s="280"/>
      <c r="N52" s="280"/>
      <c r="O52" s="280"/>
      <c r="P52" s="280"/>
      <c r="Q52" s="280"/>
      <c r="R52" s="280">
        <f>R51/Q51</f>
        <v>1809.627071361532</v>
      </c>
    </row>
    <row r="53" spans="1:42">
      <c r="A53" t="s">
        <v>170</v>
      </c>
      <c r="B53" t="s">
        <v>215</v>
      </c>
      <c r="C53" t="s">
        <v>389</v>
      </c>
      <c r="D53" t="s">
        <v>217</v>
      </c>
      <c r="E53">
        <v>2029</v>
      </c>
      <c r="F53">
        <v>488.72143994968002</v>
      </c>
      <c r="I53">
        <v>0</v>
      </c>
      <c r="J53">
        <v>-19441.33828461236</v>
      </c>
      <c r="K53">
        <v>0</v>
      </c>
      <c r="L53">
        <v>4884.1639792911446</v>
      </c>
      <c r="M53">
        <v>200</v>
      </c>
      <c r="N53">
        <v>200</v>
      </c>
      <c r="O53">
        <v>1</v>
      </c>
      <c r="P53">
        <v>0</v>
      </c>
      <c r="Q53">
        <v>200</v>
      </c>
      <c r="R53" s="305">
        <v>255.22406101000001</v>
      </c>
      <c r="S53">
        <v>0</v>
      </c>
      <c r="T53">
        <v>200</v>
      </c>
      <c r="U53">
        <v>0</v>
      </c>
      <c r="V53">
        <v>0</v>
      </c>
      <c r="W53" t="s">
        <v>218</v>
      </c>
      <c r="X53" t="s">
        <v>259</v>
      </c>
      <c r="Y53" t="s">
        <v>220</v>
      </c>
      <c r="Z53" t="s">
        <v>390</v>
      </c>
      <c r="AA53" t="s">
        <v>222</v>
      </c>
      <c r="AB53" t="s">
        <v>223</v>
      </c>
      <c r="AC53" t="s">
        <v>224</v>
      </c>
      <c r="AD53" t="s">
        <v>225</v>
      </c>
      <c r="AE53" t="s">
        <v>235</v>
      </c>
      <c r="AF53" t="s">
        <v>391</v>
      </c>
      <c r="AI53" t="s">
        <v>220</v>
      </c>
      <c r="AJ53" t="s">
        <v>220</v>
      </c>
      <c r="AK53">
        <v>200</v>
      </c>
      <c r="AL53">
        <v>0</v>
      </c>
      <c r="AM53" t="s">
        <v>220</v>
      </c>
      <c r="AN53" t="s">
        <v>262</v>
      </c>
      <c r="AO53" t="s">
        <v>236</v>
      </c>
      <c r="AP53" t="s">
        <v>237</v>
      </c>
    </row>
    <row r="54" spans="1:42">
      <c r="J54" s="379">
        <f>J53/F53</f>
        <v>-39.779998779292534</v>
      </c>
      <c r="L54" s="280">
        <f>L53/Q53</f>
        <v>24.420819896455722</v>
      </c>
      <c r="M54" s="280"/>
      <c r="N54" s="280"/>
      <c r="O54" s="280"/>
      <c r="P54" s="280"/>
      <c r="Q54" s="280"/>
      <c r="R54" s="306">
        <f>R53/Q53</f>
        <v>1.2761203050500001</v>
      </c>
    </row>
    <row r="55" spans="1:42">
      <c r="A55" t="s">
        <v>170</v>
      </c>
      <c r="B55" t="s">
        <v>239</v>
      </c>
      <c r="C55" t="s">
        <v>392</v>
      </c>
      <c r="D55" t="s">
        <v>241</v>
      </c>
      <c r="E55">
        <v>2029</v>
      </c>
      <c r="F55">
        <v>440.77857393129011</v>
      </c>
      <c r="J55">
        <v>0</v>
      </c>
      <c r="K55">
        <v>0</v>
      </c>
      <c r="L55">
        <v>27828.809999998619</v>
      </c>
      <c r="M55">
        <v>549</v>
      </c>
      <c r="N55">
        <v>549</v>
      </c>
      <c r="O55">
        <v>1</v>
      </c>
      <c r="P55">
        <v>0</v>
      </c>
      <c r="Q55" s="305">
        <v>549</v>
      </c>
      <c r="R55">
        <v>959706.70103727002</v>
      </c>
      <c r="S55">
        <v>0</v>
      </c>
      <c r="T55">
        <v>549</v>
      </c>
      <c r="U55">
        <v>0</v>
      </c>
      <c r="V55">
        <v>0</v>
      </c>
      <c r="W55" t="s">
        <v>218</v>
      </c>
      <c r="X55" t="s">
        <v>259</v>
      </c>
      <c r="Y55" t="s">
        <v>220</v>
      </c>
      <c r="Z55" t="s">
        <v>393</v>
      </c>
      <c r="AA55" t="s">
        <v>222</v>
      </c>
      <c r="AB55" t="s">
        <v>243</v>
      </c>
      <c r="AC55" t="s">
        <v>244</v>
      </c>
      <c r="AD55" t="s">
        <v>225</v>
      </c>
      <c r="AE55" t="s">
        <v>235</v>
      </c>
      <c r="AF55" t="s">
        <v>391</v>
      </c>
      <c r="AI55" t="s">
        <v>220</v>
      </c>
      <c r="AJ55" t="s">
        <v>220</v>
      </c>
      <c r="AK55">
        <v>549</v>
      </c>
      <c r="AL55">
        <v>0</v>
      </c>
      <c r="AM55" t="s">
        <v>220</v>
      </c>
      <c r="AN55" t="s">
        <v>262</v>
      </c>
      <c r="AO55" t="s">
        <v>245</v>
      </c>
      <c r="AP55" t="s">
        <v>237</v>
      </c>
    </row>
    <row r="56" spans="1:42">
      <c r="L56" s="280">
        <f>L55/Q55</f>
        <v>50.689999999997482</v>
      </c>
      <c r="M56" s="280"/>
      <c r="N56" s="280"/>
      <c r="O56" s="280"/>
      <c r="P56" s="280"/>
      <c r="Q56" s="280"/>
      <c r="R56" s="280">
        <f>R55/Q55</f>
        <v>1748.0996375906557</v>
      </c>
    </row>
    <row r="57" spans="1:42">
      <c r="A57" t="s">
        <v>170</v>
      </c>
      <c r="B57" t="s">
        <v>215</v>
      </c>
      <c r="C57" t="s">
        <v>437</v>
      </c>
      <c r="D57" t="s">
        <v>217</v>
      </c>
      <c r="E57">
        <v>2025</v>
      </c>
      <c r="F57">
        <v>23.095882170890011</v>
      </c>
      <c r="I57">
        <v>0</v>
      </c>
      <c r="J57">
        <v>-826.83256409763067</v>
      </c>
      <c r="K57">
        <v>0</v>
      </c>
      <c r="L57">
        <v>200.9137802778495</v>
      </c>
      <c r="M57">
        <v>9</v>
      </c>
      <c r="N57">
        <v>9</v>
      </c>
      <c r="O57">
        <v>1</v>
      </c>
      <c r="P57">
        <v>0</v>
      </c>
      <c r="Q57">
        <v>9</v>
      </c>
      <c r="R57">
        <v>14725.71533915</v>
      </c>
      <c r="S57">
        <v>0</v>
      </c>
      <c r="T57">
        <v>9</v>
      </c>
      <c r="U57">
        <v>0</v>
      </c>
      <c r="V57">
        <v>0</v>
      </c>
      <c r="W57" t="s">
        <v>288</v>
      </c>
      <c r="X57" t="s">
        <v>289</v>
      </c>
      <c r="Y57" t="s">
        <v>220</v>
      </c>
      <c r="Z57" t="s">
        <v>296</v>
      </c>
      <c r="AA57" t="s">
        <v>222</v>
      </c>
      <c r="AB57" t="s">
        <v>223</v>
      </c>
      <c r="AC57" t="s">
        <v>224</v>
      </c>
      <c r="AD57" t="s">
        <v>225</v>
      </c>
      <c r="AE57" t="s">
        <v>235</v>
      </c>
      <c r="AF57" t="s">
        <v>438</v>
      </c>
      <c r="AI57" t="s">
        <v>220</v>
      </c>
      <c r="AJ57" t="s">
        <v>220</v>
      </c>
      <c r="AK57">
        <v>9</v>
      </c>
      <c r="AL57">
        <v>0</v>
      </c>
      <c r="AM57" t="s">
        <v>220</v>
      </c>
      <c r="AN57" t="s">
        <v>292</v>
      </c>
      <c r="AO57" t="s">
        <v>236</v>
      </c>
      <c r="AP57" t="s">
        <v>237</v>
      </c>
    </row>
    <row r="58" spans="1:42">
      <c r="J58" s="379">
        <f>J57/F57</f>
        <v>-35.799999237083405</v>
      </c>
      <c r="L58" s="280">
        <f>L57/Q57</f>
        <v>22.323753364205501</v>
      </c>
      <c r="R58" s="280">
        <f>R57/Q57</f>
        <v>1636.1905932388888</v>
      </c>
    </row>
    <row r="59" spans="1:42">
      <c r="A59" t="s">
        <v>170</v>
      </c>
      <c r="B59" t="s">
        <v>239</v>
      </c>
      <c r="C59" t="s">
        <v>439</v>
      </c>
      <c r="D59" t="s">
        <v>241</v>
      </c>
      <c r="E59">
        <v>2025</v>
      </c>
      <c r="F59">
        <v>10.14389999998</v>
      </c>
      <c r="J59">
        <v>0</v>
      </c>
      <c r="K59">
        <v>0</v>
      </c>
      <c r="L59">
        <v>618.74999999925274</v>
      </c>
      <c r="M59">
        <v>9</v>
      </c>
      <c r="N59">
        <v>9</v>
      </c>
      <c r="O59">
        <v>1</v>
      </c>
      <c r="P59">
        <v>0</v>
      </c>
      <c r="Q59">
        <v>9</v>
      </c>
      <c r="R59">
        <v>16286.643642249999</v>
      </c>
      <c r="S59">
        <v>0</v>
      </c>
      <c r="T59">
        <v>9</v>
      </c>
      <c r="U59">
        <v>0</v>
      </c>
      <c r="V59">
        <v>0</v>
      </c>
      <c r="W59" t="s">
        <v>288</v>
      </c>
      <c r="X59" t="s">
        <v>289</v>
      </c>
      <c r="Y59" t="s">
        <v>220</v>
      </c>
      <c r="Z59" t="s">
        <v>299</v>
      </c>
      <c r="AA59" t="s">
        <v>222</v>
      </c>
      <c r="AB59" t="s">
        <v>243</v>
      </c>
      <c r="AC59" t="s">
        <v>244</v>
      </c>
      <c r="AD59" t="s">
        <v>225</v>
      </c>
      <c r="AE59" t="s">
        <v>235</v>
      </c>
      <c r="AF59" t="s">
        <v>438</v>
      </c>
      <c r="AI59" t="s">
        <v>220</v>
      </c>
      <c r="AJ59" t="s">
        <v>220</v>
      </c>
      <c r="AK59">
        <v>9</v>
      </c>
      <c r="AL59">
        <v>0</v>
      </c>
      <c r="AM59" t="s">
        <v>220</v>
      </c>
      <c r="AN59" t="s">
        <v>292</v>
      </c>
      <c r="AO59" t="s">
        <v>245</v>
      </c>
      <c r="AP59" t="s">
        <v>237</v>
      </c>
    </row>
    <row r="60" spans="1:42">
      <c r="L60" s="280">
        <f>L59/Q59</f>
        <v>68.749999999916966</v>
      </c>
      <c r="R60" s="280">
        <f>R59/Q59</f>
        <v>1809.6270713611111</v>
      </c>
    </row>
    <row r="61" spans="1:42">
      <c r="A61" t="s">
        <v>170</v>
      </c>
      <c r="B61" t="s">
        <v>215</v>
      </c>
      <c r="C61" t="s">
        <v>313</v>
      </c>
      <c r="D61" t="s">
        <v>314</v>
      </c>
      <c r="E61">
        <v>2027</v>
      </c>
      <c r="F61">
        <v>324.55799998224978</v>
      </c>
      <c r="I61">
        <v>0</v>
      </c>
      <c r="J61">
        <v>-13342.579577369181</v>
      </c>
      <c r="K61">
        <v>0</v>
      </c>
      <c r="L61">
        <v>5021.9065788270545</v>
      </c>
      <c r="M61">
        <v>100</v>
      </c>
      <c r="N61">
        <v>100</v>
      </c>
      <c r="O61">
        <v>1</v>
      </c>
      <c r="P61">
        <v>0</v>
      </c>
      <c r="Q61">
        <v>100</v>
      </c>
      <c r="R61">
        <v>212438.38078725</v>
      </c>
      <c r="S61">
        <v>0</v>
      </c>
      <c r="T61">
        <v>100</v>
      </c>
      <c r="U61">
        <v>0</v>
      </c>
      <c r="V61">
        <v>0</v>
      </c>
      <c r="W61" t="s">
        <v>288</v>
      </c>
      <c r="X61" t="s">
        <v>302</v>
      </c>
      <c r="Y61" t="s">
        <v>220</v>
      </c>
      <c r="Z61" t="s">
        <v>315</v>
      </c>
      <c r="AA61" t="s">
        <v>222</v>
      </c>
      <c r="AB61" t="s">
        <v>66</v>
      </c>
      <c r="AC61" t="s">
        <v>316</v>
      </c>
      <c r="AD61" t="s">
        <v>225</v>
      </c>
      <c r="AE61" t="s">
        <v>317</v>
      </c>
      <c r="AF61" t="s">
        <v>310</v>
      </c>
      <c r="AI61" t="s">
        <v>220</v>
      </c>
      <c r="AJ61" t="s">
        <v>220</v>
      </c>
      <c r="AK61">
        <v>100</v>
      </c>
      <c r="AL61">
        <v>0</v>
      </c>
      <c r="AM61" t="s">
        <v>220</v>
      </c>
      <c r="AN61" t="s">
        <v>305</v>
      </c>
      <c r="AO61" t="s">
        <v>66</v>
      </c>
      <c r="AP61" t="s">
        <v>229</v>
      </c>
    </row>
    <row r="62" spans="1:42">
      <c r="J62" s="379">
        <f>J61/F61</f>
        <v>-41.110000610365148</v>
      </c>
      <c r="L62" s="280">
        <f>L61/Q61</f>
        <v>50.219065788270548</v>
      </c>
      <c r="M62" s="280"/>
      <c r="N62" s="280"/>
      <c r="O62" s="280"/>
      <c r="P62" s="280"/>
      <c r="Q62" s="280"/>
      <c r="R62" s="280">
        <f>R61/Q61</f>
        <v>2124.3838078725003</v>
      </c>
    </row>
    <row r="63" spans="1:42">
      <c r="A63" t="s">
        <v>170</v>
      </c>
      <c r="B63" t="s">
        <v>215</v>
      </c>
      <c r="C63" t="s">
        <v>320</v>
      </c>
      <c r="D63" t="s">
        <v>314</v>
      </c>
      <c r="E63">
        <v>2028</v>
      </c>
      <c r="F63">
        <v>978.72916542590929</v>
      </c>
      <c r="I63">
        <v>0</v>
      </c>
      <c r="J63">
        <v>-37632.137157334437</v>
      </c>
      <c r="K63">
        <v>0</v>
      </c>
      <c r="L63">
        <v>15449.92451656688</v>
      </c>
      <c r="M63">
        <v>200</v>
      </c>
      <c r="N63">
        <v>300</v>
      </c>
      <c r="O63">
        <v>1.5</v>
      </c>
      <c r="P63">
        <v>0</v>
      </c>
      <c r="Q63">
        <v>300</v>
      </c>
      <c r="R63">
        <v>613016.75540864002</v>
      </c>
      <c r="S63">
        <v>0</v>
      </c>
      <c r="T63">
        <v>300</v>
      </c>
      <c r="U63">
        <v>0</v>
      </c>
      <c r="V63">
        <v>0</v>
      </c>
      <c r="W63" t="s">
        <v>218</v>
      </c>
      <c r="X63" t="s">
        <v>259</v>
      </c>
      <c r="Y63" t="s">
        <v>220</v>
      </c>
      <c r="Z63" t="s">
        <v>321</v>
      </c>
      <c r="AA63" t="s">
        <v>222</v>
      </c>
      <c r="AB63" t="s">
        <v>66</v>
      </c>
      <c r="AC63" t="s">
        <v>316</v>
      </c>
      <c r="AD63" t="s">
        <v>225</v>
      </c>
      <c r="AE63" t="s">
        <v>317</v>
      </c>
      <c r="AF63" t="s">
        <v>318</v>
      </c>
      <c r="AI63" t="s">
        <v>220</v>
      </c>
      <c r="AJ63" t="s">
        <v>220</v>
      </c>
      <c r="AK63">
        <v>300</v>
      </c>
      <c r="AL63">
        <v>0</v>
      </c>
      <c r="AM63" t="s">
        <v>220</v>
      </c>
      <c r="AN63" t="s">
        <v>262</v>
      </c>
      <c r="AO63" t="s">
        <v>66</v>
      </c>
      <c r="AP63" t="s">
        <v>229</v>
      </c>
    </row>
    <row r="64" spans="1:42">
      <c r="J64" s="379">
        <f>J63/F63</f>
        <v>-38.450000762936519</v>
      </c>
      <c r="L64" s="280">
        <f>L63/Q63</f>
        <v>51.499748388556263</v>
      </c>
      <c r="M64" s="280"/>
      <c r="N64" s="280"/>
      <c r="O64" s="280"/>
      <c r="P64" s="280"/>
      <c r="Q64" s="280"/>
      <c r="R64" s="280">
        <f>R63/Q63</f>
        <v>2043.3891846954668</v>
      </c>
    </row>
    <row r="65" spans="1:42">
      <c r="A65" t="s">
        <v>170</v>
      </c>
      <c r="B65" t="s">
        <v>215</v>
      </c>
      <c r="C65" t="s">
        <v>322</v>
      </c>
      <c r="D65" t="s">
        <v>314</v>
      </c>
      <c r="E65">
        <v>2029</v>
      </c>
      <c r="F65">
        <v>2483.7228000014602</v>
      </c>
      <c r="I65">
        <v>0</v>
      </c>
      <c r="J65">
        <v>-98802.489952168646</v>
      </c>
      <c r="K65">
        <v>0</v>
      </c>
      <c r="L65">
        <v>34141.177969481498</v>
      </c>
      <c r="M65">
        <v>200</v>
      </c>
      <c r="N65">
        <v>650</v>
      </c>
      <c r="O65">
        <v>3.25</v>
      </c>
      <c r="P65">
        <v>0</v>
      </c>
      <c r="Q65">
        <v>650</v>
      </c>
      <c r="R65">
        <v>1210156.32372975</v>
      </c>
      <c r="S65">
        <v>0</v>
      </c>
      <c r="T65">
        <v>650</v>
      </c>
      <c r="U65">
        <v>0</v>
      </c>
      <c r="V65">
        <v>0</v>
      </c>
      <c r="W65" t="s">
        <v>218</v>
      </c>
      <c r="X65" t="s">
        <v>253</v>
      </c>
      <c r="Y65" t="s">
        <v>220</v>
      </c>
      <c r="Z65" t="s">
        <v>323</v>
      </c>
      <c r="AA65" t="s">
        <v>222</v>
      </c>
      <c r="AB65" t="s">
        <v>66</v>
      </c>
      <c r="AC65" t="s">
        <v>316</v>
      </c>
      <c r="AD65" t="s">
        <v>225</v>
      </c>
      <c r="AE65" t="s">
        <v>317</v>
      </c>
      <c r="AF65" t="s">
        <v>318</v>
      </c>
      <c r="AI65" t="s">
        <v>220</v>
      </c>
      <c r="AJ65" t="s">
        <v>220</v>
      </c>
      <c r="AK65">
        <v>650</v>
      </c>
      <c r="AL65">
        <v>0</v>
      </c>
      <c r="AM65" t="s">
        <v>220</v>
      </c>
      <c r="AN65" t="s">
        <v>255</v>
      </c>
      <c r="AO65" t="s">
        <v>66</v>
      </c>
      <c r="AP65" t="s">
        <v>229</v>
      </c>
    </row>
    <row r="66" spans="1:42">
      <c r="J66" s="379">
        <f>J65/F65</f>
        <v>-39.779998779296371</v>
      </c>
      <c r="L66" s="280">
        <f>L65/Q65</f>
        <v>52.524889183817692</v>
      </c>
      <c r="M66" s="280"/>
      <c r="N66" s="280"/>
      <c r="O66" s="280"/>
      <c r="P66" s="280"/>
      <c r="Q66" s="280"/>
      <c r="R66" s="280">
        <f>R65/Q65</f>
        <v>1861.7789595842307</v>
      </c>
    </row>
    <row r="67" spans="1:42">
      <c r="A67" t="s">
        <v>170</v>
      </c>
      <c r="B67" t="s">
        <v>215</v>
      </c>
      <c r="C67" t="s">
        <v>324</v>
      </c>
      <c r="D67" t="s">
        <v>314</v>
      </c>
      <c r="E67">
        <v>2029</v>
      </c>
      <c r="F67">
        <v>2865.8340000015642</v>
      </c>
      <c r="I67">
        <v>0</v>
      </c>
      <c r="J67">
        <v>-114002.8730217332</v>
      </c>
      <c r="K67">
        <v>0</v>
      </c>
      <c r="L67">
        <v>39393.66688786474</v>
      </c>
      <c r="M67">
        <v>200</v>
      </c>
      <c r="N67">
        <v>750</v>
      </c>
      <c r="O67">
        <v>3.75</v>
      </c>
      <c r="P67">
        <v>0</v>
      </c>
      <c r="Q67">
        <v>750</v>
      </c>
      <c r="R67">
        <v>1396334.2196881799</v>
      </c>
      <c r="S67">
        <v>0</v>
      </c>
      <c r="T67">
        <v>750</v>
      </c>
      <c r="U67">
        <v>0</v>
      </c>
      <c r="V67">
        <v>0</v>
      </c>
      <c r="W67" t="s">
        <v>218</v>
      </c>
      <c r="X67" t="s">
        <v>253</v>
      </c>
      <c r="Y67" t="s">
        <v>220</v>
      </c>
      <c r="Z67" t="s">
        <v>325</v>
      </c>
      <c r="AA67" t="s">
        <v>222</v>
      </c>
      <c r="AB67" t="s">
        <v>66</v>
      </c>
      <c r="AC67" t="s">
        <v>316</v>
      </c>
      <c r="AD67" t="s">
        <v>225</v>
      </c>
      <c r="AE67" t="s">
        <v>317</v>
      </c>
      <c r="AF67" t="s">
        <v>318</v>
      </c>
      <c r="AI67" t="s">
        <v>220</v>
      </c>
      <c r="AJ67" t="s">
        <v>220</v>
      </c>
      <c r="AK67">
        <v>750</v>
      </c>
      <c r="AL67">
        <v>0</v>
      </c>
      <c r="AM67" t="s">
        <v>220</v>
      </c>
      <c r="AN67" t="s">
        <v>255</v>
      </c>
      <c r="AO67" t="s">
        <v>66</v>
      </c>
      <c r="AP67" t="s">
        <v>229</v>
      </c>
    </row>
    <row r="68" spans="1:42">
      <c r="J68" s="379">
        <f>J67/F67</f>
        <v>-39.779998779298097</v>
      </c>
      <c r="L68" s="280">
        <f>L67/Q67</f>
        <v>52.524889183819653</v>
      </c>
      <c r="M68" s="280"/>
      <c r="N68" s="280"/>
      <c r="O68" s="280"/>
      <c r="P68" s="280"/>
      <c r="Q68" s="280"/>
      <c r="R68" s="280">
        <f>R67/Q67</f>
        <v>1861.7789595842398</v>
      </c>
    </row>
    <row r="69" spans="1:42">
      <c r="A69" t="s">
        <v>170</v>
      </c>
      <c r="B69" t="s">
        <v>215</v>
      </c>
      <c r="C69" t="s">
        <v>326</v>
      </c>
      <c r="D69" t="s">
        <v>314</v>
      </c>
      <c r="E69">
        <v>2029</v>
      </c>
      <c r="F69">
        <v>1910.556000001279</v>
      </c>
      <c r="I69">
        <v>0</v>
      </c>
      <c r="J69">
        <v>-82102.319781242506</v>
      </c>
      <c r="K69">
        <v>0</v>
      </c>
      <c r="L69">
        <v>14474.63067174042</v>
      </c>
      <c r="M69">
        <v>500</v>
      </c>
      <c r="N69">
        <v>500</v>
      </c>
      <c r="O69">
        <v>1</v>
      </c>
      <c r="P69">
        <v>0</v>
      </c>
      <c r="Q69">
        <v>500</v>
      </c>
      <c r="R69">
        <v>787930</v>
      </c>
      <c r="S69">
        <v>0</v>
      </c>
      <c r="T69">
        <v>500</v>
      </c>
      <c r="U69">
        <v>0</v>
      </c>
      <c r="V69">
        <v>0</v>
      </c>
      <c r="W69" t="s">
        <v>218</v>
      </c>
      <c r="X69" t="s">
        <v>253</v>
      </c>
      <c r="Y69" t="s">
        <v>220</v>
      </c>
      <c r="Z69" t="s">
        <v>325</v>
      </c>
      <c r="AA69" t="s">
        <v>222</v>
      </c>
      <c r="AB69" t="s">
        <v>66</v>
      </c>
      <c r="AC69" t="s">
        <v>316</v>
      </c>
      <c r="AD69" t="s">
        <v>225</v>
      </c>
      <c r="AE69" t="s">
        <v>317</v>
      </c>
      <c r="AF69" t="s">
        <v>327</v>
      </c>
      <c r="AI69" t="s">
        <v>220</v>
      </c>
      <c r="AJ69" t="s">
        <v>220</v>
      </c>
      <c r="AK69">
        <v>500</v>
      </c>
      <c r="AL69">
        <v>0</v>
      </c>
      <c r="AM69" t="s">
        <v>220</v>
      </c>
      <c r="AN69" t="s">
        <v>255</v>
      </c>
      <c r="AO69" t="s">
        <v>66</v>
      </c>
      <c r="AP69" t="s">
        <v>229</v>
      </c>
    </row>
    <row r="70" spans="1:42">
      <c r="J70" s="379">
        <f>J69/F69</f>
        <v>-42.972998321529204</v>
      </c>
      <c r="L70" s="280">
        <f>L69/Q69</f>
        <v>28.949261343480842</v>
      </c>
      <c r="M70" s="280"/>
      <c r="N70" s="280"/>
      <c r="O70" s="280"/>
      <c r="P70" s="280"/>
      <c r="Q70" s="280"/>
      <c r="R70" s="280">
        <f>R69/Q69</f>
        <v>1575.86</v>
      </c>
    </row>
    <row r="71" spans="1:42">
      <c r="A71" t="s">
        <v>170</v>
      </c>
      <c r="B71" t="s">
        <v>215</v>
      </c>
      <c r="C71" t="s">
        <v>328</v>
      </c>
      <c r="D71" t="s">
        <v>314</v>
      </c>
      <c r="E71">
        <v>2025</v>
      </c>
      <c r="F71">
        <v>95.608865429590011</v>
      </c>
      <c r="I71">
        <v>0</v>
      </c>
      <c r="J71" s="248">
        <v>3422.797309438351</v>
      </c>
      <c r="K71">
        <v>0</v>
      </c>
      <c r="L71">
        <v>10118.96055698563</v>
      </c>
      <c r="M71">
        <v>220</v>
      </c>
      <c r="N71">
        <v>220</v>
      </c>
      <c r="O71">
        <v>1</v>
      </c>
      <c r="P71">
        <v>0</v>
      </c>
      <c r="Q71">
        <v>220</v>
      </c>
      <c r="R71">
        <v>483502.20696752</v>
      </c>
      <c r="S71">
        <v>0</v>
      </c>
      <c r="T71">
        <v>220</v>
      </c>
      <c r="U71">
        <v>0</v>
      </c>
      <c r="V71">
        <v>0</v>
      </c>
      <c r="W71" t="s">
        <v>218</v>
      </c>
      <c r="X71" t="s">
        <v>219</v>
      </c>
      <c r="Y71" t="s">
        <v>220</v>
      </c>
      <c r="Z71" t="s">
        <v>329</v>
      </c>
      <c r="AA71" t="s">
        <v>222</v>
      </c>
      <c r="AB71" t="s">
        <v>66</v>
      </c>
      <c r="AC71" t="s">
        <v>316</v>
      </c>
      <c r="AD71" t="s">
        <v>225</v>
      </c>
      <c r="AE71" t="s">
        <v>317</v>
      </c>
      <c r="AF71" t="s">
        <v>227</v>
      </c>
      <c r="AI71" t="s">
        <v>220</v>
      </c>
      <c r="AJ71" t="s">
        <v>220</v>
      </c>
      <c r="AK71">
        <v>220</v>
      </c>
      <c r="AL71">
        <v>0</v>
      </c>
      <c r="AM71" t="s">
        <v>220</v>
      </c>
      <c r="AN71" t="s">
        <v>228</v>
      </c>
      <c r="AO71" t="s">
        <v>66</v>
      </c>
      <c r="AP71" t="s">
        <v>229</v>
      </c>
    </row>
    <row r="72" spans="1:42">
      <c r="J72" s="260">
        <f>J71/F71</f>
        <v>35.799999237089878</v>
      </c>
      <c r="L72" s="280">
        <f>L71/Q71</f>
        <v>45.99527525902559</v>
      </c>
      <c r="M72" s="280"/>
      <c r="N72" s="280"/>
      <c r="O72" s="280"/>
      <c r="P72" s="280"/>
      <c r="Q72" s="280"/>
      <c r="R72" s="280">
        <f>R71/Q71</f>
        <v>2197.7373043978182</v>
      </c>
    </row>
    <row r="73" spans="1:42">
      <c r="A73" t="s">
        <v>170</v>
      </c>
      <c r="B73" t="s">
        <v>215</v>
      </c>
      <c r="C73" t="s">
        <v>381</v>
      </c>
      <c r="D73" t="s">
        <v>314</v>
      </c>
      <c r="E73">
        <v>2025</v>
      </c>
      <c r="F73">
        <v>290.02240080012967</v>
      </c>
      <c r="I73">
        <v>0</v>
      </c>
      <c r="J73">
        <v>-10382.801727376411</v>
      </c>
      <c r="K73">
        <v>0</v>
      </c>
      <c r="L73">
        <v>3491.0413921593131</v>
      </c>
      <c r="M73">
        <v>75.900000000000006</v>
      </c>
      <c r="N73">
        <v>75.900000000000006</v>
      </c>
      <c r="O73">
        <v>1</v>
      </c>
      <c r="P73">
        <v>0</v>
      </c>
      <c r="Q73">
        <v>75.900000000000006</v>
      </c>
      <c r="R73">
        <v>160836.57116552</v>
      </c>
      <c r="S73">
        <v>0</v>
      </c>
      <c r="T73">
        <v>75.900000000000006</v>
      </c>
      <c r="U73">
        <v>0</v>
      </c>
      <c r="V73">
        <v>0</v>
      </c>
      <c r="W73" t="s">
        <v>218</v>
      </c>
      <c r="X73" t="s">
        <v>253</v>
      </c>
      <c r="Y73" t="s">
        <v>220</v>
      </c>
      <c r="Z73" t="s">
        <v>325</v>
      </c>
      <c r="AA73" t="s">
        <v>222</v>
      </c>
      <c r="AB73" t="s">
        <v>66</v>
      </c>
      <c r="AC73" t="s">
        <v>316</v>
      </c>
      <c r="AD73" t="s">
        <v>225</v>
      </c>
      <c r="AE73" t="s">
        <v>317</v>
      </c>
      <c r="AF73" t="s">
        <v>227</v>
      </c>
      <c r="AI73" t="s">
        <v>220</v>
      </c>
      <c r="AJ73" t="s">
        <v>220</v>
      </c>
      <c r="AK73">
        <v>75.900000000000006</v>
      </c>
      <c r="AL73">
        <v>0</v>
      </c>
      <c r="AM73" t="s">
        <v>220</v>
      </c>
      <c r="AN73" t="s">
        <v>255</v>
      </c>
      <c r="AO73" t="s">
        <v>66</v>
      </c>
      <c r="AP73" t="s">
        <v>229</v>
      </c>
    </row>
    <row r="74" spans="1:42">
      <c r="J74" s="379">
        <f>J73/F73</f>
        <v>-35.79999923706503</v>
      </c>
      <c r="L74" s="280">
        <f>L73/Q73</f>
        <v>45.995275259015976</v>
      </c>
      <c r="M74" s="280"/>
      <c r="N74" s="280"/>
      <c r="O74" s="280"/>
      <c r="P74" s="280"/>
      <c r="Q74" s="280"/>
      <c r="R74" s="280">
        <f>R73/Q73</f>
        <v>2119.0589086366272</v>
      </c>
    </row>
    <row r="75" spans="1:42">
      <c r="A75" t="s">
        <v>170</v>
      </c>
      <c r="B75" t="s">
        <v>215</v>
      </c>
      <c r="C75" t="s">
        <v>441</v>
      </c>
      <c r="D75" t="s">
        <v>314</v>
      </c>
      <c r="E75">
        <v>2032</v>
      </c>
      <c r="F75">
        <v>423.98124401442948</v>
      </c>
      <c r="I75">
        <v>0</v>
      </c>
      <c r="J75">
        <v>-17429.869200211611</v>
      </c>
      <c r="K75">
        <v>0</v>
      </c>
      <c r="L75">
        <v>7323.8845688013298</v>
      </c>
      <c r="M75">
        <v>200</v>
      </c>
      <c r="N75">
        <v>130</v>
      </c>
      <c r="O75">
        <v>0.65</v>
      </c>
      <c r="P75">
        <v>0</v>
      </c>
      <c r="Q75">
        <v>130</v>
      </c>
      <c r="R75">
        <v>185531.79515210001</v>
      </c>
      <c r="S75">
        <v>0</v>
      </c>
      <c r="T75">
        <v>130</v>
      </c>
      <c r="U75">
        <v>0</v>
      </c>
      <c r="V75">
        <v>0</v>
      </c>
      <c r="W75" t="s">
        <v>288</v>
      </c>
      <c r="X75" t="s">
        <v>289</v>
      </c>
      <c r="Y75" t="s">
        <v>220</v>
      </c>
      <c r="Z75" t="s">
        <v>442</v>
      </c>
      <c r="AA75" t="s">
        <v>222</v>
      </c>
      <c r="AB75" t="s">
        <v>66</v>
      </c>
      <c r="AC75" t="s">
        <v>316</v>
      </c>
      <c r="AD75" t="s">
        <v>225</v>
      </c>
      <c r="AE75" t="s">
        <v>317</v>
      </c>
      <c r="AF75" t="s">
        <v>318</v>
      </c>
      <c r="AI75" t="s">
        <v>220</v>
      </c>
      <c r="AJ75" t="s">
        <v>220</v>
      </c>
      <c r="AK75">
        <v>130</v>
      </c>
      <c r="AL75">
        <v>0</v>
      </c>
      <c r="AM75" t="s">
        <v>220</v>
      </c>
      <c r="AN75" t="s">
        <v>292</v>
      </c>
      <c r="AO75" t="s">
        <v>66</v>
      </c>
      <c r="AP75" t="s">
        <v>229</v>
      </c>
    </row>
    <row r="76" spans="1:42">
      <c r="J76" s="379">
        <f>J75/F75</f>
        <v>-41.110000610353453</v>
      </c>
      <c r="L76" s="280">
        <f>L75/Q75</f>
        <v>56.337573606164078</v>
      </c>
      <c r="M76" s="280"/>
      <c r="N76" s="280"/>
      <c r="O76" s="280"/>
      <c r="P76" s="280"/>
      <c r="Q76" s="280"/>
      <c r="R76" s="280">
        <f>R75/Q75</f>
        <v>1427.167655016154</v>
      </c>
    </row>
    <row r="77" spans="1:42">
      <c r="A77" t="s">
        <v>170</v>
      </c>
      <c r="B77" t="s">
        <v>215</v>
      </c>
      <c r="C77" t="s">
        <v>443</v>
      </c>
      <c r="D77" t="s">
        <v>314</v>
      </c>
      <c r="E77">
        <v>2032</v>
      </c>
      <c r="F77">
        <v>0</v>
      </c>
      <c r="I77">
        <v>0</v>
      </c>
      <c r="J77">
        <v>0</v>
      </c>
      <c r="K77">
        <v>0</v>
      </c>
      <c r="L77">
        <v>5633.7573606144306</v>
      </c>
      <c r="M77">
        <v>200</v>
      </c>
      <c r="N77">
        <v>100</v>
      </c>
      <c r="O77">
        <v>0.5</v>
      </c>
      <c r="P77">
        <v>0</v>
      </c>
      <c r="Q77">
        <v>100</v>
      </c>
      <c r="R77">
        <v>142716.76550161999</v>
      </c>
      <c r="S77">
        <v>0</v>
      </c>
      <c r="T77">
        <v>100</v>
      </c>
      <c r="U77">
        <v>0</v>
      </c>
      <c r="V77">
        <v>0</v>
      </c>
      <c r="W77" t="s">
        <v>288</v>
      </c>
      <c r="X77" t="s">
        <v>289</v>
      </c>
      <c r="Y77" t="s">
        <v>220</v>
      </c>
      <c r="Z77" t="s">
        <v>444</v>
      </c>
      <c r="AA77" t="s">
        <v>222</v>
      </c>
      <c r="AB77" t="s">
        <v>66</v>
      </c>
      <c r="AC77" t="s">
        <v>316</v>
      </c>
      <c r="AD77" t="s">
        <v>225</v>
      </c>
      <c r="AE77" t="s">
        <v>317</v>
      </c>
      <c r="AF77" t="s">
        <v>318</v>
      </c>
      <c r="AI77" t="s">
        <v>220</v>
      </c>
      <c r="AJ77" t="s">
        <v>220</v>
      </c>
      <c r="AK77">
        <v>100</v>
      </c>
      <c r="AL77">
        <v>0</v>
      </c>
      <c r="AM77" t="s">
        <v>220</v>
      </c>
      <c r="AN77" t="s">
        <v>292</v>
      </c>
      <c r="AO77" t="s">
        <v>66</v>
      </c>
      <c r="AP77" t="s">
        <v>229</v>
      </c>
    </row>
    <row r="78" spans="1:42">
      <c r="J78" s="379"/>
      <c r="L78" s="280">
        <f>L77/Q77</f>
        <v>56.337573606144304</v>
      </c>
      <c r="M78" s="280"/>
      <c r="N78" s="280"/>
      <c r="O78" s="280"/>
      <c r="P78" s="280"/>
      <c r="Q78" s="280"/>
      <c r="R78" s="280">
        <f>R77/Q77</f>
        <v>1427.1676550161999</v>
      </c>
    </row>
    <row r="79" spans="1:42">
      <c r="A79" t="s">
        <v>170</v>
      </c>
      <c r="B79" t="s">
        <v>215</v>
      </c>
      <c r="C79" t="s">
        <v>445</v>
      </c>
      <c r="D79" t="s">
        <v>314</v>
      </c>
      <c r="E79">
        <v>2032</v>
      </c>
      <c r="F79">
        <v>1633.1694999897411</v>
      </c>
      <c r="I79">
        <v>0</v>
      </c>
      <c r="J79">
        <v>-67139.599141386643</v>
      </c>
      <c r="K79">
        <v>0</v>
      </c>
      <c r="L79">
        <v>28219.43428175255</v>
      </c>
      <c r="M79">
        <v>200</v>
      </c>
      <c r="N79">
        <v>500.899</v>
      </c>
      <c r="O79">
        <v>2.5044949999999999</v>
      </c>
      <c r="P79">
        <v>0</v>
      </c>
      <c r="Q79">
        <v>500.899</v>
      </c>
      <c r="R79">
        <v>757257.13129380997</v>
      </c>
      <c r="S79">
        <v>0</v>
      </c>
      <c r="T79">
        <v>500.899</v>
      </c>
      <c r="U79">
        <v>0</v>
      </c>
      <c r="V79">
        <v>0</v>
      </c>
      <c r="W79" t="s">
        <v>288</v>
      </c>
      <c r="X79" t="s">
        <v>302</v>
      </c>
      <c r="Y79" t="s">
        <v>220</v>
      </c>
      <c r="Z79" t="s">
        <v>446</v>
      </c>
      <c r="AA79" t="s">
        <v>222</v>
      </c>
      <c r="AB79" t="s">
        <v>66</v>
      </c>
      <c r="AC79" t="s">
        <v>316</v>
      </c>
      <c r="AD79" t="s">
        <v>225</v>
      </c>
      <c r="AE79" t="s">
        <v>317</v>
      </c>
      <c r="AF79" t="s">
        <v>318</v>
      </c>
      <c r="AI79" t="s">
        <v>220</v>
      </c>
      <c r="AJ79" t="s">
        <v>220</v>
      </c>
      <c r="AK79">
        <v>500.899</v>
      </c>
      <c r="AL79">
        <v>0</v>
      </c>
      <c r="AM79" t="s">
        <v>220</v>
      </c>
      <c r="AN79" t="s">
        <v>305</v>
      </c>
      <c r="AO79" t="s">
        <v>66</v>
      </c>
      <c r="AP79" t="s">
        <v>229</v>
      </c>
    </row>
    <row r="80" spans="1:42">
      <c r="J80" s="379">
        <f>J79/F79</f>
        <v>-41.110000610352074</v>
      </c>
      <c r="L80" s="280">
        <f>L79/Q79</f>
        <v>56.337573606161222</v>
      </c>
      <c r="M80" s="280"/>
      <c r="N80" s="280"/>
      <c r="O80" s="280"/>
      <c r="P80" s="280"/>
      <c r="Q80" s="280"/>
      <c r="R80" s="280">
        <f>R79/Q79</f>
        <v>1511.7960532838156</v>
      </c>
    </row>
    <row r="81" spans="1:42">
      <c r="A81" t="s">
        <v>170</v>
      </c>
      <c r="B81" t="s">
        <v>215</v>
      </c>
      <c r="C81" t="s">
        <v>443</v>
      </c>
      <c r="D81" t="s">
        <v>314</v>
      </c>
      <c r="E81">
        <v>2033</v>
      </c>
      <c r="F81">
        <v>4439.8728183822122</v>
      </c>
      <c r="I81">
        <v>0</v>
      </c>
      <c r="J81">
        <v>-188383.80503890029</v>
      </c>
      <c r="K81">
        <v>0</v>
      </c>
      <c r="L81">
        <v>79411.646557170097</v>
      </c>
      <c r="M81">
        <v>200</v>
      </c>
      <c r="N81">
        <v>1382.0572</v>
      </c>
      <c r="O81">
        <v>6.4102860000000002</v>
      </c>
      <c r="P81">
        <v>0</v>
      </c>
      <c r="Q81">
        <v>1282.0572</v>
      </c>
      <c r="R81">
        <v>1862645.3090669501</v>
      </c>
      <c r="S81">
        <v>0</v>
      </c>
      <c r="T81">
        <v>1282.0572</v>
      </c>
      <c r="U81">
        <v>0</v>
      </c>
      <c r="V81">
        <v>0</v>
      </c>
      <c r="W81" t="s">
        <v>288</v>
      </c>
      <c r="X81" t="s">
        <v>289</v>
      </c>
      <c r="Y81" t="s">
        <v>220</v>
      </c>
      <c r="Z81" t="s">
        <v>444</v>
      </c>
      <c r="AA81" t="s">
        <v>222</v>
      </c>
      <c r="AB81" t="s">
        <v>66</v>
      </c>
      <c r="AC81" t="s">
        <v>316</v>
      </c>
      <c r="AD81" t="s">
        <v>225</v>
      </c>
      <c r="AE81" t="s">
        <v>317</v>
      </c>
      <c r="AF81" t="s">
        <v>318</v>
      </c>
      <c r="AI81" t="s">
        <v>220</v>
      </c>
      <c r="AJ81" t="s">
        <v>220</v>
      </c>
      <c r="AK81">
        <v>1382.0572</v>
      </c>
      <c r="AL81">
        <v>0</v>
      </c>
      <c r="AM81" t="s">
        <v>220</v>
      </c>
      <c r="AN81" t="s">
        <v>292</v>
      </c>
      <c r="AO81" t="s">
        <v>66</v>
      </c>
      <c r="AP81" t="s">
        <v>229</v>
      </c>
    </row>
    <row r="82" spans="1:42">
      <c r="J82" s="379">
        <f>J81/F81</f>
        <v>-42.430000305176087</v>
      </c>
      <c r="L82" s="280">
        <f>L81/Q81</f>
        <v>61.940798395867283</v>
      </c>
      <c r="M82" s="280"/>
      <c r="N82" s="280"/>
      <c r="O82" s="280"/>
      <c r="P82" s="280"/>
      <c r="Q82" s="280"/>
      <c r="R82" s="280">
        <f>R81/Q81</f>
        <v>1452.8566346859955</v>
      </c>
    </row>
    <row r="83" spans="1:42">
      <c r="A83" t="s">
        <v>170</v>
      </c>
      <c r="B83" t="s">
        <v>215</v>
      </c>
      <c r="C83" t="s">
        <v>447</v>
      </c>
      <c r="D83" t="s">
        <v>314</v>
      </c>
      <c r="E83">
        <v>2032</v>
      </c>
      <c r="F83">
        <v>1066.9439482622511</v>
      </c>
      <c r="I83">
        <v>0</v>
      </c>
      <c r="J83">
        <v>-43862.066364272607</v>
      </c>
      <c r="K83">
        <v>0</v>
      </c>
      <c r="L83">
        <v>19028.33097589303</v>
      </c>
      <c r="M83">
        <v>200</v>
      </c>
      <c r="N83">
        <v>337.75560000000002</v>
      </c>
      <c r="O83">
        <v>1.6887779999999999</v>
      </c>
      <c r="P83">
        <v>0</v>
      </c>
      <c r="Q83">
        <v>337.75560000000002</v>
      </c>
      <c r="R83">
        <v>510617.58305451</v>
      </c>
      <c r="S83">
        <v>0</v>
      </c>
      <c r="T83">
        <v>337.75560000000002</v>
      </c>
      <c r="U83">
        <v>0</v>
      </c>
      <c r="V83">
        <v>0</v>
      </c>
      <c r="W83" t="s">
        <v>288</v>
      </c>
      <c r="X83" t="s">
        <v>302</v>
      </c>
      <c r="Y83" t="s">
        <v>220</v>
      </c>
      <c r="Z83" t="s">
        <v>315</v>
      </c>
      <c r="AA83" t="s">
        <v>222</v>
      </c>
      <c r="AB83" t="s">
        <v>66</v>
      </c>
      <c r="AC83" t="s">
        <v>316</v>
      </c>
      <c r="AD83" t="s">
        <v>225</v>
      </c>
      <c r="AE83" t="s">
        <v>317</v>
      </c>
      <c r="AF83" t="s">
        <v>318</v>
      </c>
      <c r="AI83" t="s">
        <v>220</v>
      </c>
      <c r="AJ83" t="s">
        <v>220</v>
      </c>
      <c r="AK83">
        <v>337.75560000000002</v>
      </c>
      <c r="AL83">
        <v>0</v>
      </c>
      <c r="AM83" t="s">
        <v>220</v>
      </c>
      <c r="AN83" t="s">
        <v>305</v>
      </c>
      <c r="AO83" t="s">
        <v>66</v>
      </c>
      <c r="AP83" t="s">
        <v>229</v>
      </c>
    </row>
    <row r="84" spans="1:42">
      <c r="J84" s="379">
        <f>J83/F83</f>
        <v>-41.110000610352088</v>
      </c>
      <c r="L84" s="280">
        <f>L83/Q83</f>
        <v>56.337573606160873</v>
      </c>
      <c r="M84" s="280"/>
      <c r="N84" s="280"/>
      <c r="O84" s="280"/>
      <c r="P84" s="280"/>
      <c r="Q84" s="280"/>
      <c r="R84" s="280">
        <f>R83/Q83</f>
        <v>1511.796053283824</v>
      </c>
    </row>
    <row r="85" spans="1:42">
      <c r="A85" t="s">
        <v>170</v>
      </c>
      <c r="B85" t="s">
        <v>215</v>
      </c>
      <c r="C85" t="s">
        <v>448</v>
      </c>
      <c r="D85" t="s">
        <v>314</v>
      </c>
      <c r="E85">
        <v>2032</v>
      </c>
      <c r="F85">
        <v>2497.931563057231</v>
      </c>
      <c r="I85">
        <v>0</v>
      </c>
      <c r="J85">
        <v>-102689.9680818976</v>
      </c>
      <c r="K85">
        <v>0</v>
      </c>
      <c r="L85">
        <v>36619.422844006724</v>
      </c>
      <c r="M85">
        <v>200</v>
      </c>
      <c r="N85">
        <v>650</v>
      </c>
      <c r="O85">
        <v>3.25</v>
      </c>
      <c r="P85">
        <v>0</v>
      </c>
      <c r="Q85">
        <v>650</v>
      </c>
      <c r="R85">
        <v>928012.31132763997</v>
      </c>
      <c r="S85">
        <v>0</v>
      </c>
      <c r="T85">
        <v>650</v>
      </c>
      <c r="U85">
        <v>0</v>
      </c>
      <c r="V85">
        <v>0</v>
      </c>
      <c r="W85" t="s">
        <v>218</v>
      </c>
      <c r="X85" t="s">
        <v>253</v>
      </c>
      <c r="Y85" t="s">
        <v>220</v>
      </c>
      <c r="Z85" t="s">
        <v>325</v>
      </c>
      <c r="AA85" t="s">
        <v>222</v>
      </c>
      <c r="AB85" t="s">
        <v>66</v>
      </c>
      <c r="AC85" t="s">
        <v>316</v>
      </c>
      <c r="AD85" t="s">
        <v>225</v>
      </c>
      <c r="AE85" t="s">
        <v>317</v>
      </c>
      <c r="AF85" t="s">
        <v>318</v>
      </c>
      <c r="AI85" t="s">
        <v>220</v>
      </c>
      <c r="AJ85" t="s">
        <v>220</v>
      </c>
      <c r="AK85">
        <v>650</v>
      </c>
      <c r="AL85">
        <v>0</v>
      </c>
      <c r="AM85" t="s">
        <v>220</v>
      </c>
      <c r="AN85" t="s">
        <v>255</v>
      </c>
      <c r="AO85" t="s">
        <v>66</v>
      </c>
      <c r="AP85" t="s">
        <v>229</v>
      </c>
    </row>
    <row r="86" spans="1:42">
      <c r="J86" s="379">
        <f>J85/F85</f>
        <v>-41.110000610350923</v>
      </c>
      <c r="L86" s="280">
        <f>L85/Q85</f>
        <v>56.337573606164192</v>
      </c>
      <c r="M86" s="280"/>
      <c r="N86" s="280"/>
      <c r="O86" s="280"/>
      <c r="P86" s="280"/>
      <c r="Q86" s="280"/>
      <c r="R86" s="280">
        <f>R85/Q85</f>
        <v>1427.7112481963691</v>
      </c>
    </row>
    <row r="87" spans="1:42">
      <c r="A87" t="s">
        <v>170</v>
      </c>
      <c r="B87" t="s">
        <v>215</v>
      </c>
      <c r="C87" t="s">
        <v>452</v>
      </c>
      <c r="D87" t="s">
        <v>314</v>
      </c>
      <c r="E87">
        <v>2032</v>
      </c>
      <c r="F87">
        <v>1300.007144661691</v>
      </c>
      <c r="I87">
        <v>0</v>
      </c>
      <c r="J87">
        <v>-53443.294510503772</v>
      </c>
      <c r="K87">
        <v>0</v>
      </c>
      <c r="L87">
        <v>20543.451145428971</v>
      </c>
      <c r="M87">
        <v>200</v>
      </c>
      <c r="N87">
        <v>364.64920000000001</v>
      </c>
      <c r="O87">
        <v>1.8232459999999999</v>
      </c>
      <c r="P87">
        <v>0</v>
      </c>
      <c r="Q87">
        <v>364.64920000000001</v>
      </c>
      <c r="R87">
        <v>520613.76448581001</v>
      </c>
      <c r="S87">
        <v>0</v>
      </c>
      <c r="T87">
        <v>364.64920000000001</v>
      </c>
      <c r="U87">
        <v>0</v>
      </c>
      <c r="V87">
        <v>0</v>
      </c>
      <c r="W87" t="s">
        <v>218</v>
      </c>
      <c r="X87" t="s">
        <v>253</v>
      </c>
      <c r="Y87" t="s">
        <v>220</v>
      </c>
      <c r="Z87" t="s">
        <v>455</v>
      </c>
      <c r="AA87" t="s">
        <v>222</v>
      </c>
      <c r="AB87" t="s">
        <v>66</v>
      </c>
      <c r="AC87" t="s">
        <v>316</v>
      </c>
      <c r="AD87" t="s">
        <v>225</v>
      </c>
      <c r="AE87" t="s">
        <v>317</v>
      </c>
      <c r="AF87" t="s">
        <v>318</v>
      </c>
      <c r="AI87" t="s">
        <v>220</v>
      </c>
      <c r="AJ87" t="s">
        <v>220</v>
      </c>
      <c r="AK87">
        <v>364.64920000000001</v>
      </c>
      <c r="AL87">
        <v>0</v>
      </c>
      <c r="AM87" t="s">
        <v>220</v>
      </c>
      <c r="AN87" t="s">
        <v>255</v>
      </c>
      <c r="AO87" t="s">
        <v>66</v>
      </c>
      <c r="AP87" t="s">
        <v>229</v>
      </c>
    </row>
    <row r="88" spans="1:42">
      <c r="J88" s="379">
        <f>J87/F87</f>
        <v>-41.110000610351769</v>
      </c>
      <c r="L88" s="280">
        <f>L87/Q87</f>
        <v>56.337573606164419</v>
      </c>
      <c r="M88" s="280"/>
      <c r="N88" s="280"/>
      <c r="O88" s="280"/>
      <c r="P88" s="280"/>
      <c r="Q88" s="280"/>
      <c r="R88" s="280">
        <f>R87/Q87</f>
        <v>1427.7112481963761</v>
      </c>
    </row>
    <row r="89" spans="1:42">
      <c r="A89" t="s">
        <v>170</v>
      </c>
      <c r="B89" t="s">
        <v>239</v>
      </c>
      <c r="C89" t="s">
        <v>281</v>
      </c>
      <c r="D89" t="s">
        <v>282</v>
      </c>
      <c r="E89">
        <v>2029</v>
      </c>
      <c r="F89">
        <v>138.81652823633999</v>
      </c>
      <c r="J89">
        <v>0</v>
      </c>
      <c r="K89">
        <v>0</v>
      </c>
      <c r="L89">
        <v>10137.99999999875</v>
      </c>
      <c r="M89">
        <v>200</v>
      </c>
      <c r="N89">
        <v>200</v>
      </c>
      <c r="O89">
        <v>1</v>
      </c>
      <c r="P89">
        <v>0</v>
      </c>
      <c r="Q89">
        <v>200</v>
      </c>
      <c r="R89">
        <v>349619.92751812999</v>
      </c>
      <c r="S89">
        <v>0</v>
      </c>
      <c r="T89">
        <v>200</v>
      </c>
      <c r="U89">
        <v>0</v>
      </c>
      <c r="V89">
        <v>0</v>
      </c>
      <c r="W89" t="s">
        <v>218</v>
      </c>
      <c r="X89" t="s">
        <v>219</v>
      </c>
      <c r="Y89" t="s">
        <v>220</v>
      </c>
      <c r="Z89" t="s">
        <v>283</v>
      </c>
      <c r="AA89" t="s">
        <v>222</v>
      </c>
      <c r="AB89" t="s">
        <v>284</v>
      </c>
      <c r="AC89" t="s">
        <v>244</v>
      </c>
      <c r="AD89" t="s">
        <v>225</v>
      </c>
      <c r="AE89" t="s">
        <v>285</v>
      </c>
      <c r="AF89" t="s">
        <v>286</v>
      </c>
      <c r="AI89" t="s">
        <v>220</v>
      </c>
      <c r="AJ89" t="s">
        <v>220</v>
      </c>
      <c r="AK89">
        <v>200</v>
      </c>
      <c r="AL89">
        <v>0</v>
      </c>
      <c r="AM89" t="s">
        <v>220</v>
      </c>
      <c r="AN89" t="s">
        <v>228</v>
      </c>
      <c r="AO89" t="s">
        <v>239</v>
      </c>
      <c r="AP89" t="s">
        <v>284</v>
      </c>
    </row>
    <row r="90" spans="1:42">
      <c r="L90" s="280">
        <f>L89/Q89</f>
        <v>50.689999999993752</v>
      </c>
      <c r="R90" s="280">
        <f>R89/Q89</f>
        <v>1748.09963759065</v>
      </c>
    </row>
    <row r="91" spans="1:42">
      <c r="A91" t="s">
        <v>170</v>
      </c>
      <c r="B91" t="s">
        <v>239</v>
      </c>
      <c r="C91" t="s">
        <v>330</v>
      </c>
      <c r="D91" t="s">
        <v>282</v>
      </c>
      <c r="E91">
        <v>2028</v>
      </c>
      <c r="F91">
        <v>87.84840294581997</v>
      </c>
      <c r="J91">
        <v>0</v>
      </c>
      <c r="K91">
        <v>0</v>
      </c>
      <c r="L91">
        <v>29823.484931506999</v>
      </c>
      <c r="M91">
        <v>200</v>
      </c>
      <c r="N91">
        <v>600</v>
      </c>
      <c r="O91">
        <v>3</v>
      </c>
      <c r="P91">
        <v>0</v>
      </c>
      <c r="Q91">
        <v>600</v>
      </c>
      <c r="R91">
        <v>1085776.2428169299</v>
      </c>
      <c r="S91">
        <v>0</v>
      </c>
      <c r="T91">
        <v>600</v>
      </c>
      <c r="U91">
        <v>0</v>
      </c>
      <c r="V91">
        <v>0</v>
      </c>
      <c r="W91" t="s">
        <v>218</v>
      </c>
      <c r="X91" t="s">
        <v>259</v>
      </c>
      <c r="Y91" t="s">
        <v>220</v>
      </c>
      <c r="Z91" t="s">
        <v>331</v>
      </c>
      <c r="AA91" t="s">
        <v>222</v>
      </c>
      <c r="AB91" t="s">
        <v>284</v>
      </c>
      <c r="AC91" t="s">
        <v>244</v>
      </c>
      <c r="AD91" t="s">
        <v>225</v>
      </c>
      <c r="AE91" t="s">
        <v>285</v>
      </c>
      <c r="AF91" t="s">
        <v>286</v>
      </c>
      <c r="AI91" t="s">
        <v>220</v>
      </c>
      <c r="AJ91" t="s">
        <v>220</v>
      </c>
      <c r="AK91">
        <v>600</v>
      </c>
      <c r="AL91">
        <v>0</v>
      </c>
      <c r="AM91" t="s">
        <v>220</v>
      </c>
      <c r="AN91" t="s">
        <v>262</v>
      </c>
      <c r="AO91" t="s">
        <v>239</v>
      </c>
      <c r="AP91" t="s">
        <v>284</v>
      </c>
    </row>
    <row r="92" spans="1:42">
      <c r="L92" s="280">
        <f>L91/Q91</f>
        <v>49.70580821917833</v>
      </c>
      <c r="R92" s="280">
        <f>R91/Q91</f>
        <v>1809.62707136155</v>
      </c>
    </row>
    <row r="93" spans="1:42">
      <c r="A93" t="s">
        <v>170</v>
      </c>
      <c r="B93" t="s">
        <v>239</v>
      </c>
      <c r="C93" t="s">
        <v>332</v>
      </c>
      <c r="D93" t="s">
        <v>282</v>
      </c>
      <c r="E93">
        <v>2028</v>
      </c>
      <c r="F93">
        <v>168.51812874665009</v>
      </c>
      <c r="J93">
        <v>0</v>
      </c>
      <c r="K93">
        <v>0</v>
      </c>
      <c r="L93">
        <v>19882.3232876703</v>
      </c>
      <c r="M93">
        <v>200</v>
      </c>
      <c r="N93">
        <v>400</v>
      </c>
      <c r="O93">
        <v>2</v>
      </c>
      <c r="P93">
        <v>0</v>
      </c>
      <c r="Q93">
        <v>400</v>
      </c>
      <c r="R93">
        <v>723850.82854461996</v>
      </c>
      <c r="S93">
        <v>0</v>
      </c>
      <c r="T93">
        <v>400</v>
      </c>
      <c r="U93">
        <v>0</v>
      </c>
      <c r="V93">
        <v>0</v>
      </c>
      <c r="W93" t="s">
        <v>218</v>
      </c>
      <c r="X93" t="s">
        <v>253</v>
      </c>
      <c r="Y93" t="s">
        <v>220</v>
      </c>
      <c r="Z93" t="s">
        <v>333</v>
      </c>
      <c r="AA93" t="s">
        <v>222</v>
      </c>
      <c r="AB93" t="s">
        <v>284</v>
      </c>
      <c r="AC93" t="s">
        <v>244</v>
      </c>
      <c r="AD93" t="s">
        <v>225</v>
      </c>
      <c r="AE93" t="s">
        <v>285</v>
      </c>
      <c r="AF93" t="s">
        <v>286</v>
      </c>
      <c r="AI93" t="s">
        <v>220</v>
      </c>
      <c r="AJ93" t="s">
        <v>220</v>
      </c>
      <c r="AK93">
        <v>400</v>
      </c>
      <c r="AL93">
        <v>0</v>
      </c>
      <c r="AM93" t="s">
        <v>220</v>
      </c>
      <c r="AN93" t="s">
        <v>255</v>
      </c>
      <c r="AO93" t="s">
        <v>239</v>
      </c>
      <c r="AP93" t="s">
        <v>284</v>
      </c>
    </row>
    <row r="94" spans="1:42">
      <c r="L94" s="280">
        <f>L93/Q93</f>
        <v>49.705808219175751</v>
      </c>
      <c r="R94" s="280">
        <f>R93/Q93</f>
        <v>1809.62707136155</v>
      </c>
    </row>
    <row r="95" spans="1:42">
      <c r="A95" t="s">
        <v>170</v>
      </c>
      <c r="B95" t="s">
        <v>239</v>
      </c>
      <c r="C95" t="s">
        <v>334</v>
      </c>
      <c r="D95" t="s">
        <v>282</v>
      </c>
      <c r="E95">
        <v>2026</v>
      </c>
      <c r="F95">
        <v>47.035926958519987</v>
      </c>
      <c r="J95">
        <v>0</v>
      </c>
      <c r="K95">
        <v>0</v>
      </c>
      <c r="L95">
        <v>7582.400000001071</v>
      </c>
      <c r="M95">
        <v>160</v>
      </c>
      <c r="N95">
        <v>160</v>
      </c>
      <c r="O95">
        <v>1</v>
      </c>
      <c r="P95">
        <v>0</v>
      </c>
      <c r="Q95">
        <v>160</v>
      </c>
      <c r="R95">
        <v>289540.33141784999</v>
      </c>
      <c r="S95">
        <v>0</v>
      </c>
      <c r="T95">
        <v>160</v>
      </c>
      <c r="U95">
        <v>0</v>
      </c>
      <c r="V95">
        <v>0</v>
      </c>
      <c r="W95" t="s">
        <v>288</v>
      </c>
      <c r="X95" t="s">
        <v>289</v>
      </c>
      <c r="Y95" t="s">
        <v>220</v>
      </c>
      <c r="Z95" t="s">
        <v>335</v>
      </c>
      <c r="AA95" t="s">
        <v>222</v>
      </c>
      <c r="AB95" t="s">
        <v>284</v>
      </c>
      <c r="AC95" t="s">
        <v>244</v>
      </c>
      <c r="AD95" t="s">
        <v>225</v>
      </c>
      <c r="AE95" t="s">
        <v>285</v>
      </c>
      <c r="AF95" t="s">
        <v>336</v>
      </c>
      <c r="AI95" t="s">
        <v>220</v>
      </c>
      <c r="AJ95" t="s">
        <v>220</v>
      </c>
      <c r="AK95">
        <v>160</v>
      </c>
      <c r="AL95">
        <v>0</v>
      </c>
      <c r="AM95" t="s">
        <v>220</v>
      </c>
      <c r="AN95" t="s">
        <v>292</v>
      </c>
      <c r="AO95" t="s">
        <v>239</v>
      </c>
      <c r="AP95" t="s">
        <v>284</v>
      </c>
    </row>
    <row r="96" spans="1:42">
      <c r="L96" s="280">
        <f>L95/Q95</f>
        <v>47.390000000006694</v>
      </c>
      <c r="R96" s="280">
        <f>R95/Q95</f>
        <v>1809.6270713615625</v>
      </c>
    </row>
    <row r="97" spans="1:42">
      <c r="A97" t="s">
        <v>170</v>
      </c>
      <c r="B97" t="s">
        <v>239</v>
      </c>
      <c r="C97" t="s">
        <v>337</v>
      </c>
      <c r="D97" t="s">
        <v>282</v>
      </c>
      <c r="E97">
        <v>2027</v>
      </c>
      <c r="F97">
        <v>45.006860854080038</v>
      </c>
      <c r="J97">
        <v>0</v>
      </c>
      <c r="K97">
        <v>0</v>
      </c>
      <c r="L97">
        <v>10425.499999999911</v>
      </c>
      <c r="M97">
        <v>145</v>
      </c>
      <c r="N97">
        <v>145</v>
      </c>
      <c r="O97">
        <v>1</v>
      </c>
      <c r="P97">
        <v>0</v>
      </c>
      <c r="Q97">
        <v>145</v>
      </c>
      <c r="R97">
        <v>262395.92534741998</v>
      </c>
      <c r="S97">
        <v>0</v>
      </c>
      <c r="T97">
        <v>145</v>
      </c>
      <c r="U97">
        <v>0</v>
      </c>
      <c r="V97">
        <v>0</v>
      </c>
      <c r="W97" t="s">
        <v>288</v>
      </c>
      <c r="X97" t="s">
        <v>302</v>
      </c>
      <c r="Y97" t="s">
        <v>220</v>
      </c>
      <c r="Z97" t="s">
        <v>338</v>
      </c>
      <c r="AA97" t="s">
        <v>222</v>
      </c>
      <c r="AB97" t="s">
        <v>284</v>
      </c>
      <c r="AC97" t="s">
        <v>244</v>
      </c>
      <c r="AD97" t="s">
        <v>225</v>
      </c>
      <c r="AE97" t="s">
        <v>285</v>
      </c>
      <c r="AF97" t="s">
        <v>310</v>
      </c>
      <c r="AI97" t="s">
        <v>220</v>
      </c>
      <c r="AJ97" t="s">
        <v>220</v>
      </c>
      <c r="AK97">
        <v>145</v>
      </c>
      <c r="AL97">
        <v>0</v>
      </c>
      <c r="AM97" t="s">
        <v>220</v>
      </c>
      <c r="AN97" t="s">
        <v>305</v>
      </c>
      <c r="AO97" t="s">
        <v>239</v>
      </c>
      <c r="AP97" t="s">
        <v>284</v>
      </c>
    </row>
    <row r="98" spans="1:42">
      <c r="L98" s="280">
        <f>L97/Q97</f>
        <v>71.89999999999938</v>
      </c>
      <c r="R98" s="280">
        <f>R97/Q97</f>
        <v>1809.6270713615172</v>
      </c>
    </row>
    <row r="99" spans="1:42">
      <c r="A99" t="s">
        <v>170</v>
      </c>
      <c r="B99" t="s">
        <v>215</v>
      </c>
      <c r="C99" t="s">
        <v>339</v>
      </c>
      <c r="D99" t="s">
        <v>340</v>
      </c>
      <c r="E99">
        <v>2030</v>
      </c>
      <c r="F99">
        <v>0</v>
      </c>
      <c r="I99">
        <v>0</v>
      </c>
      <c r="J99">
        <v>0</v>
      </c>
      <c r="K99">
        <v>0</v>
      </c>
      <c r="L99">
        <v>98380.833638120384</v>
      </c>
      <c r="M99">
        <v>303</v>
      </c>
      <c r="N99">
        <v>606</v>
      </c>
      <c r="O99">
        <v>2</v>
      </c>
      <c r="P99">
        <v>0</v>
      </c>
      <c r="Q99">
        <v>606</v>
      </c>
      <c r="R99">
        <v>804410.95948743995</v>
      </c>
      <c r="S99">
        <v>0</v>
      </c>
      <c r="T99">
        <v>606</v>
      </c>
      <c r="U99">
        <v>0</v>
      </c>
      <c r="V99">
        <v>0</v>
      </c>
      <c r="W99" t="s">
        <v>218</v>
      </c>
      <c r="X99" t="s">
        <v>219</v>
      </c>
      <c r="Y99" t="s">
        <v>220</v>
      </c>
      <c r="Z99" t="s">
        <v>341</v>
      </c>
      <c r="AA99" t="s">
        <v>222</v>
      </c>
      <c r="AB99" t="s">
        <v>342</v>
      </c>
      <c r="AC99" t="s">
        <v>342</v>
      </c>
      <c r="AD99" t="s">
        <v>225</v>
      </c>
      <c r="AE99" t="s">
        <v>343</v>
      </c>
      <c r="AF99" t="s">
        <v>286</v>
      </c>
      <c r="AI99" t="s">
        <v>220</v>
      </c>
      <c r="AJ99" t="s">
        <v>220</v>
      </c>
      <c r="AK99">
        <v>606</v>
      </c>
      <c r="AL99">
        <v>0</v>
      </c>
      <c r="AM99" t="s">
        <v>220</v>
      </c>
      <c r="AN99" t="s">
        <v>228</v>
      </c>
      <c r="AO99" t="s">
        <v>344</v>
      </c>
      <c r="AP99" t="s">
        <v>344</v>
      </c>
    </row>
    <row r="100" spans="1:42">
      <c r="L100" s="280">
        <f>L99/Q99</f>
        <v>162.34460996389501</v>
      </c>
      <c r="R100" s="280">
        <f>R99/Q99</f>
        <v>1327.4108242366997</v>
      </c>
    </row>
    <row r="101" spans="1:42">
      <c r="A101" t="s">
        <v>170</v>
      </c>
      <c r="B101" t="s">
        <v>215</v>
      </c>
      <c r="C101" t="s">
        <v>452</v>
      </c>
      <c r="D101" t="s">
        <v>314</v>
      </c>
      <c r="E101">
        <v>2032</v>
      </c>
      <c r="F101">
        <v>1300.007144661691</v>
      </c>
      <c r="I101">
        <v>0</v>
      </c>
      <c r="J101">
        <v>-53443.294510503772</v>
      </c>
      <c r="K101">
        <v>0</v>
      </c>
      <c r="L101">
        <v>20543.451145428971</v>
      </c>
      <c r="M101">
        <v>200</v>
      </c>
      <c r="N101">
        <v>364.64920000000001</v>
      </c>
      <c r="O101">
        <v>1.8232459999999999</v>
      </c>
      <c r="P101">
        <v>0</v>
      </c>
      <c r="Q101">
        <v>364.64920000000001</v>
      </c>
      <c r="R101">
        <v>520613.76448581001</v>
      </c>
      <c r="S101">
        <v>0</v>
      </c>
      <c r="T101">
        <v>364.64920000000001</v>
      </c>
      <c r="U101">
        <v>0</v>
      </c>
      <c r="V101">
        <v>0</v>
      </c>
      <c r="W101" t="s">
        <v>218</v>
      </c>
      <c r="X101" t="s">
        <v>253</v>
      </c>
      <c r="Y101" t="s">
        <v>220</v>
      </c>
      <c r="Z101" t="s">
        <v>455</v>
      </c>
      <c r="AA101" t="s">
        <v>222</v>
      </c>
      <c r="AB101" t="s">
        <v>66</v>
      </c>
      <c r="AC101" t="s">
        <v>316</v>
      </c>
      <c r="AD101" t="s">
        <v>225</v>
      </c>
      <c r="AE101" t="s">
        <v>317</v>
      </c>
      <c r="AF101" t="s">
        <v>318</v>
      </c>
      <c r="AI101" t="s">
        <v>220</v>
      </c>
      <c r="AJ101" t="s">
        <v>220</v>
      </c>
      <c r="AK101">
        <v>364.64920000000001</v>
      </c>
      <c r="AL101">
        <v>0</v>
      </c>
      <c r="AM101" t="s">
        <v>220</v>
      </c>
      <c r="AN101" t="s">
        <v>255</v>
      </c>
      <c r="AO101" t="s">
        <v>66</v>
      </c>
      <c r="AP101" t="s">
        <v>229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CCAF-2C1E-4776-8DF2-757284239947}">
  <dimension ref="A1:R25"/>
  <sheetViews>
    <sheetView workbookViewId="0"/>
  </sheetViews>
  <sheetFormatPr defaultRowHeight="12.75"/>
  <cols>
    <col min="3" max="3" width="13.83203125" customWidth="1"/>
    <col min="5" max="5" width="9.33203125" style="276"/>
    <col min="9" max="9" width="19.1640625" customWidth="1"/>
  </cols>
  <sheetData>
    <row r="1" spans="1:18">
      <c r="A1" t="s">
        <v>153</v>
      </c>
      <c r="B1" t="s">
        <v>154</v>
      </c>
      <c r="C1" t="s">
        <v>155</v>
      </c>
      <c r="D1" t="s">
        <v>156</v>
      </c>
      <c r="E1" s="276" t="s">
        <v>157</v>
      </c>
      <c r="F1" t="s">
        <v>158</v>
      </c>
      <c r="G1" t="s">
        <v>159</v>
      </c>
      <c r="H1" t="s">
        <v>160</v>
      </c>
      <c r="I1" t="s">
        <v>161</v>
      </c>
      <c r="J1" t="s">
        <v>162</v>
      </c>
      <c r="K1" t="s">
        <v>163</v>
      </c>
      <c r="L1" t="s">
        <v>164</v>
      </c>
      <c r="M1" t="s">
        <v>165</v>
      </c>
      <c r="N1" t="s">
        <v>166</v>
      </c>
      <c r="O1" t="s">
        <v>167</v>
      </c>
      <c r="P1" t="s">
        <v>168</v>
      </c>
      <c r="R1" s="228">
        <f>AVERAGE(Q3:Q25)</f>
        <v>2.2700000004508992E-2</v>
      </c>
    </row>
    <row r="2" spans="1:18">
      <c r="A2" t="s">
        <v>169</v>
      </c>
      <c r="B2" t="s">
        <v>170</v>
      </c>
      <c r="C2" t="s">
        <v>171</v>
      </c>
      <c r="D2" t="s">
        <v>172</v>
      </c>
      <c r="E2" s="276">
        <v>1</v>
      </c>
      <c r="G2" t="s">
        <v>173</v>
      </c>
      <c r="H2">
        <v>1</v>
      </c>
      <c r="I2" s="275">
        <v>44562</v>
      </c>
      <c r="J2" s="275"/>
      <c r="L2" t="s">
        <v>174</v>
      </c>
      <c r="O2" t="s">
        <v>175</v>
      </c>
      <c r="P2" t="s">
        <v>173</v>
      </c>
    </row>
    <row r="3" spans="1:18">
      <c r="A3" t="s">
        <v>169</v>
      </c>
      <c r="B3" t="s">
        <v>170</v>
      </c>
      <c r="C3" t="s">
        <v>171</v>
      </c>
      <c r="D3" t="s">
        <v>172</v>
      </c>
      <c r="E3" s="276">
        <v>1.0226999999999999</v>
      </c>
      <c r="G3" t="s">
        <v>173</v>
      </c>
      <c r="H3">
        <v>1</v>
      </c>
      <c r="I3" s="275">
        <v>44927</v>
      </c>
      <c r="J3" s="275"/>
      <c r="L3" t="s">
        <v>174</v>
      </c>
      <c r="O3" t="s">
        <v>175</v>
      </c>
      <c r="P3" t="s">
        <v>173</v>
      </c>
      <c r="Q3" s="228">
        <f>E3/E2-1</f>
        <v>2.2699999999999942E-2</v>
      </c>
    </row>
    <row r="4" spans="1:18">
      <c r="A4" t="s">
        <v>169</v>
      </c>
      <c r="B4" t="s">
        <v>170</v>
      </c>
      <c r="C4" t="s">
        <v>171</v>
      </c>
      <c r="D4" t="s">
        <v>172</v>
      </c>
      <c r="E4" s="276">
        <v>1.0459152899999999</v>
      </c>
      <c r="G4" t="s">
        <v>173</v>
      </c>
      <c r="H4">
        <v>1</v>
      </c>
      <c r="I4" s="275">
        <v>45292</v>
      </c>
      <c r="J4" s="275"/>
      <c r="L4" t="s">
        <v>174</v>
      </c>
      <c r="O4" t="s">
        <v>175</v>
      </c>
      <c r="P4" t="s">
        <v>173</v>
      </c>
      <c r="Q4" s="228">
        <f t="shared" ref="Q4:Q25" si="0">E4/E3-1</f>
        <v>2.2699999999999942E-2</v>
      </c>
    </row>
    <row r="5" spans="1:18">
      <c r="A5" t="s">
        <v>169</v>
      </c>
      <c r="B5" t="s">
        <v>170</v>
      </c>
      <c r="C5" t="s">
        <v>171</v>
      </c>
      <c r="D5" t="s">
        <v>172</v>
      </c>
      <c r="E5" s="276">
        <v>1.0696575669999999</v>
      </c>
      <c r="G5" t="s">
        <v>173</v>
      </c>
      <c r="H5">
        <v>1</v>
      </c>
      <c r="I5" s="275">
        <v>45658</v>
      </c>
      <c r="J5" s="275"/>
      <c r="L5" t="s">
        <v>174</v>
      </c>
      <c r="O5" t="s">
        <v>175</v>
      </c>
      <c r="P5" t="s">
        <v>173</v>
      </c>
      <c r="Q5" s="228">
        <f t="shared" si="0"/>
        <v>2.2699999920643643E-2</v>
      </c>
    </row>
    <row r="6" spans="1:18">
      <c r="A6" t="s">
        <v>169</v>
      </c>
      <c r="B6" t="s">
        <v>170</v>
      </c>
      <c r="C6" t="s">
        <v>171</v>
      </c>
      <c r="D6" t="s">
        <v>172</v>
      </c>
      <c r="E6" s="276">
        <v>1.093938794</v>
      </c>
      <c r="G6" t="s">
        <v>173</v>
      </c>
      <c r="H6">
        <v>1</v>
      </c>
      <c r="I6" s="275">
        <v>46023</v>
      </c>
      <c r="J6" s="275"/>
      <c r="L6" t="s">
        <v>174</v>
      </c>
      <c r="O6" t="s">
        <v>175</v>
      </c>
      <c r="P6" t="s">
        <v>173</v>
      </c>
      <c r="Q6" s="228">
        <f t="shared" si="0"/>
        <v>2.2700000214180838E-2</v>
      </c>
    </row>
    <row r="7" spans="1:18">
      <c r="A7" t="s">
        <v>169</v>
      </c>
      <c r="B7" t="s">
        <v>170</v>
      </c>
      <c r="C7" t="s">
        <v>171</v>
      </c>
      <c r="D7" t="s">
        <v>172</v>
      </c>
      <c r="E7" s="276">
        <v>1.118771204</v>
      </c>
      <c r="G7" t="s">
        <v>173</v>
      </c>
      <c r="H7">
        <v>1</v>
      </c>
      <c r="I7" s="275">
        <v>46388</v>
      </c>
      <c r="J7" s="275"/>
      <c r="L7" t="s">
        <v>174</v>
      </c>
      <c r="O7" t="s">
        <v>175</v>
      </c>
      <c r="P7" t="s">
        <v>173</v>
      </c>
      <c r="Q7" s="228">
        <f t="shared" si="0"/>
        <v>2.269999942976697E-2</v>
      </c>
    </row>
    <row r="8" spans="1:18">
      <c r="A8" t="s">
        <v>169</v>
      </c>
      <c r="B8" t="s">
        <v>170</v>
      </c>
      <c r="C8" t="s">
        <v>171</v>
      </c>
      <c r="D8" t="s">
        <v>172</v>
      </c>
      <c r="E8" s="276">
        <v>1.1441673109999999</v>
      </c>
      <c r="G8" t="s">
        <v>173</v>
      </c>
      <c r="H8">
        <v>1</v>
      </c>
      <c r="I8" s="275">
        <v>46753</v>
      </c>
      <c r="J8" s="275"/>
      <c r="L8" t="s">
        <v>174</v>
      </c>
      <c r="O8" t="s">
        <v>175</v>
      </c>
      <c r="P8" t="s">
        <v>173</v>
      </c>
      <c r="Q8" s="228">
        <f t="shared" si="0"/>
        <v>2.2700000598156134E-2</v>
      </c>
    </row>
    <row r="9" spans="1:18">
      <c r="A9" t="s">
        <v>169</v>
      </c>
      <c r="B9" t="s">
        <v>170</v>
      </c>
      <c r="C9" t="s">
        <v>171</v>
      </c>
      <c r="D9" t="s">
        <v>172</v>
      </c>
      <c r="E9" s="276">
        <v>1.170139909</v>
      </c>
      <c r="G9" t="s">
        <v>173</v>
      </c>
      <c r="H9">
        <v>1</v>
      </c>
      <c r="I9" s="275">
        <v>47119</v>
      </c>
      <c r="J9" s="275"/>
      <c r="L9" t="s">
        <v>174</v>
      </c>
      <c r="O9" t="s">
        <v>175</v>
      </c>
      <c r="P9" t="s">
        <v>173</v>
      </c>
      <c r="Q9" s="228">
        <f t="shared" si="0"/>
        <v>2.2700000035222212E-2</v>
      </c>
    </row>
    <row r="10" spans="1:18">
      <c r="A10" t="s">
        <v>169</v>
      </c>
      <c r="B10" t="s">
        <v>170</v>
      </c>
      <c r="C10" t="s">
        <v>171</v>
      </c>
      <c r="D10" t="s">
        <v>172</v>
      </c>
      <c r="E10" s="276">
        <v>1.1967020850000001</v>
      </c>
      <c r="G10" t="s">
        <v>173</v>
      </c>
      <c r="H10">
        <v>1</v>
      </c>
      <c r="I10" s="275">
        <v>47484</v>
      </c>
      <c r="J10" s="275"/>
      <c r="L10" t="s">
        <v>174</v>
      </c>
      <c r="O10" t="s">
        <v>175</v>
      </c>
      <c r="P10" t="s">
        <v>173</v>
      </c>
      <c r="Q10" s="228">
        <f t="shared" si="0"/>
        <v>2.2700000056147251E-2</v>
      </c>
    </row>
    <row r="11" spans="1:18">
      <c r="A11" t="s">
        <v>169</v>
      </c>
      <c r="B11" t="s">
        <v>170</v>
      </c>
      <c r="C11" t="s">
        <v>171</v>
      </c>
      <c r="D11" t="s">
        <v>172</v>
      </c>
      <c r="E11" s="276">
        <v>1.223867222</v>
      </c>
      <c r="G11" t="s">
        <v>173</v>
      </c>
      <c r="H11">
        <v>1</v>
      </c>
      <c r="I11" s="275">
        <v>47849</v>
      </c>
      <c r="J11" s="275"/>
      <c r="L11" t="s">
        <v>174</v>
      </c>
      <c r="O11" t="s">
        <v>175</v>
      </c>
      <c r="P11" t="s">
        <v>173</v>
      </c>
      <c r="Q11" s="228">
        <f t="shared" si="0"/>
        <v>2.2699999724659969E-2</v>
      </c>
    </row>
    <row r="12" spans="1:18">
      <c r="A12" t="s">
        <v>169</v>
      </c>
      <c r="B12" t="s">
        <v>170</v>
      </c>
      <c r="C12" t="s">
        <v>171</v>
      </c>
      <c r="D12" t="s">
        <v>172</v>
      </c>
      <c r="E12" s="276">
        <v>1.251649008</v>
      </c>
      <c r="G12" t="s">
        <v>173</v>
      </c>
      <c r="H12">
        <v>1</v>
      </c>
      <c r="I12" s="275">
        <v>48214</v>
      </c>
      <c r="J12" s="275"/>
      <c r="L12" t="s">
        <v>174</v>
      </c>
      <c r="O12" t="s">
        <v>175</v>
      </c>
      <c r="P12" t="s">
        <v>173</v>
      </c>
      <c r="Q12" s="228">
        <f t="shared" si="0"/>
        <v>2.2700000049515223E-2</v>
      </c>
    </row>
    <row r="13" spans="1:18">
      <c r="A13" t="s">
        <v>169</v>
      </c>
      <c r="B13" t="s">
        <v>170</v>
      </c>
      <c r="C13" t="s">
        <v>171</v>
      </c>
      <c r="D13" t="s">
        <v>172</v>
      </c>
      <c r="E13" s="276">
        <v>1.2800614400000001</v>
      </c>
      <c r="G13" t="s">
        <v>173</v>
      </c>
      <c r="H13">
        <v>1</v>
      </c>
      <c r="I13" s="275">
        <v>48580</v>
      </c>
      <c r="J13" s="275"/>
      <c r="L13" t="s">
        <v>174</v>
      </c>
      <c r="O13" t="s">
        <v>175</v>
      </c>
      <c r="P13" t="s">
        <v>173</v>
      </c>
      <c r="Q13" s="228">
        <f t="shared" si="0"/>
        <v>2.2699999615227728E-2</v>
      </c>
    </row>
    <row r="14" spans="1:18">
      <c r="A14" t="s">
        <v>169</v>
      </c>
      <c r="B14" t="s">
        <v>170</v>
      </c>
      <c r="C14" t="s">
        <v>171</v>
      </c>
      <c r="D14" t="s">
        <v>172</v>
      </c>
      <c r="E14" s="276">
        <v>1.309118835</v>
      </c>
      <c r="G14" t="s">
        <v>173</v>
      </c>
      <c r="H14">
        <v>1</v>
      </c>
      <c r="I14" s="275">
        <v>48945</v>
      </c>
      <c r="J14" s="275"/>
      <c r="L14" t="s">
        <v>174</v>
      </c>
      <c r="O14" t="s">
        <v>175</v>
      </c>
      <c r="P14" t="s">
        <v>173</v>
      </c>
      <c r="Q14" s="228">
        <f t="shared" si="0"/>
        <v>2.2700000243738305E-2</v>
      </c>
    </row>
    <row r="15" spans="1:18">
      <c r="A15" t="s">
        <v>169</v>
      </c>
      <c r="B15" t="s">
        <v>170</v>
      </c>
      <c r="C15" t="s">
        <v>171</v>
      </c>
      <c r="D15" t="s">
        <v>172</v>
      </c>
      <c r="E15" s="276">
        <v>1.3388358330000001</v>
      </c>
      <c r="G15" t="s">
        <v>173</v>
      </c>
      <c r="H15">
        <v>1</v>
      </c>
      <c r="I15" s="275">
        <v>49310</v>
      </c>
      <c r="J15" s="275"/>
      <c r="L15" t="s">
        <v>174</v>
      </c>
      <c r="O15" t="s">
        <v>175</v>
      </c>
      <c r="P15" t="s">
        <v>173</v>
      </c>
      <c r="Q15" s="228">
        <f t="shared" si="0"/>
        <v>2.2700000340305282E-2</v>
      </c>
    </row>
    <row r="16" spans="1:18">
      <c r="A16" t="s">
        <v>169</v>
      </c>
      <c r="B16" t="s">
        <v>170</v>
      </c>
      <c r="C16" t="s">
        <v>171</v>
      </c>
      <c r="D16" t="s">
        <v>172</v>
      </c>
      <c r="E16" s="276">
        <v>1.369227406</v>
      </c>
      <c r="G16" t="s">
        <v>173</v>
      </c>
      <c r="H16">
        <v>1</v>
      </c>
      <c r="I16" s="275">
        <v>49675</v>
      </c>
      <c r="J16" s="275"/>
      <c r="L16" t="s">
        <v>174</v>
      </c>
      <c r="O16" t="s">
        <v>175</v>
      </c>
      <c r="P16" t="s">
        <v>173</v>
      </c>
      <c r="Q16" s="228">
        <f t="shared" si="0"/>
        <v>2.2699999694435924E-2</v>
      </c>
    </row>
    <row r="17" spans="1:17">
      <c r="A17" t="s">
        <v>169</v>
      </c>
      <c r="B17" t="s">
        <v>170</v>
      </c>
      <c r="C17" t="s">
        <v>171</v>
      </c>
      <c r="D17" t="s">
        <v>172</v>
      </c>
      <c r="E17" s="276">
        <v>1.400308868</v>
      </c>
      <c r="G17" t="s">
        <v>173</v>
      </c>
      <c r="H17">
        <v>1</v>
      </c>
      <c r="I17" s="275">
        <v>50041</v>
      </c>
      <c r="J17" s="275"/>
      <c r="L17" t="s">
        <v>174</v>
      </c>
      <c r="O17" t="s">
        <v>175</v>
      </c>
      <c r="P17" t="s">
        <v>173</v>
      </c>
      <c r="Q17" s="228">
        <f t="shared" si="0"/>
        <v>2.2699999915134494E-2</v>
      </c>
    </row>
    <row r="18" spans="1:17">
      <c r="A18" t="s">
        <v>169</v>
      </c>
      <c r="B18" t="s">
        <v>170</v>
      </c>
      <c r="C18" t="s">
        <v>171</v>
      </c>
      <c r="D18" t="s">
        <v>172</v>
      </c>
      <c r="E18" s="276">
        <v>1.4320958800000001</v>
      </c>
      <c r="G18" t="s">
        <v>173</v>
      </c>
      <c r="H18">
        <v>1</v>
      </c>
      <c r="I18" s="275">
        <v>50406</v>
      </c>
      <c r="J18" s="275"/>
      <c r="L18" t="s">
        <v>174</v>
      </c>
      <c r="O18" t="s">
        <v>175</v>
      </c>
      <c r="P18" t="s">
        <v>173</v>
      </c>
      <c r="Q18" s="228">
        <f t="shared" si="0"/>
        <v>2.2700000497319017E-2</v>
      </c>
    </row>
    <row r="19" spans="1:17">
      <c r="A19" t="s">
        <v>169</v>
      </c>
      <c r="B19" t="s">
        <v>170</v>
      </c>
      <c r="C19" t="s">
        <v>171</v>
      </c>
      <c r="D19" t="s">
        <v>172</v>
      </c>
      <c r="E19" s="276">
        <v>1.464604456</v>
      </c>
      <c r="G19" t="s">
        <v>173</v>
      </c>
      <c r="H19">
        <v>1</v>
      </c>
      <c r="I19" s="275">
        <v>50771</v>
      </c>
      <c r="J19" s="275"/>
      <c r="L19" t="s">
        <v>174</v>
      </c>
      <c r="O19" t="s">
        <v>175</v>
      </c>
      <c r="P19" t="s">
        <v>173</v>
      </c>
      <c r="Q19" s="228">
        <f t="shared" si="0"/>
        <v>2.2699999667620041E-2</v>
      </c>
    </row>
    <row r="20" spans="1:17">
      <c r="A20" t="s">
        <v>169</v>
      </c>
      <c r="B20" t="s">
        <v>170</v>
      </c>
      <c r="C20" t="s">
        <v>171</v>
      </c>
      <c r="D20" t="s">
        <v>172</v>
      </c>
      <c r="E20" s="276">
        <v>1.4978509769999999</v>
      </c>
      <c r="G20" t="s">
        <v>173</v>
      </c>
      <c r="H20">
        <v>1</v>
      </c>
      <c r="I20" s="275">
        <v>51136</v>
      </c>
      <c r="J20" s="275"/>
      <c r="L20" t="s">
        <v>174</v>
      </c>
      <c r="O20" t="s">
        <v>175</v>
      </c>
      <c r="P20" t="s">
        <v>173</v>
      </c>
      <c r="Q20" s="228">
        <f t="shared" si="0"/>
        <v>2.2699999896763856E-2</v>
      </c>
    </row>
    <row r="21" spans="1:17">
      <c r="A21" t="s">
        <v>169</v>
      </c>
      <c r="B21" t="s">
        <v>170</v>
      </c>
      <c r="C21" t="s">
        <v>171</v>
      </c>
      <c r="D21" t="s">
        <v>172</v>
      </c>
      <c r="E21" s="276">
        <v>1.5318521940000001</v>
      </c>
      <c r="G21" t="s">
        <v>173</v>
      </c>
      <c r="H21">
        <v>1</v>
      </c>
      <c r="I21" s="275">
        <v>51502</v>
      </c>
      <c r="J21" s="275"/>
      <c r="L21" t="s">
        <v>174</v>
      </c>
      <c r="O21" t="s">
        <v>175</v>
      </c>
      <c r="P21" t="s">
        <v>173</v>
      </c>
      <c r="Q21" s="228">
        <f t="shared" si="0"/>
        <v>2.2699999881229838E-2</v>
      </c>
    </row>
    <row r="22" spans="1:17">
      <c r="A22" t="s">
        <v>169</v>
      </c>
      <c r="B22" t="s">
        <v>170</v>
      </c>
      <c r="C22" t="s">
        <v>171</v>
      </c>
      <c r="D22" t="s">
        <v>172</v>
      </c>
      <c r="E22" s="276">
        <v>1.5666252389999999</v>
      </c>
      <c r="G22" t="s">
        <v>173</v>
      </c>
      <c r="H22">
        <v>1</v>
      </c>
      <c r="I22" s="275">
        <v>51867</v>
      </c>
      <c r="J22" s="275"/>
      <c r="L22" t="s">
        <v>174</v>
      </c>
      <c r="O22" t="s">
        <v>175</v>
      </c>
      <c r="P22" t="s">
        <v>173</v>
      </c>
      <c r="Q22" s="228">
        <f t="shared" si="0"/>
        <v>2.2700000128080156E-2</v>
      </c>
    </row>
    <row r="23" spans="1:17">
      <c r="A23" t="s">
        <v>169</v>
      </c>
      <c r="B23" t="s">
        <v>170</v>
      </c>
      <c r="C23" t="s">
        <v>171</v>
      </c>
      <c r="D23" t="s">
        <v>172</v>
      </c>
      <c r="E23" s="276">
        <v>1.6021876319999999</v>
      </c>
      <c r="G23" t="s">
        <v>173</v>
      </c>
      <c r="H23">
        <v>1</v>
      </c>
      <c r="I23" s="275">
        <v>52232</v>
      </c>
      <c r="J23" s="275"/>
      <c r="L23" t="s">
        <v>174</v>
      </c>
      <c r="O23" t="s">
        <v>175</v>
      </c>
      <c r="P23" t="s">
        <v>173</v>
      </c>
      <c r="Q23" s="228">
        <f t="shared" si="0"/>
        <v>2.2700000047682023E-2</v>
      </c>
    </row>
    <row r="24" spans="1:17">
      <c r="A24" t="s">
        <v>169</v>
      </c>
      <c r="B24" t="s">
        <v>170</v>
      </c>
      <c r="C24" t="s">
        <v>171</v>
      </c>
      <c r="D24" t="s">
        <v>172</v>
      </c>
      <c r="E24" s="276">
        <v>1.6385572909999999</v>
      </c>
      <c r="G24" t="s">
        <v>173</v>
      </c>
      <c r="H24">
        <v>1</v>
      </c>
      <c r="I24" s="275">
        <v>52597</v>
      </c>
      <c r="J24" s="275"/>
      <c r="L24" t="s">
        <v>174</v>
      </c>
      <c r="O24" t="s">
        <v>175</v>
      </c>
      <c r="P24" t="s">
        <v>173</v>
      </c>
      <c r="Q24" s="228">
        <f t="shared" si="0"/>
        <v>2.2699999846210295E-2</v>
      </c>
    </row>
    <row r="25" spans="1:17">
      <c r="A25" t="s">
        <v>169</v>
      </c>
      <c r="B25" t="s">
        <v>170</v>
      </c>
      <c r="C25" t="s">
        <v>171</v>
      </c>
      <c r="D25" t="s">
        <v>172</v>
      </c>
      <c r="E25" s="276">
        <v>1.6757525419999999</v>
      </c>
      <c r="G25" t="s">
        <v>173</v>
      </c>
      <c r="H25">
        <v>1</v>
      </c>
      <c r="I25" s="275">
        <v>52963</v>
      </c>
      <c r="J25" s="275"/>
      <c r="L25" t="s">
        <v>174</v>
      </c>
      <c r="O25" t="s">
        <v>175</v>
      </c>
      <c r="P25" t="s">
        <v>173</v>
      </c>
      <c r="Q25" s="228">
        <f t="shared" si="0"/>
        <v>2.2700000301667744E-2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63</vt:i4>
      </vt:variant>
    </vt:vector>
  </HeadingPairs>
  <TitlesOfParts>
    <vt:vector size="122" baseType="lpstr">
      <vt:lpstr>Table 1</vt:lpstr>
      <vt:lpstr>Table 2</vt:lpstr>
      <vt:lpstr>Table 4</vt:lpstr>
      <vt:lpstr>Table3ACsummary</vt:lpstr>
      <vt:lpstr>Table 5</vt:lpstr>
      <vt:lpstr>Table3Compare</vt:lpstr>
      <vt:lpstr>Table 3 TransCost</vt:lpstr>
      <vt:lpstr>IRP_LTReport</vt:lpstr>
      <vt:lpstr>Inflation</vt:lpstr>
      <vt:lpstr>IRP_PTC_ESC</vt:lpstr>
      <vt:lpstr>2025_WD_.PX.WYE._.SER.WD</vt:lpstr>
      <vt:lpstr>2025_WD_.PX.UWY._.SER.WD</vt:lpstr>
      <vt:lpstr>2027_WD_.PX.WWA._.215.WD</vt:lpstr>
      <vt:lpstr>2028_WD_.PX.BOR._.PTC.WD</vt:lpstr>
      <vt:lpstr>2029_WD_.PX.WYE.1.A01.WD</vt:lpstr>
      <vt:lpstr>2029_WD_.PX.BDG._.PTC.Bridger.W</vt:lpstr>
      <vt:lpstr>2029_WD_.PX.WYE._.PTC.WD</vt:lpstr>
      <vt:lpstr>2032_WD_.PX.PNC._.PTC.WD</vt:lpstr>
      <vt:lpstr>2032_WD_.PX.SOR._.PTC.WD</vt:lpstr>
      <vt:lpstr>2032_WD_.PX.WWA._.PTC.WD</vt:lpstr>
      <vt:lpstr>2032_WD_.PX.YAK._.PTC.WD</vt:lpstr>
      <vt:lpstr>2032_WD_.PX.WYE._.PTC.Djohns.WD</vt:lpstr>
      <vt:lpstr>2032_WD_.PX.WYN._.PTC.WD</vt:lpstr>
      <vt:lpstr>2033_WD_.PX.SOR._.PTC.WD</vt:lpstr>
      <vt:lpstr>2025_PV_.PX.UTS._.SER.PV</vt:lpstr>
      <vt:lpstr>2025_PV_.PX.UWY._.SER.PV</vt:lpstr>
      <vt:lpstr>2028_PV_.PX.UTS._.PTC.Hunter.PV</vt:lpstr>
      <vt:lpstr>2028_PV_.PX.UTS._.PTC.Huntingto</vt:lpstr>
      <vt:lpstr>2028_PV_.PX.BOR._.PTC.PV</vt:lpstr>
      <vt:lpstr>2032_PV_.PX.BDG._.PTC.JB.PV</vt:lpstr>
      <vt:lpstr>2034_PV_.PX.UTN._.PTC.PV</vt:lpstr>
      <vt:lpstr>2025_PVS.PX.UTS._.SER.PV</vt:lpstr>
      <vt:lpstr>2025_PVS.PX.UWY._.SER.PV</vt:lpstr>
      <vt:lpstr>2025_PVS.PX.WYE._.SER.PV</vt:lpstr>
      <vt:lpstr>2025_PVS.PX.WMV._.222.PV</vt:lpstr>
      <vt:lpstr>2026_PVS.PX.CLV.1.TC4.PV</vt:lpstr>
      <vt:lpstr>2026_PVS.PX.BOR._.2C5.PV</vt:lpstr>
      <vt:lpstr>2026_PVS.PX.COR._.TC8.PV</vt:lpstr>
      <vt:lpstr>2026_PVS.PX.WMV._.223.PV</vt:lpstr>
      <vt:lpstr>2026_PVS.PX.YAK._.110.PV</vt:lpstr>
      <vt:lpstr>2027_PVS.PX.WWA._.215.PV</vt:lpstr>
      <vt:lpstr>2029_PVS.PX.GOE.1.A43.PV</vt:lpstr>
      <vt:lpstr>2025_PVS.PX.UTS._.SER.BAT</vt:lpstr>
      <vt:lpstr>2025_PVS.PX.UWY._.SER.BAT</vt:lpstr>
      <vt:lpstr>2025_PVS.PX.WYE._.SER.BAT</vt:lpstr>
      <vt:lpstr>2025_PVS.PX.WMV._.222.BAT</vt:lpstr>
      <vt:lpstr>2026_PVS.PX.CLV.1.TC4.BAT</vt:lpstr>
      <vt:lpstr>2026_PVS.PX.BOR._.2C5.BAT</vt:lpstr>
      <vt:lpstr>2026_PVS.PX.COR._.TC8.BAT</vt:lpstr>
      <vt:lpstr>2026_PVS.PX.WMV._.223.BAT</vt:lpstr>
      <vt:lpstr>2026_PVS.PX.YAK._.110.BAT</vt:lpstr>
      <vt:lpstr>2026_PVS.PX.WWA._.215.BAT</vt:lpstr>
      <vt:lpstr>2029_PVS.PX.GOE.1.A43.BAT</vt:lpstr>
      <vt:lpstr>2026_BAT.PX.BPA._.221.Lithium-I</vt:lpstr>
      <vt:lpstr>2027_BAT.PX.WWA._.215.Lithium-i</vt:lpstr>
      <vt:lpstr>2028_BAT.PX.WYE._.ITC.DJ+Wyodak</vt:lpstr>
      <vt:lpstr>2028_BAT.PX.BOR._.ITC.Lithium-i</vt:lpstr>
      <vt:lpstr>2029_BAT.PX.UTN._.ITC.Lithium-i</vt:lpstr>
      <vt:lpstr>NonE 303MW (UT) 2030</vt:lpstr>
      <vt:lpstr>Discount_Rate</vt:lpstr>
      <vt:lpstr>IRP23_Infl_Rate</vt:lpstr>
      <vt:lpstr>'2025_PV_.PX.UTS._.SER.PV'!Print_Area</vt:lpstr>
      <vt:lpstr>'2025_PV_.PX.UWY._.SER.PV'!Print_Area</vt:lpstr>
      <vt:lpstr>'2025_PVS.PX.UTS._.SER.BAT'!Print_Area</vt:lpstr>
      <vt:lpstr>'2025_PVS.PX.UTS._.SER.PV'!Print_Area</vt:lpstr>
      <vt:lpstr>'2025_PVS.PX.UWY._.SER.BAT'!Print_Area</vt:lpstr>
      <vt:lpstr>'2025_PVS.PX.UWY._.SER.PV'!Print_Area</vt:lpstr>
      <vt:lpstr>'2025_PVS.PX.WMV._.222.BAT'!Print_Area</vt:lpstr>
      <vt:lpstr>'2025_PVS.PX.WMV._.222.PV'!Print_Area</vt:lpstr>
      <vt:lpstr>'2025_PVS.PX.WYE._.SER.BAT'!Print_Area</vt:lpstr>
      <vt:lpstr>'2025_PVS.PX.WYE._.SER.PV'!Print_Area</vt:lpstr>
      <vt:lpstr>'2025_WD_.PX.UWY._.SER.WD'!Print_Area</vt:lpstr>
      <vt:lpstr>'2025_WD_.PX.WYE._.SER.WD'!Print_Area</vt:lpstr>
      <vt:lpstr>'2026_BAT.PX.BPA._.221.Lithium-I'!Print_Area</vt:lpstr>
      <vt:lpstr>'2026_PVS.PX.BOR._.2C5.BAT'!Print_Area</vt:lpstr>
      <vt:lpstr>'2026_PVS.PX.BOR._.2C5.PV'!Print_Area</vt:lpstr>
      <vt:lpstr>'2026_PVS.PX.CLV.1.TC4.BAT'!Print_Area</vt:lpstr>
      <vt:lpstr>'2026_PVS.PX.CLV.1.TC4.PV'!Print_Area</vt:lpstr>
      <vt:lpstr>'2026_PVS.PX.COR._.TC8.BAT'!Print_Area</vt:lpstr>
      <vt:lpstr>'2026_PVS.PX.COR._.TC8.PV'!Print_Area</vt:lpstr>
      <vt:lpstr>'2026_PVS.PX.WMV._.223.BAT'!Print_Area</vt:lpstr>
      <vt:lpstr>'2026_PVS.PX.WMV._.223.PV'!Print_Area</vt:lpstr>
      <vt:lpstr>'2026_PVS.PX.WWA._.215.BAT'!Print_Area</vt:lpstr>
      <vt:lpstr>'2026_PVS.PX.YAK._.110.BAT'!Print_Area</vt:lpstr>
      <vt:lpstr>'2026_PVS.PX.YAK._.110.PV'!Print_Area</vt:lpstr>
      <vt:lpstr>'2027_BAT.PX.WWA._.215.Lithium-i'!Print_Area</vt:lpstr>
      <vt:lpstr>'2027_PVS.PX.WWA._.215.PV'!Print_Area</vt:lpstr>
      <vt:lpstr>'2027_WD_.PX.WWA._.215.WD'!Print_Area</vt:lpstr>
      <vt:lpstr>'2028_BAT.PX.BOR._.ITC.Lithium-i'!Print_Area</vt:lpstr>
      <vt:lpstr>'2028_BAT.PX.WYE._.ITC.DJ+Wyodak'!Print_Area</vt:lpstr>
      <vt:lpstr>'2028_PV_.PX.BOR._.PTC.PV'!Print_Area</vt:lpstr>
      <vt:lpstr>'2028_PV_.PX.UTS._.PTC.Hunter.PV'!Print_Area</vt:lpstr>
      <vt:lpstr>'2028_PV_.PX.UTS._.PTC.Huntingto'!Print_Area</vt:lpstr>
      <vt:lpstr>'2028_WD_.PX.BOR._.PTC.WD'!Print_Area</vt:lpstr>
      <vt:lpstr>'2029_BAT.PX.UTN._.ITC.Lithium-i'!Print_Area</vt:lpstr>
      <vt:lpstr>'2029_PVS.PX.GOE.1.A43.BAT'!Print_Area</vt:lpstr>
      <vt:lpstr>'2029_PVS.PX.GOE.1.A43.PV'!Print_Area</vt:lpstr>
      <vt:lpstr>'2029_WD_.PX.BDG._.PTC.Bridger.W'!Print_Area</vt:lpstr>
      <vt:lpstr>'2029_WD_.PX.WYE._.PTC.WD'!Print_Area</vt:lpstr>
      <vt:lpstr>'2029_WD_.PX.WYE.1.A01.WD'!Print_Area</vt:lpstr>
      <vt:lpstr>'2032_PV_.PX.BDG._.PTC.JB.PV'!Print_Area</vt:lpstr>
      <vt:lpstr>'2032_WD_.PX.PNC._.PTC.WD'!Print_Area</vt:lpstr>
      <vt:lpstr>'2032_WD_.PX.SOR._.PTC.WD'!Print_Area</vt:lpstr>
      <vt:lpstr>'2032_WD_.PX.WWA._.PTC.WD'!Print_Area</vt:lpstr>
      <vt:lpstr>'2032_WD_.PX.WYE._.PTC.Djohns.WD'!Print_Area</vt:lpstr>
      <vt:lpstr>'2032_WD_.PX.WYN._.PTC.WD'!Print_Area</vt:lpstr>
      <vt:lpstr>'2032_WD_.PX.YAK._.PTC.WD'!Print_Area</vt:lpstr>
      <vt:lpstr>'2033_WD_.PX.SOR._.PTC.WD'!Print_Area</vt:lpstr>
      <vt:lpstr>'2034_PV_.PX.UTN._.PTC.PV'!Print_Area</vt:lpstr>
      <vt:lpstr>'NonE 303MW (UT) 2030'!Print_Area</vt:lpstr>
      <vt:lpstr>'Table 1'!Print_Area</vt:lpstr>
      <vt:lpstr>'Table 2'!Print_Area</vt:lpstr>
      <vt:lpstr>'Table 3 TransCost'!Print_Area</vt:lpstr>
      <vt:lpstr>'Table 4'!Print_Area</vt:lpstr>
      <vt:lpstr>Table3ACsummary!Print_Area</vt:lpstr>
      <vt:lpstr>'NonE 303MW (UT) 2030'!Print_Titles</vt:lpstr>
      <vt:lpstr>'Table 2'!Print_Titles</vt:lpstr>
      <vt:lpstr>'Table 2'!Study_Cap_Adj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2023-04-04T23:59:54Z</cp:lastPrinted>
  <dcterms:created xsi:type="dcterms:W3CDTF">2001-03-19T15:45:46Z</dcterms:created>
  <dcterms:modified xsi:type="dcterms:W3CDTF">2023-09-28T22:26:49Z</dcterms:modified>
</cp:coreProperties>
</file>